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rms6987_psu_edu/Documents/Students/Students_shared/Shi_Wadgama_shared/Models/ATJSPK/lignin_saf/"/>
    </mc:Choice>
  </mc:AlternateContent>
  <xr:revisionPtr revIDLastSave="0" documentId="8_{3348CACD-2E86-4E7E-A3CB-C3357089D72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Flowsheet" sheetId="1" r:id="rId1"/>
    <sheet name="MOC" sheetId="18" r:id="rId2"/>
    <sheet name="Stream table" sheetId="4" r:id="rId3"/>
    <sheet name="Reactions" sheetId="7" r:id="rId4"/>
    <sheet name="Design requirements" sheetId="6" r:id="rId5"/>
    <sheet name="Sizing code" sheetId="8" r:id="rId6"/>
    <sheet name="Data" sheetId="10" r:id="rId7"/>
    <sheet name="PV Sizing" sheetId="17" r:id="rId8"/>
    <sheet name="Storage Tanks sizing" sheetId="22" r:id="rId9"/>
    <sheet name="Emmision factors" sheetId="23" r:id="rId10"/>
  </sheets>
  <externalReferences>
    <externalReference r:id="rId11"/>
  </externalReferences>
  <definedNames>
    <definedName name="FCI">[1]DCFROR!#REF!</definedName>
    <definedName name="KeyList">Data!A2:A9</definedName>
    <definedName name="S" localSheetId="7">'PV Sizing'!$D$27</definedName>
    <definedName name="S">'Sizing code'!$D$27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8" l="1"/>
  <c r="G19" i="23" l="1"/>
  <c r="G17" i="23"/>
  <c r="G16" i="23"/>
  <c r="C85" i="17"/>
  <c r="C134" i="22"/>
  <c r="N43" i="22"/>
  <c r="I41" i="22"/>
  <c r="D43" i="22"/>
  <c r="D87" i="22"/>
  <c r="I87" i="22"/>
  <c r="N87" i="22"/>
  <c r="N131" i="22"/>
  <c r="I131" i="22"/>
  <c r="D131" i="22"/>
  <c r="I13" i="23"/>
  <c r="I12" i="23"/>
  <c r="K11" i="23"/>
  <c r="I11" i="23"/>
  <c r="I10" i="23"/>
  <c r="I9" i="23"/>
  <c r="I7" i="23"/>
  <c r="I6" i="23"/>
  <c r="I5" i="23"/>
  <c r="I27" i="8" l="1"/>
  <c r="I26" i="8"/>
  <c r="N27" i="22"/>
  <c r="N26" i="22"/>
  <c r="D27" i="22"/>
  <c r="D26" i="22"/>
  <c r="I71" i="22"/>
  <c r="N71" i="22"/>
  <c r="N70" i="22"/>
  <c r="I70" i="22"/>
  <c r="D70" i="22"/>
  <c r="N118" i="22"/>
  <c r="N119" i="22" s="1"/>
  <c r="N107" i="22"/>
  <c r="N106" i="22"/>
  <c r="N105" i="22"/>
  <c r="N104" i="22"/>
  <c r="N102" i="22"/>
  <c r="N103" i="22" s="1"/>
  <c r="I118" i="22"/>
  <c r="I119" i="22" s="1"/>
  <c r="I107" i="22"/>
  <c r="I106" i="22"/>
  <c r="I105" i="22"/>
  <c r="I104" i="22"/>
  <c r="I102" i="22"/>
  <c r="I103" i="22" s="1"/>
  <c r="D118" i="22"/>
  <c r="D119" i="22" s="1"/>
  <c r="D107" i="22"/>
  <c r="D106" i="22"/>
  <c r="D105" i="22"/>
  <c r="D104" i="22"/>
  <c r="D102" i="22"/>
  <c r="D103" i="22" s="1"/>
  <c r="N74" i="22"/>
  <c r="N75" i="22" s="1"/>
  <c r="N63" i="22"/>
  <c r="N62" i="22"/>
  <c r="N61" i="22"/>
  <c r="N60" i="22"/>
  <c r="N58" i="22"/>
  <c r="N59" i="22" s="1"/>
  <c r="I74" i="22"/>
  <c r="I75" i="22" s="1"/>
  <c r="I63" i="22"/>
  <c r="I62" i="22"/>
  <c r="I61" i="22"/>
  <c r="I60" i="22"/>
  <c r="I58" i="22"/>
  <c r="I59" i="22" s="1"/>
  <c r="D74" i="22"/>
  <c r="D75" i="22" s="1"/>
  <c r="D63" i="22"/>
  <c r="D62" i="22"/>
  <c r="D61" i="22"/>
  <c r="D60" i="22"/>
  <c r="D58" i="22"/>
  <c r="D59" i="22" s="1"/>
  <c r="N30" i="22"/>
  <c r="N31" i="22" s="1"/>
  <c r="N19" i="22"/>
  <c r="N18" i="22"/>
  <c r="N17" i="22"/>
  <c r="N16" i="22"/>
  <c r="N14" i="22"/>
  <c r="N15" i="22" s="1"/>
  <c r="I6" i="22"/>
  <c r="I36" i="22"/>
  <c r="I37" i="22" s="1"/>
  <c r="I26" i="22"/>
  <c r="I15" i="22"/>
  <c r="P67" i="17"/>
  <c r="P68" i="17" s="1"/>
  <c r="P77" i="17"/>
  <c r="P78" i="17" s="1"/>
  <c r="P73" i="17"/>
  <c r="P74" i="17" s="1"/>
  <c r="P66" i="17"/>
  <c r="P65" i="17"/>
  <c r="P64" i="17"/>
  <c r="P61" i="17"/>
  <c r="P63" i="17" s="1"/>
  <c r="P59" i="17"/>
  <c r="P60" i="17" s="1"/>
  <c r="P56" i="17"/>
  <c r="P57" i="17" s="1"/>
  <c r="P58" i="17" s="1"/>
  <c r="L67" i="17"/>
  <c r="L68" i="17" s="1"/>
  <c r="L77" i="17"/>
  <c r="L78" i="17" s="1"/>
  <c r="L73" i="17"/>
  <c r="L74" i="17" s="1"/>
  <c r="L65" i="17"/>
  <c r="L64" i="17"/>
  <c r="L66" i="17" s="1"/>
  <c r="L61" i="17"/>
  <c r="L63" i="17" s="1"/>
  <c r="L59" i="17"/>
  <c r="L60" i="17" s="1"/>
  <c r="L56" i="17"/>
  <c r="L57" i="17" s="1"/>
  <c r="L58" i="17" s="1"/>
  <c r="H58" i="17"/>
  <c r="H67" i="17"/>
  <c r="D67" i="17"/>
  <c r="D68" i="17" s="1"/>
  <c r="P26" i="17"/>
  <c r="P27" i="17" s="1"/>
  <c r="L26" i="17"/>
  <c r="L27" i="17" s="1"/>
  <c r="H26" i="17"/>
  <c r="H27" i="17" s="1"/>
  <c r="H57" i="17"/>
  <c r="D56" i="17"/>
  <c r="D57" i="17"/>
  <c r="P36" i="17"/>
  <c r="P37" i="17" s="1"/>
  <c r="P32" i="17"/>
  <c r="P33" i="17" s="1"/>
  <c r="P17" i="17"/>
  <c r="P18" i="17" s="1"/>
  <c r="P14" i="17"/>
  <c r="P15" i="17" s="1"/>
  <c r="L36" i="17"/>
  <c r="L37" i="17" s="1"/>
  <c r="L32" i="17"/>
  <c r="L33" i="17" s="1"/>
  <c r="L17" i="17"/>
  <c r="L18" i="17" s="1"/>
  <c r="L14" i="17"/>
  <c r="L15" i="17" s="1"/>
  <c r="H36" i="17"/>
  <c r="H37" i="17" s="1"/>
  <c r="H32" i="17"/>
  <c r="H33" i="17" s="1"/>
  <c r="H17" i="17"/>
  <c r="H18" i="17" s="1"/>
  <c r="H14" i="17"/>
  <c r="H15" i="17" s="1"/>
  <c r="D36" i="17"/>
  <c r="D37" i="17" s="1"/>
  <c r="D32" i="17"/>
  <c r="D33" i="17" s="1"/>
  <c r="D17" i="17"/>
  <c r="D18" i="17" s="1"/>
  <c r="D26" i="17" s="1"/>
  <c r="D27" i="17" s="1"/>
  <c r="D14" i="17"/>
  <c r="D15" i="17" s="1"/>
  <c r="I32" i="22"/>
  <c r="I33" i="22" s="1"/>
  <c r="I17" i="22"/>
  <c r="I18" i="22" s="1"/>
  <c r="I14" i="22"/>
  <c r="D23" i="8"/>
  <c r="D19" i="8"/>
  <c r="D17" i="8"/>
  <c r="D18" i="8" s="1"/>
  <c r="D26" i="8" s="1"/>
  <c r="D15" i="8"/>
  <c r="D14" i="8"/>
  <c r="D30" i="22"/>
  <c r="D31" i="22" s="1"/>
  <c r="D21" i="22"/>
  <c r="D20" i="22"/>
  <c r="D25" i="22" s="1"/>
  <c r="D19" i="22"/>
  <c r="D18" i="22"/>
  <c r="D17" i="22"/>
  <c r="D16" i="22"/>
  <c r="D14" i="22"/>
  <c r="D15" i="22" s="1"/>
  <c r="I21" i="8"/>
  <c r="I20" i="8"/>
  <c r="I25" i="8" s="1"/>
  <c r="I34" i="8" s="1"/>
  <c r="I18" i="8"/>
  <c r="I19" i="8"/>
  <c r="H61" i="17"/>
  <c r="I17" i="8"/>
  <c r="I16" i="8"/>
  <c r="I30" i="8"/>
  <c r="I31" i="8" s="1"/>
  <c r="I14" i="8"/>
  <c r="I15" i="8" s="1"/>
  <c r="L49" i="17"/>
  <c r="L48" i="17"/>
  <c r="H64" i="17"/>
  <c r="H66" i="17" s="1"/>
  <c r="D64" i="17"/>
  <c r="H63" i="17"/>
  <c r="D61" i="17"/>
  <c r="D48" i="17"/>
  <c r="H49" i="17"/>
  <c r="H48" i="17"/>
  <c r="D49" i="17"/>
  <c r="H77" i="17"/>
  <c r="H78" i="17" s="1"/>
  <c r="H73" i="17"/>
  <c r="H74" i="17" s="1"/>
  <c r="H59" i="17"/>
  <c r="H60" i="17" s="1"/>
  <c r="H56" i="17"/>
  <c r="D66" i="17"/>
  <c r="D59" i="17"/>
  <c r="D60" i="17" s="1"/>
  <c r="D77" i="17"/>
  <c r="D78" i="17" s="1"/>
  <c r="D73" i="17"/>
  <c r="D74" i="17" s="1"/>
  <c r="H6" i="17"/>
  <c r="H5" i="17"/>
  <c r="D6" i="17"/>
  <c r="P6" i="17"/>
  <c r="P5" i="17"/>
  <c r="L4" i="17"/>
  <c r="L6" i="17"/>
  <c r="L5" i="17"/>
  <c r="D36" i="8"/>
  <c r="D37" i="8" s="1"/>
  <c r="D32" i="8"/>
  <c r="D33" i="8" s="1"/>
  <c r="D5" i="8"/>
  <c r="N108" i="22" l="1"/>
  <c r="I64" i="22"/>
  <c r="D64" i="22"/>
  <c r="N64" i="22"/>
  <c r="N81" i="22" s="1"/>
  <c r="N113" i="22"/>
  <c r="N125" i="22"/>
  <c r="N124" i="22"/>
  <c r="N109" i="22"/>
  <c r="N116" i="22" s="1"/>
  <c r="D108" i="22"/>
  <c r="D125" i="22" s="1"/>
  <c r="I108" i="22"/>
  <c r="I113" i="22" s="1"/>
  <c r="I124" i="22"/>
  <c r="I109" i="22"/>
  <c r="I116" i="22" s="1"/>
  <c r="I69" i="22"/>
  <c r="I81" i="22"/>
  <c r="I80" i="22"/>
  <c r="I65" i="22"/>
  <c r="I72" i="22" s="1"/>
  <c r="D69" i="22"/>
  <c r="D81" i="22"/>
  <c r="D80" i="22"/>
  <c r="D65" i="22"/>
  <c r="D72" i="22" s="1"/>
  <c r="N20" i="22"/>
  <c r="N21" i="22" s="1"/>
  <c r="N23" i="22" s="1"/>
  <c r="I27" i="22"/>
  <c r="P62" i="17"/>
  <c r="L62" i="17"/>
  <c r="P16" i="17"/>
  <c r="P19" i="17"/>
  <c r="L16" i="17"/>
  <c r="L19" i="17"/>
  <c r="H16" i="17"/>
  <c r="H19" i="17"/>
  <c r="D16" i="17"/>
  <c r="D19" i="17"/>
  <c r="I16" i="22"/>
  <c r="I19" i="22"/>
  <c r="D20" i="8"/>
  <c r="D21" i="8" s="1"/>
  <c r="D22" i="8" s="1"/>
  <c r="D28" i="22"/>
  <c r="D35" i="22"/>
  <c r="D34" i="22"/>
  <c r="D36" i="22"/>
  <c r="D38" i="22" s="1"/>
  <c r="D40" i="22" s="1"/>
  <c r="D22" i="22"/>
  <c r="D23" i="22"/>
  <c r="D37" i="22"/>
  <c r="I28" i="8"/>
  <c r="I35" i="8"/>
  <c r="I23" i="8"/>
  <c r="I36" i="8"/>
  <c r="I38" i="8" s="1"/>
  <c r="I40" i="8" s="1"/>
  <c r="I37" i="8"/>
  <c r="D24" i="8"/>
  <c r="D25" i="8" s="1"/>
  <c r="I22" i="8"/>
  <c r="H65" i="17"/>
  <c r="D65" i="17"/>
  <c r="H68" i="17"/>
  <c r="H69" i="17" s="1"/>
  <c r="H62" i="17"/>
  <c r="D58" i="17"/>
  <c r="D27" i="8"/>
  <c r="N65" i="22" l="1"/>
  <c r="N72" i="22" s="1"/>
  <c r="N69" i="22"/>
  <c r="N80" i="22"/>
  <c r="N110" i="22"/>
  <c r="N123" i="22"/>
  <c r="N127" i="22" s="1"/>
  <c r="N129" i="22" s="1"/>
  <c r="N122" i="22"/>
  <c r="N126" i="22"/>
  <c r="N128" i="22" s="1"/>
  <c r="N111" i="22"/>
  <c r="D109" i="22"/>
  <c r="D116" i="22" s="1"/>
  <c r="D124" i="22"/>
  <c r="D113" i="22"/>
  <c r="D122" i="22" s="1"/>
  <c r="D126" i="22" s="1"/>
  <c r="D128" i="22" s="1"/>
  <c r="I125" i="22"/>
  <c r="I111" i="22"/>
  <c r="I110" i="22"/>
  <c r="I115" i="22"/>
  <c r="I120" i="22" s="1"/>
  <c r="I121" i="22" s="1"/>
  <c r="I123" i="22"/>
  <c r="I122" i="22"/>
  <c r="I126" i="22" s="1"/>
  <c r="I128" i="22" s="1"/>
  <c r="N66" i="22"/>
  <c r="N76" i="22"/>
  <c r="N77" i="22" s="1"/>
  <c r="N79" i="22"/>
  <c r="N83" i="22" s="1"/>
  <c r="N85" i="22" s="1"/>
  <c r="N78" i="22"/>
  <c r="N82" i="22"/>
  <c r="N84" i="22" s="1"/>
  <c r="N67" i="22"/>
  <c r="I66" i="22"/>
  <c r="I67" i="22"/>
  <c r="I76" i="22"/>
  <c r="I77" i="22" s="1"/>
  <c r="I79" i="22"/>
  <c r="I83" i="22" s="1"/>
  <c r="I85" i="22" s="1"/>
  <c r="I78" i="22"/>
  <c r="I82" i="22" s="1"/>
  <c r="I84" i="22" s="1"/>
  <c r="D24" i="22"/>
  <c r="D66" i="22"/>
  <c r="D67" i="22"/>
  <c r="D71" i="22"/>
  <c r="D76" i="22" s="1"/>
  <c r="D77" i="22" s="1"/>
  <c r="D79" i="22"/>
  <c r="D83" i="22" s="1"/>
  <c r="D85" i="22" s="1"/>
  <c r="D78" i="22"/>
  <c r="D82" i="22"/>
  <c r="D84" i="22" s="1"/>
  <c r="N25" i="22"/>
  <c r="N37" i="22"/>
  <c r="N36" i="22"/>
  <c r="N22" i="22"/>
  <c r="N24" i="22" s="1"/>
  <c r="N28" i="22"/>
  <c r="P71" i="17"/>
  <c r="P69" i="17"/>
  <c r="P70" i="17" s="1"/>
  <c r="P72" i="17" s="1"/>
  <c r="P75" i="17" s="1"/>
  <c r="P76" i="17" s="1"/>
  <c r="P79" i="17" s="1"/>
  <c r="L71" i="17"/>
  <c r="L69" i="17"/>
  <c r="L70" i="17" s="1"/>
  <c r="L72" i="17" s="1"/>
  <c r="L75" i="17" s="1"/>
  <c r="L76" i="17" s="1"/>
  <c r="L79" i="17" s="1"/>
  <c r="P20" i="17"/>
  <c r="P21" i="17" s="1"/>
  <c r="P22" i="17" s="1"/>
  <c r="P28" i="17" s="1"/>
  <c r="P29" i="17" s="1"/>
  <c r="P31" i="17" s="1"/>
  <c r="P34" i="17" s="1"/>
  <c r="P35" i="17" s="1"/>
  <c r="L20" i="17"/>
  <c r="L21" i="17" s="1"/>
  <c r="L22" i="17" s="1"/>
  <c r="L28" i="17" s="1"/>
  <c r="L29" i="17" s="1"/>
  <c r="L31" i="17" s="1"/>
  <c r="L34" i="17" s="1"/>
  <c r="L35" i="17" s="1"/>
  <c r="H20" i="17"/>
  <c r="H21" i="17" s="1"/>
  <c r="H22" i="17" s="1"/>
  <c r="D20" i="17"/>
  <c r="D21" i="17" s="1"/>
  <c r="D22" i="17" s="1"/>
  <c r="D28" i="17" s="1"/>
  <c r="D29" i="17" s="1"/>
  <c r="D31" i="17" s="1"/>
  <c r="D34" i="17" s="1"/>
  <c r="D35" i="17" s="1"/>
  <c r="I20" i="22"/>
  <c r="I21" i="22" s="1"/>
  <c r="I22" i="22" s="1"/>
  <c r="I28" i="22" s="1"/>
  <c r="I29" i="22" s="1"/>
  <c r="D32" i="22"/>
  <c r="D33" i="22" s="1"/>
  <c r="D39" i="22"/>
  <c r="D41" i="22" s="1"/>
  <c r="I24" i="8"/>
  <c r="I32" i="8" s="1"/>
  <c r="I33" i="8" s="1"/>
  <c r="I39" i="8"/>
  <c r="I41" i="8" s="1"/>
  <c r="H71" i="17"/>
  <c r="D16" i="8"/>
  <c r="N32" i="22" l="1"/>
  <c r="N33" i="22" s="1"/>
  <c r="N34" i="22"/>
  <c r="N38" i="22" s="1"/>
  <c r="N40" i="22" s="1"/>
  <c r="N42" i="22" s="1"/>
  <c r="N35" i="22"/>
  <c r="N39" i="22" s="1"/>
  <c r="N41" i="22" s="1"/>
  <c r="D111" i="22"/>
  <c r="D110" i="22"/>
  <c r="D112" i="22" s="1"/>
  <c r="D114" i="22" s="1"/>
  <c r="D115" i="22" s="1"/>
  <c r="D120" i="22" s="1"/>
  <c r="D121" i="22" s="1"/>
  <c r="D130" i="22" s="1"/>
  <c r="I127" i="22"/>
  <c r="I129" i="22" s="1"/>
  <c r="I112" i="22"/>
  <c r="I114" i="22" s="1"/>
  <c r="N112" i="22"/>
  <c r="N114" i="22" s="1"/>
  <c r="N115" i="22" s="1"/>
  <c r="N120" i="22" s="1"/>
  <c r="N121" i="22" s="1"/>
  <c r="N130" i="22" s="1"/>
  <c r="D123" i="22"/>
  <c r="D127" i="22" s="1"/>
  <c r="D129" i="22" s="1"/>
  <c r="I130" i="22"/>
  <c r="N86" i="22"/>
  <c r="N68" i="22"/>
  <c r="I86" i="22"/>
  <c r="I68" i="22"/>
  <c r="D68" i="22"/>
  <c r="D86" i="22"/>
  <c r="P81" i="17"/>
  <c r="P80" i="17"/>
  <c r="L81" i="17"/>
  <c r="L80" i="17"/>
  <c r="P23" i="17"/>
  <c r="P24" i="17" s="1"/>
  <c r="P25" i="17" s="1"/>
  <c r="P38" i="17" s="1"/>
  <c r="P39" i="17" s="1"/>
  <c r="P40" i="17" s="1"/>
  <c r="L23" i="17"/>
  <c r="L24" i="17" s="1"/>
  <c r="L25" i="17" s="1"/>
  <c r="L38" i="17" s="1"/>
  <c r="L39" i="17" s="1"/>
  <c r="L40" i="17" s="1"/>
  <c r="H28" i="17"/>
  <c r="H29" i="17" s="1"/>
  <c r="H31" i="17" s="1"/>
  <c r="H34" i="17" s="1"/>
  <c r="H35" i="17" s="1"/>
  <c r="H38" i="17" s="1"/>
  <c r="H39" i="17" s="1"/>
  <c r="H40" i="17" s="1"/>
  <c r="H23" i="17"/>
  <c r="H24" i="17" s="1"/>
  <c r="H25" i="17" s="1"/>
  <c r="H30" i="17" s="1"/>
  <c r="D23" i="17"/>
  <c r="D24" i="17" s="1"/>
  <c r="D25" i="17" s="1"/>
  <c r="D38" i="17" s="1"/>
  <c r="D39" i="17" s="1"/>
  <c r="D40" i="17" s="1"/>
  <c r="D42" i="22"/>
  <c r="I23" i="22"/>
  <c r="I24" i="22" s="1"/>
  <c r="I25" i="22" s="1"/>
  <c r="I42" i="8"/>
  <c r="H70" i="17"/>
  <c r="H72" i="17" s="1"/>
  <c r="H75" i="17" s="1"/>
  <c r="H76" i="17" s="1"/>
  <c r="H79" i="17" s="1"/>
  <c r="D28" i="8"/>
  <c r="D29" i="8" s="1"/>
  <c r="D31" i="8" s="1"/>
  <c r="D30" i="8"/>
  <c r="P30" i="17" l="1"/>
  <c r="L30" i="17"/>
  <c r="D30" i="17"/>
  <c r="I30" i="22"/>
  <c r="I31" i="22" s="1"/>
  <c r="I34" i="22" s="1"/>
  <c r="I35" i="22" s="1"/>
  <c r="I38" i="22" s="1"/>
  <c r="I39" i="22" s="1"/>
  <c r="I40" i="22" s="1"/>
  <c r="H81" i="17"/>
  <c r="H80" i="17"/>
  <c r="D34" i="8"/>
  <c r="D35" i="8" s="1"/>
  <c r="D39" i="8" s="1"/>
  <c r="D40" i="8" s="1"/>
  <c r="D62" i="17" l="1"/>
  <c r="D71" i="17" s="1"/>
  <c r="D63" i="17"/>
  <c r="D69" i="17" l="1"/>
  <c r="D70" i="17" l="1"/>
  <c r="D72" i="17" s="1"/>
  <c r="D75" i="17" s="1"/>
  <c r="D76" i="17" s="1"/>
  <c r="D79" i="17" s="1"/>
  <c r="D80" i="17" l="1"/>
  <c r="D81" i="17"/>
</calcChain>
</file>

<file path=xl/sharedStrings.xml><?xml version="1.0" encoding="utf-8"?>
<sst xmlns="http://schemas.openxmlformats.org/spreadsheetml/2006/main" count="3828" uniqueCount="1332">
  <si>
    <t>ADP</t>
  </si>
  <si>
    <t>Air distribution package</t>
  </si>
  <si>
    <t>T203</t>
  </si>
  <si>
    <t>Ammonia addition tank</t>
  </si>
  <si>
    <t>M205</t>
  </si>
  <si>
    <t>Ammonia mixer</t>
  </si>
  <si>
    <t>Ammonia_storage</t>
  </si>
  <si>
    <t>Ammonia storage tank</t>
  </si>
  <si>
    <t>T302</t>
  </si>
  <si>
    <t>Beer tank</t>
  </si>
  <si>
    <t>P201</t>
  </si>
  <si>
    <t>Blowdown discharge pump</t>
  </si>
  <si>
    <t>BT</t>
  </si>
  <si>
    <t>Boiler turbogenerator</t>
  </si>
  <si>
    <t>CIP</t>
  </si>
  <si>
    <t>CIP Package</t>
  </si>
  <si>
    <t>CSL_storage</t>
  </si>
  <si>
    <t>CSLStorage tank</t>
  </si>
  <si>
    <t>CWP</t>
  </si>
  <si>
    <t>Chilled water package</t>
  </si>
  <si>
    <t>R301</t>
  </si>
  <si>
    <t>Continuous presaccharification</t>
  </si>
  <si>
    <t>CT</t>
  </si>
  <si>
    <t>Cooling tower</t>
  </si>
  <si>
    <t>DAP_storage</t>
  </si>
  <si>
    <t>DAPStorage tank</t>
  </si>
  <si>
    <t>D402</t>
  </si>
  <si>
    <t>Distillation Column</t>
  </si>
  <si>
    <t>D403</t>
  </si>
  <si>
    <t>Divided Distillation Column</t>
  </si>
  <si>
    <t>M301</t>
  </si>
  <si>
    <t>Enzyme hydrolysate mixer</t>
  </si>
  <si>
    <t>U101</t>
  </si>
  <si>
    <t>Feed stock handling</t>
  </si>
  <si>
    <t>FWT</t>
  </si>
  <si>
    <t>Fire water tank</t>
  </si>
  <si>
    <t>H401</t>
  </si>
  <si>
    <t>Heat exchanger</t>
  </si>
  <si>
    <t>H402</t>
  </si>
  <si>
    <t>H403</t>
  </si>
  <si>
    <t>H301</t>
  </si>
  <si>
    <t>Hydrolysate heat exchanger</t>
  </si>
  <si>
    <t>P202</t>
  </si>
  <si>
    <t>Hydrolyzate pump</t>
  </si>
  <si>
    <t>U401</t>
  </si>
  <si>
    <t>Molecular sieve</t>
  </si>
  <si>
    <t>T202</t>
  </si>
  <si>
    <t>Oligomer conversion tank</t>
  </si>
  <si>
    <t>S401</t>
  </si>
  <si>
    <t>Pressure filter</t>
  </si>
  <si>
    <t>F201</t>
  </si>
  <si>
    <t>Pretreatment flash</t>
  </si>
  <si>
    <t>R201</t>
  </si>
  <si>
    <t>Pretreatment reactor system</t>
  </si>
  <si>
    <t>PWC</t>
  </si>
  <si>
    <t>Process water center</t>
  </si>
  <si>
    <t>P401</t>
  </si>
  <si>
    <t>Pump</t>
  </si>
  <si>
    <t>P402</t>
  </si>
  <si>
    <t>P701</t>
  </si>
  <si>
    <t>P702</t>
  </si>
  <si>
    <t>P403</t>
  </si>
  <si>
    <t>R303</t>
  </si>
  <si>
    <t>Saccharification and co fermentation</t>
  </si>
  <si>
    <t>T301</t>
  </si>
  <si>
    <t>Seed hold tank</t>
  </si>
  <si>
    <t>R302</t>
  </si>
  <si>
    <t>Seed train</t>
  </si>
  <si>
    <t>M203</t>
  </si>
  <si>
    <t>T701</t>
  </si>
  <si>
    <t>Storage tank</t>
  </si>
  <si>
    <t>T702</t>
  </si>
  <si>
    <t>T703</t>
  </si>
  <si>
    <t>M201</t>
  </si>
  <si>
    <t>Sulfuric acid mixer</t>
  </si>
  <si>
    <t>H2SO4_storage</t>
  </si>
  <si>
    <t>Sulfuric acid storage tank</t>
  </si>
  <si>
    <t>T201</t>
  </si>
  <si>
    <t>Sulfuric acid tank</t>
  </si>
  <si>
    <t>D401</t>
  </si>
  <si>
    <t>Vent scrubber</t>
  </si>
  <si>
    <t>H201</t>
  </si>
  <si>
    <t>Waste vapor condenser</t>
  </si>
  <si>
    <t>WWTC</t>
  </si>
  <si>
    <t>Wastewater system cost</t>
  </si>
  <si>
    <t>CSL</t>
  </si>
  <si>
    <t>CSL1</t>
  </si>
  <si>
    <t>CSL2</t>
  </si>
  <si>
    <t>DAP</t>
  </si>
  <si>
    <t>DAP1</t>
  </si>
  <si>
    <t>DAP2</t>
  </si>
  <si>
    <t>FGD_lime</t>
  </si>
  <si>
    <t>RO_treated_water</t>
  </si>
  <si>
    <t>Stover</t>
  </si>
  <si>
    <t>air</t>
  </si>
  <si>
    <t>air_lagoon</t>
  </si>
  <si>
    <t>ammonia</t>
  </si>
  <si>
    <t>ammonia_process_water</t>
  </si>
  <si>
    <t>ash</t>
  </si>
  <si>
    <t>beer</t>
  </si>
  <si>
    <t>biogas</t>
  </si>
  <si>
    <t>blowdown</t>
  </si>
  <si>
    <t>boiler_chemicals</t>
  </si>
  <si>
    <t>brine</t>
  </si>
  <si>
    <t>caustic</t>
  </si>
  <si>
    <t>cellulase</t>
  </si>
  <si>
    <t>denaturant</t>
  </si>
  <si>
    <t>emissions</t>
  </si>
  <si>
    <t>ethanol</t>
  </si>
  <si>
    <t>evaporated_water</t>
  </si>
  <si>
    <t>fire_water</t>
  </si>
  <si>
    <t>gas_to_boiler</t>
  </si>
  <si>
    <t>makeup_RO_water</t>
  </si>
  <si>
    <t>makeup_process_water</t>
  </si>
  <si>
    <t>makeup_water</t>
  </si>
  <si>
    <t>natural_gas</t>
  </si>
  <si>
    <t>plant_air</t>
  </si>
  <si>
    <t>pretreated_biomass</t>
  </si>
  <si>
    <t>pretreatment_steam</t>
  </si>
  <si>
    <t>pretreatment_wastewater</t>
  </si>
  <si>
    <t>recycle_process_water</t>
  </si>
  <si>
    <t>saccharification_water</t>
  </si>
  <si>
    <t>sludge</t>
  </si>
  <si>
    <t>slurry</t>
  </si>
  <si>
    <t>stillage</t>
  </si>
  <si>
    <t>stripping_water</t>
  </si>
  <si>
    <t>sulfuric_acid</t>
  </si>
  <si>
    <t>to_boiler</t>
  </si>
  <si>
    <t>vent</t>
  </si>
  <si>
    <t>warm_process_water_1</t>
  </si>
  <si>
    <t>warm_process_water_2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</si>
  <si>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</si>
  <si>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</si>
  <si>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</si>
  <si>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</si>
  <si>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</si>
  <si>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</si>
  <si>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</si>
  <si>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</si>
  <si>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</si>
  <si>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</si>
  <si>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</si>
  <si>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</si>
  <si>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</si>
  <si>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</si>
  <si>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</si>
  <si>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</si>
  <si>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</si>
  <si>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</si>
  <si>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</si>
  <si>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</si>
  <si>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</si>
  <si>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</si>
  <si>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</si>
  <si>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</si>
  <si>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</si>
  <si>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</si>
  <si>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</si>
  <si>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</si>
  <si>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</si>
  <si>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</si>
  <si>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</si>
  <si>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</si>
  <si>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</si>
  <si>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</si>
  <si>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</si>
  <si>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</si>
  <si>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</si>
  <si>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</si>
  <si>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</si>
  <si>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</si>
  <si>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</si>
  <si>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</si>
  <si>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</si>
  <si>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</si>
  <si>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</si>
  <si>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</si>
  <si>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</si>
  <si>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</si>
  <si>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</si>
  <si>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</si>
  <si>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</si>
  <si>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</si>
  <si>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</si>
  <si>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</si>
  <si>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</si>
  <si>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</si>
  <si>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</si>
  <si>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</si>
  <si>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</si>
  <si>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</si>
  <si>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</si>
  <si>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</si>
  <si>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</si>
  <si>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</si>
  <si>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</si>
  <si>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</si>
  <si>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</si>
  <si>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</si>
  <si>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</si>
  <si>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Source</t>
  </si>
  <si>
    <t>-</t>
  </si>
  <si>
    <t>S302</t>
  </si>
  <si>
    <t>S301</t>
  </si>
  <si>
    <t>S604</t>
  </si>
  <si>
    <t>R601</t>
  </si>
  <si>
    <t>R602</t>
  </si>
  <si>
    <t>M2</t>
  </si>
  <si>
    <t>S603</t>
  </si>
  <si>
    <t>M1</t>
  </si>
  <si>
    <t>M204</t>
  </si>
  <si>
    <t>M401</t>
  </si>
  <si>
    <t>M304</t>
  </si>
  <si>
    <t>M402</t>
  </si>
  <si>
    <t>M701</t>
  </si>
  <si>
    <t>M601</t>
  </si>
  <si>
    <t>M604</t>
  </si>
  <si>
    <t>M602</t>
  </si>
  <si>
    <t>S601</t>
  </si>
  <si>
    <t>S602</t>
  </si>
  <si>
    <t>M603</t>
  </si>
  <si>
    <t>M3</t>
  </si>
  <si>
    <t>M4</t>
  </si>
  <si>
    <t>Sink</t>
  </si>
  <si>
    <t>Phase</t>
  </si>
  <si>
    <t>liquid</t>
  </si>
  <si>
    <t>gas</t>
  </si>
  <si>
    <t>T (K)</t>
  </si>
  <si>
    <t>flow (kg/hr)</t>
  </si>
  <si>
    <t>Composition [%]:</t>
  </si>
  <si>
    <t>Water</t>
  </si>
  <si>
    <t>Ethanol</t>
  </si>
  <si>
    <t>AceticAcid</t>
  </si>
  <si>
    <t>Furfural</t>
  </si>
  <si>
    <t>Glycerol</t>
  </si>
  <si>
    <t>H2SO4</t>
  </si>
  <si>
    <t>NH3</t>
  </si>
  <si>
    <t>LacticAcid</t>
  </si>
  <si>
    <t>SuccinicAcid</t>
  </si>
  <si>
    <t>P4O10</t>
  </si>
  <si>
    <t>Lime</t>
  </si>
  <si>
    <t>HNO3</t>
  </si>
  <si>
    <t>NH4OH</t>
  </si>
  <si>
    <t>Denaturant</t>
  </si>
  <si>
    <t>AmmoniumAcetate</t>
  </si>
  <si>
    <t>AmmoniumSulfate</t>
  </si>
  <si>
    <t>NaNO3</t>
  </si>
  <si>
    <t>Oil</t>
  </si>
  <si>
    <t>HMF</t>
  </si>
  <si>
    <t>N2</t>
  </si>
  <si>
    <t>O2</t>
  </si>
  <si>
    <t>CH4</t>
  </si>
  <si>
    <t>H2S</t>
  </si>
  <si>
    <t>SO2</t>
  </si>
  <si>
    <t>CO2</t>
  </si>
  <si>
    <t>NO2</t>
  </si>
  <si>
    <t>NO</t>
  </si>
  <si>
    <t>CO</t>
  </si>
  <si>
    <t>Glucose</t>
  </si>
  <si>
    <t>Xylose</t>
  </si>
  <si>
    <t>Sucrose</t>
  </si>
  <si>
    <t>CaSO4</t>
  </si>
  <si>
    <t>Mannose</t>
  </si>
  <si>
    <t>Galactose</t>
  </si>
  <si>
    <t>Arabinose</t>
  </si>
  <si>
    <t>CellulaseNutrients</t>
  </si>
  <si>
    <t>Extract</t>
  </si>
  <si>
    <t>Acetate</t>
  </si>
  <si>
    <t>Tar</t>
  </si>
  <si>
    <t>Ash</t>
  </si>
  <si>
    <t>NaOH</t>
  </si>
  <si>
    <t>Lignin</t>
  </si>
  <si>
    <t>SolubleLignin</t>
  </si>
  <si>
    <t>GlucoseOligomer</t>
  </si>
  <si>
    <t>GalactoseOligomer</t>
  </si>
  <si>
    <t>MannoseOligomer</t>
  </si>
  <si>
    <t>XyloseOligomer</t>
  </si>
  <si>
    <t>ArabinoseOligomer</t>
  </si>
  <si>
    <t>Z_mobilis</t>
  </si>
  <si>
    <t>T_reesei</t>
  </si>
  <si>
    <t>Biomass</t>
  </si>
  <si>
    <t>Cellulose</t>
  </si>
  <si>
    <t>Protein</t>
  </si>
  <si>
    <t>Enzyme</t>
  </si>
  <si>
    <t>Glucan</t>
  </si>
  <si>
    <t>Xylan</t>
  </si>
  <si>
    <t>Xylitol</t>
  </si>
  <si>
    <t>Cellobiose</t>
  </si>
  <si>
    <t>DenaturedEnzyme</t>
  </si>
  <si>
    <t>Arabinan</t>
  </si>
  <si>
    <t>Mannan</t>
  </si>
  <si>
    <t>Galactan</t>
  </si>
  <si>
    <t>WWTsludge</t>
  </si>
  <si>
    <t>Cellulase</t>
  </si>
  <si>
    <t>cooling_tower_blowdown</t>
  </si>
  <si>
    <t>cooling_tower_chemicals</t>
  </si>
  <si>
    <t>cooling_tower_evaporation</t>
  </si>
  <si>
    <t>cooling_tower_makeup_water</t>
  </si>
  <si>
    <t>recirculated_chilled_water</t>
  </si>
  <si>
    <t>Ash disposal</t>
  </si>
  <si>
    <t>Units</t>
  </si>
  <si>
    <t>Design</t>
  </si>
  <si>
    <t>Flow rate</t>
  </si>
  <si>
    <t>kg/hr</t>
  </si>
  <si>
    <t>Purchase cost</t>
  </si>
  <si>
    <t>Plant air compressor</t>
  </si>
  <si>
    <t>USD</t>
  </si>
  <si>
    <t>Instrument air dryer</t>
  </si>
  <si>
    <t>Plant air receiver</t>
  </si>
  <si>
    <t>Agitator</t>
  </si>
  <si>
    <t>Tank</t>
  </si>
  <si>
    <t>Mixer</t>
  </si>
  <si>
    <t>Work</t>
  </si>
  <si>
    <t>kW</t>
  </si>
  <si>
    <t>Baghouse bags</t>
  </si>
  <si>
    <t>Boiler</t>
  </si>
  <si>
    <t>Deaerator</t>
  </si>
  <si>
    <t>Amine addition pkg</t>
  </si>
  <si>
    <t>Hot process water softener system</t>
  </si>
  <si>
    <t>Turbogenerator</t>
  </si>
  <si>
    <t>Duty</t>
  </si>
  <si>
    <t>kJ/hr</t>
  </si>
  <si>
    <t>Tank volume</t>
  </si>
  <si>
    <t>m3</t>
  </si>
  <si>
    <t>m3/hr</t>
  </si>
  <si>
    <t>Tanks (x8)</t>
  </si>
  <si>
    <t>Transfer pumps (x5)</t>
  </si>
  <si>
    <t>kmol/hr</t>
  </si>
  <si>
    <t>Cooling water pump</t>
  </si>
  <si>
    <t>Bag unloader</t>
  </si>
  <si>
    <t>Theoretical feed stage</t>
  </si>
  <si>
    <t>Theoretical stages</t>
  </si>
  <si>
    <t>Minimum reflux</t>
  </si>
  <si>
    <t>Ratio</t>
  </si>
  <si>
    <t>Reflux</t>
  </si>
  <si>
    <t>Actual stages</t>
  </si>
  <si>
    <t>Height</t>
  </si>
  <si>
    <t>ft</t>
  </si>
  <si>
    <t>Diameter</t>
  </si>
  <si>
    <t>Wall thickness</t>
  </si>
  <si>
    <t>in</t>
  </si>
  <si>
    <t>Weight</t>
  </si>
  <si>
    <t>lb</t>
  </si>
  <si>
    <t>Trays</t>
  </si>
  <si>
    <t>Tower</t>
  </si>
  <si>
    <t>Platform and ladders</t>
  </si>
  <si>
    <t>Condenser - Floating head</t>
  </si>
  <si>
    <t>Reflux drum - Vertical pressure vessel</t>
  </si>
  <si>
    <t>Reflux drum - Platform and ladders</t>
  </si>
  <si>
    <t>Pump - Pump</t>
  </si>
  <si>
    <t>Pump - Motor</t>
  </si>
  <si>
    <t>Reboiler - Floating head</t>
  </si>
  <si>
    <t>Rectifier stages</t>
  </si>
  <si>
    <t>Stripper stages</t>
  </si>
  <si>
    <t>Rectifier height</t>
  </si>
  <si>
    <t>Stripper height</t>
  </si>
  <si>
    <t>Rectifier diameter</t>
  </si>
  <si>
    <t>Stripper diameter</t>
  </si>
  <si>
    <t>Rectifier wall thickness</t>
  </si>
  <si>
    <t>Stripper wall thickness</t>
  </si>
  <si>
    <t>Rectifier weight</t>
  </si>
  <si>
    <t>Stripper weight</t>
  </si>
  <si>
    <t>Rectifier trays</t>
  </si>
  <si>
    <t>Stripper trays</t>
  </si>
  <si>
    <t>Rectifier tower</t>
  </si>
  <si>
    <t>Stripper platform and ladders</t>
  </si>
  <si>
    <t>Stripper tower</t>
  </si>
  <si>
    <t>Rectifier platform and ladders</t>
  </si>
  <si>
    <t>Reflux drum - Horizontal pressure vessel</t>
  </si>
  <si>
    <t>System</t>
  </si>
  <si>
    <t>Area</t>
  </si>
  <si>
    <t>ft^2</t>
  </si>
  <si>
    <t>Overall heat transfer coefficient</t>
  </si>
  <si>
    <t>kW/m^2/K</t>
  </si>
  <si>
    <t>Log-mean temperature difference</t>
  </si>
  <si>
    <t>K</t>
  </si>
  <si>
    <t>Fouling correction factor</t>
  </si>
  <si>
    <t>Operating pressure</t>
  </si>
  <si>
    <t>psi</t>
  </si>
  <si>
    <t>Total tube length</t>
  </si>
  <si>
    <t>Floating head</t>
  </si>
  <si>
    <t>Gcal/hr</t>
  </si>
  <si>
    <t>Column</t>
  </si>
  <si>
    <t>Retentate flow rate</t>
  </si>
  <si>
    <t>Dry air pressure filter (2)</t>
  </si>
  <si>
    <t>Pressing air pressure filter</t>
  </si>
  <si>
    <t>Dry air compressor receiver tank</t>
  </si>
  <si>
    <t>Cloth wash pump</t>
  </si>
  <si>
    <t>Pressing air compressor receiver tank</t>
  </si>
  <si>
    <t>Wet cake conveyor</t>
  </si>
  <si>
    <t>Wet cake screw</t>
  </si>
  <si>
    <t>Recycled water tank</t>
  </si>
  <si>
    <t>Mafifold flush pump</t>
  </si>
  <si>
    <t>Stillage tank 531</t>
  </si>
  <si>
    <t>Feed pump</t>
  </si>
  <si>
    <t>Filtrate tank</t>
  </si>
  <si>
    <t>Discharge pump</t>
  </si>
  <si>
    <t>Flitrate tank agitator</t>
  </si>
  <si>
    <t>Vessel material</t>
  </si>
  <si>
    <t>Carbon steel</t>
  </si>
  <si>
    <t>Residence time</t>
  </si>
  <si>
    <t>hr</t>
  </si>
  <si>
    <t>Reactor volume</t>
  </si>
  <si>
    <t>Vessel type</t>
  </si>
  <si>
    <t>Horizontal</t>
  </si>
  <si>
    <t>Length</t>
  </si>
  <si>
    <t>Dry flow rate</t>
  </si>
  <si>
    <t>Stainless steel 316</t>
  </si>
  <si>
    <t>Horizontal pressure vessel</t>
  </si>
  <si>
    <t>Process water flow rate</t>
  </si>
  <si>
    <t>Makeup water flow rate</t>
  </si>
  <si>
    <t>Process water pump</t>
  </si>
  <si>
    <t>Makeup water pump</t>
  </si>
  <si>
    <t>Type</t>
  </si>
  <si>
    <t>Centrifugal</t>
  </si>
  <si>
    <t>Ideal power</t>
  </si>
  <si>
    <t>hp</t>
  </si>
  <si>
    <t>gpm</t>
  </si>
  <si>
    <t>Efficiency</t>
  </si>
  <si>
    <t>Power</t>
  </si>
  <si>
    <t>Head</t>
  </si>
  <si>
    <t>Motor size</t>
  </si>
  <si>
    <t>Motor</t>
  </si>
  <si>
    <t>Batch time</t>
  </si>
  <si>
    <t>Loading time</t>
  </si>
  <si>
    <t>Batch duty</t>
  </si>
  <si>
    <t>Reactor duty</t>
  </si>
  <si>
    <t>Reactors (x12)</t>
  </si>
  <si>
    <t>Agitators (x12)</t>
  </si>
  <si>
    <t>Fermentor batch cooler</t>
  </si>
  <si>
    <t>Heat exchangers (x12)</t>
  </si>
  <si>
    <t>Recirculation pumps (x12)</t>
  </si>
  <si>
    <t>Stage #1 reactor volume</t>
  </si>
  <si>
    <t>Stage #2 reactor volume</t>
  </si>
  <si>
    <t>Stage #3 reactor volume</t>
  </si>
  <si>
    <t>Stage #4 reactor volume</t>
  </si>
  <si>
    <t>Stage #5 reactor volume</t>
  </si>
  <si>
    <t>Stage #5 agitators</t>
  </si>
  <si>
    <t>Stage #5 reactors</t>
  </si>
  <si>
    <t>Stage #4 agitators</t>
  </si>
  <si>
    <t>Stage #4 reactors</t>
  </si>
  <si>
    <t>Stage #3 reactors</t>
  </si>
  <si>
    <t>Stage #2 reactors</t>
  </si>
  <si>
    <t>Stage #1 reactors</t>
  </si>
  <si>
    <t>Pumps</t>
  </si>
  <si>
    <t>Total volume</t>
  </si>
  <si>
    <t>m^3</t>
  </si>
  <si>
    <t>Heat Exchanger</t>
  </si>
  <si>
    <t>Wastewater system</t>
  </si>
  <si>
    <t>R602-Aerobic digestion</t>
  </si>
  <si>
    <t>Stoichiometry (by mol)</t>
  </si>
  <si>
    <t>Reactant</t>
  </si>
  <si>
    <t>Conversion [%]</t>
  </si>
  <si>
    <t>Ethanol + 2.31 O2 -&gt; 2.31 Water + 1.54 CO2 + 0.454 WWTsludge</t>
  </si>
  <si>
    <t>AceticAcid + 1.54 O2 -&gt; 1.54 Water + 1.54 CO2 + 0.592 WWTsludge</t>
  </si>
  <si>
    <t>Furfural + 3.85 O2 -&gt; 1.54 Water + 3.85 CO2 + 0.948 WWTsludge</t>
  </si>
  <si>
    <t>Glycerol + 2.7 O2 -&gt; 3.08 Water + 2.31 CO2 + 0.908 WWTsludge</t>
  </si>
  <si>
    <t>LacticAcid + 2.31 O2 -&gt; 2.31 Water + 2.31 CO2 + 0.888 WWTsludge</t>
  </si>
  <si>
    <t>SuccinicAcid + 2.7 O2 -&gt; 2.31 Water + 3.08 CO2 + 1.16 WWTsludge</t>
  </si>
  <si>
    <t>Denaturant + 9.64 O2 -&gt; 6.94 Water + 6.17 CO2 + 1.13 WWTsludge</t>
  </si>
  <si>
    <t>AmmoniumAcetate + 2.12 O2 -&gt; 2.7 Water + 0.385 N2 + 1.54 CO2 + 0.76 WWTsludge</t>
  </si>
  <si>
    <t>Oil + 19.7 O2 -&gt; 13.1 Water + 13.9 CO2 + 2.79 WWTsludge</t>
  </si>
  <si>
    <t>HMF + 4.62 O2 -&gt; 2.31 Water + 4.62 CO2 + 1.24 WWTsludge</t>
  </si>
  <si>
    <t>4.62 O2 + Glucose -&gt; 4.62 Water + 4.62 CO2 + 1.78 WWTsludge</t>
  </si>
  <si>
    <t>3.85 O2 + Xylose -&gt; 3.85 Water + 3.85 CO2 + 1.48 WWTsludge</t>
  </si>
  <si>
    <t>9.25 O2 + Sucrose -&gt; 8.48 Water + 9.25 CO2 + 3.38 WWTsludge</t>
  </si>
  <si>
    <t>4.62 O2 + Mannose -&gt; 4.62 Water + 4.62 CO2 + 1.78 WWTsludge</t>
  </si>
  <si>
    <t>4.62 O2 + Galactose -&gt; 4.62 Water + 4.62 CO2 + 1.78 WWTsludge</t>
  </si>
  <si>
    <t>3.85 O2 + Arabinose -&gt; 3.85 Water + 3.85 CO2 + 1.48 WWTsludge</t>
  </si>
  <si>
    <t>4.62 O2 + Extract -&gt; 4.62 Water + 4.62 CO2 + 1.78 WWTsludge</t>
  </si>
  <si>
    <t>6.55 O2 + SolubleLignin -&gt; 3.08 Water + 6.17 CO2 + 1.5 WWTsludge</t>
  </si>
  <si>
    <t>4.62 O2 + GlucoseOligomer -&gt; 3.85 Water + 4.62 CO2 + 1.6 WWTsludge</t>
  </si>
  <si>
    <t>4.62 O2 + GalactoseOligomer -&gt; 3.85 Water + 4.62 CO2 + 1.6 WWTsludge</t>
  </si>
  <si>
    <t>4.62 O2 + MannoseOligomer -&gt; 3.85 Water + 4.62 CO2 + 1.6 WWTsludge</t>
  </si>
  <si>
    <t>3.85 O2 + XyloseOligomer -&gt; 3.08 Water + 3.85 CO2 + 1.3 WWTsludge</t>
  </si>
  <si>
    <t>3.85 O2 + ArabinoseOligomer -&gt; 3.08 Water + 3.85 CO2 + 1.3 WWTsludge</t>
  </si>
  <si>
    <t>0.925 O2 + Z_mobilis -&gt; 0.694 Water + 0.0771 N2 + 0.771 CO2 + 0.243 WWTsludge</t>
  </si>
  <si>
    <t>0.92 O2 + T_reesei -&gt; 0.634 Water + 0.079 N2 + 0.00385 SO2 + 0.771 CO2 + 0.235 WWTsludge</t>
  </si>
  <si>
    <t>0.959 O2 + Protein -&gt; 0.605 Water + 0.112 N2 + 0.0054 SO2 + 0.771 CO2 + 0.225 WWTsludge</t>
  </si>
  <si>
    <t>0.923 O2 + Enzyme -&gt; 0.613 Water + 0.0925 N2 + 0.00771 SO2 + 0.771 CO2 + 0.237 WWTsludge</t>
  </si>
  <si>
    <t>4.24 O2 + Xylitol -&gt; 4.62 Water + 3.85 CO2 + 1.5 WWTsludge</t>
  </si>
  <si>
    <t>9.25 O2 + Cellobiose -&gt; 8.48 Water + 9.25 CO2 + 3.38 WWTsludge</t>
  </si>
  <si>
    <t>0.818 O2 + CSL -&gt; 1.11 Water + 0.0279 N2 + 0.00135 SO2 + 0.771 CO2 + 0.367 WWTsludge</t>
  </si>
  <si>
    <t>0.923 O2 + DenaturedEnzyme -&gt; 0.613 Water + 0.0925 N2 + 0.00771 SO2 + 0.771 CO2 + 0.237 WWTsludge</t>
  </si>
  <si>
    <t>0.923 O2 + Cellulase -&gt; 0.613 Water + 0.0925 N2 + 0.00771 SO2 + 0.771 CO2 + 0.237 WWTsludge</t>
  </si>
  <si>
    <t>R601-Anaerobic digestion</t>
  </si>
  <si>
    <t>Ethanol -&gt; 0.746 CH4 + 0.717 CO2 + 0.109 WWTsludge</t>
  </si>
  <si>
    <t>AceticAcid -&gt; 0.973 CH4 + 0.935 CO2 + 0.142 WWTsludge</t>
  </si>
  <si>
    <t>Furfural -&gt; 1.56 CH4 + 1.5 CO2 + 0.227 WWTsludge</t>
  </si>
  <si>
    <t>Glycerol -&gt; 1.49 CH4 + 1.43 CO2 + 0.218 WWTsludge</t>
  </si>
  <si>
    <t>LacticAcid -&gt; 1.46 CH4 + 1.4 CO2 + 0.213 WWTsludge</t>
  </si>
  <si>
    <t>SuccinicAcid -&gt; 1.91 CH4 + 1.84 CO2 + 0.279 WWTsludge</t>
  </si>
  <si>
    <t>Denaturant -&gt; 1.85 CH4 + 1.78 CO2 + 0.27 WWTsludge</t>
  </si>
  <si>
    <t>AmmoniumAcetate -&gt; 1.25 CH4 + 1.2 CO2 + 0.182 WWTsludge</t>
  </si>
  <si>
    <t>Oil -&gt; 4.58 CH4 + 4.4 CO2 + 0.668 WWTsludge</t>
  </si>
  <si>
    <t>HMF -&gt; 2.04 CH4 + 1.96 CO2 + 0.298 WWTsludge</t>
  </si>
  <si>
    <t>Glucose -&gt; 2.92 CH4 + 2.8 CO2 + 0.426 WWTsludge</t>
  </si>
  <si>
    <t>Xylose -&gt; 2.43 CH4 + 2.34 CO2 + 0.355 WWTsludge</t>
  </si>
  <si>
    <t>Sucrose -&gt; 5.55 CH4 + 5.33 CO2 + 0.809 WWTsludge</t>
  </si>
  <si>
    <t>Mannose -&gt; 2.92 CH4 + 2.8 CO2 + 0.426 WWTsludge</t>
  </si>
  <si>
    <t>Galactose -&gt; 2.92 CH4 + 2.8 CO2 + 0.426 WWTsludge</t>
  </si>
  <si>
    <t>Arabinose -&gt; 2.43 CH4 + 2.34 CO2 + 0.355 WWTsludge</t>
  </si>
  <si>
    <t>Extract -&gt; 2.92 CH4 + 2.8 CO2 + 0.426 WWTsludge</t>
  </si>
  <si>
    <t>SolubleLignin -&gt; 2.47 CH4 + 2.37 CO2 + 0.36 WWTsludge</t>
  </si>
  <si>
    <t>GlucoseOligomer -&gt; 2.63 CH4 + 2.52 CO2 + 0.383 WWTsludge</t>
  </si>
  <si>
    <t>GalactoseOligomer -&gt; 2.63 CH4 + 2.52 CO2 + 0.383 WWTsludge</t>
  </si>
  <si>
    <t>MannoseOligomer -&gt; 2.63 CH4 + 2.52 CO2 + 0.383 WWTsludge</t>
  </si>
  <si>
    <t>XyloseOligomer -&gt; 2.14 CH4 + 2.06 CO2 + 0.312 WWTsludge</t>
  </si>
  <si>
    <t>ArabinoseOligomer -&gt; 2.14 CH4 + 2.06 CO2 + 0.312 WWTsludge</t>
  </si>
  <si>
    <t>Z_mobilis -&gt; 0.399 CH4 + 0.383 CO2 + 0.0582 WWTsludge</t>
  </si>
  <si>
    <t>T_reesei -&gt; 0.386 CH4 + 0.371 CO2 + 0.0563 WWTsludge</t>
  </si>
  <si>
    <t>Protein -&gt; 0.37 CH4 + 0.356 CO2 + 0.054 WWTsludge</t>
  </si>
  <si>
    <t>Enzyme -&gt; 0.389 CH4 + 0.374 CO2 + 0.0568 WWTsludge</t>
  </si>
  <si>
    <t>Xylitol -&gt; 2.47 CH4 + 2.37 CO2 + 0.36 WWTsludge</t>
  </si>
  <si>
    <t>Cellobiose -&gt; 5.55 CH4 + 5.33 CO2 + 0.809 WWTsludge</t>
  </si>
  <si>
    <t>CSL -&gt; 0.603 CH4 + 0.58 CO2 + 0.088 WWTsludge</t>
  </si>
  <si>
    <t>DenaturedEnzyme -&gt; 0.389 CH4 + 0.374 CO2 + 0.0568 WWTsludge</t>
  </si>
  <si>
    <t>Cellulase -&gt; 0.389 CH4 + 0.374 CO2 + 0.0568 WWTsludge</t>
  </si>
  <si>
    <t>BT-Boiler turbogenerator</t>
  </si>
  <si>
    <t>Ethanol + 3 O2 -&gt; 3 Water + 2 CO2</t>
  </si>
  <si>
    <t>AceticAcid + 2 O2 -&gt; 2 Water + 2 CO2</t>
  </si>
  <si>
    <t>Furfural + 5 O2 -&gt; 2 Water + 5 CO2</t>
  </si>
  <si>
    <t>Glycerol + 3.5 O2 -&gt; 4 Water + 3 CO2</t>
  </si>
  <si>
    <t>H2SO4 -&gt; Water + 0.5 O2 + SO2</t>
  </si>
  <si>
    <t>NH3 + 0.75 O2 -&gt; 1.5 Water + 0.5 N2</t>
  </si>
  <si>
    <t>LacticAcid + 3 O2 -&gt; 3 Water + 3 CO2</t>
  </si>
  <si>
    <t>SuccinicAcid + 3.5 O2 -&gt; 3 Water + 4 CO2</t>
  </si>
  <si>
    <t>Lime -&gt; Water + 0.5 O2 + 40.1 Ash</t>
  </si>
  <si>
    <t>HNO3 -&gt; 0.5 Water + 0.5 N2 + 1.25 O2</t>
  </si>
  <si>
    <t>NH4OH + 0.75 O2 -&gt; 2.5 Water + 0.5 N2</t>
  </si>
  <si>
    <t>Denaturant + 12.5 O2 -&gt; 9 Water + 8 CO2</t>
  </si>
  <si>
    <t>DAP + 1.5 O2 -&gt; 4.5 Water + 0.25 P4O10 + N2</t>
  </si>
  <si>
    <t>AmmoniumAcetate + 2.75 O2 -&gt; 3.5 Water + 0.5 N2 + 2 CO2</t>
  </si>
  <si>
    <t>AmmoniumSulfate + O2 -&gt; 4 Water + N2 + SO2</t>
  </si>
  <si>
    <t>NaNO3 -&gt; 0.5 N2 + 1.5 O2 + 23 Ash</t>
  </si>
  <si>
    <t>Oil + 25.5 O2 -&gt; 17 Water + 18 CO2</t>
  </si>
  <si>
    <t>HMF + 6 O2 -&gt; 3 Water + 6 CO2</t>
  </si>
  <si>
    <t>2 O2 + CH4 -&gt; 2 Water + CO2</t>
  </si>
  <si>
    <t>1.5 O2 + H2S -&gt; Water + SO2</t>
  </si>
  <si>
    <t>NO2 -&gt; 0.5 N2 + O2</t>
  </si>
  <si>
    <t>NO -&gt; 0.5 N2 + 0.5 O2</t>
  </si>
  <si>
    <t>0.5 O2 + CO -&gt; CO2</t>
  </si>
  <si>
    <t>6 O2 + Glucose -&gt; 6 Water + 6 CO2</t>
  </si>
  <si>
    <t>5 O2 + Xylose -&gt; 5 Water + 5 CO2</t>
  </si>
  <si>
    <t>12 O2 + Sucrose -&gt; 11 Water + 12 CO2</t>
  </si>
  <si>
    <t>CaSO4 -&gt; O2 + SO2 + 40.1 Ash</t>
  </si>
  <si>
    <t>6 O2 + Mannose -&gt; 6 Water + 6 CO2</t>
  </si>
  <si>
    <t>6 O2 + Galactose -&gt; 6 Water + 6 CO2</t>
  </si>
  <si>
    <t>5 O2 + Arabinose -&gt; 5 Water + 5 CO2</t>
  </si>
  <si>
    <t>6 O2 + CellulaseNutrients -&gt; 6 Water + 6 CO2</t>
  </si>
  <si>
    <t>6 O2 + Extract -&gt; 6 Water + 6 CO2</t>
  </si>
  <si>
    <t>2 O2 + Acetate -&gt; 2 Water + 2 CO2</t>
  </si>
  <si>
    <t>5 O2 + Tar -&gt; 5 Water + 5 CO2</t>
  </si>
  <si>
    <t>NaOH -&gt; 0.5 Water + 0.25 O2 + 23 Ash</t>
  </si>
  <si>
    <t>8.5 O2 + Lignin -&gt; 4 Water + 8 CO2</t>
  </si>
  <si>
    <t>8.5 O2 + SolubleLignin -&gt; 4 Water + 8 CO2</t>
  </si>
  <si>
    <t>6 O2 + GlucoseOligomer -&gt; 5 Water + 6 CO2</t>
  </si>
  <si>
    <t>6 O2 + GalactoseOligomer -&gt; 5 Water + 6 CO2</t>
  </si>
  <si>
    <t>6 O2 + MannoseOligomer -&gt; 5 Water + 6 CO2</t>
  </si>
  <si>
    <t>5 O2 + XyloseOligomer -&gt; 4 Water + 5 CO2</t>
  </si>
  <si>
    <t>5 O2 + ArabinoseOligomer -&gt; 4 Water + 5 CO2</t>
  </si>
  <si>
    <t>1.2 O2 + Z_mobilis -&gt; 0.9 Water + 0.1 N2 + CO2</t>
  </si>
  <si>
    <t>1.19 O2 + T_reesei -&gt; 0.823 Water + 0.102 N2 + 0.005 SO2 + CO2</t>
  </si>
  <si>
    <t>1.22 O2 + Biomass -&gt; 0.82 Water + 0.115 N2 + 0.0035 SO2 + CO2</t>
  </si>
  <si>
    <t>6 O2 + Cellulose -&gt; 5 Water + 6 CO2</t>
  </si>
  <si>
    <t>1.24 O2 + Protein -&gt; 0.785 Water + 0.145 N2 + 0.007 SO2 + CO2</t>
  </si>
  <si>
    <t>1.2 O2 + Enzyme -&gt; 0.795 Water + 0.12 N2 + 0.01 SO2 + CO2</t>
  </si>
  <si>
    <t>6 O2 + Glucan -&gt; 5 Water + 6 CO2</t>
  </si>
  <si>
    <t>5 O2 + Xylan -&gt; 4 Water + 5 CO2</t>
  </si>
  <si>
    <t>5.5 O2 + Xylitol -&gt; 6 Water + 5 CO2</t>
  </si>
  <si>
    <t>12 O2 + Cellobiose -&gt; 11 Water + 12 CO2</t>
  </si>
  <si>
    <t>1.06 O2 + CSL -&gt; 1.45 Water + 0.0362 N2 + 0.00175 SO2 + CO2</t>
  </si>
  <si>
    <t>1.2 O2 + DenaturedEnzyme -&gt; 0.795 Water + 0.12 N2 + 0.01 SO2 + CO2</t>
  </si>
  <si>
    <t>5 O2 + Arabinan -&gt; 4 Water + 5 CO2</t>
  </si>
  <si>
    <t>6 O2 + Mannan -&gt; 5 Water + 6 CO2</t>
  </si>
  <si>
    <t>6 O2 + Galactan -&gt; 5 Water + 6 CO2</t>
  </si>
  <si>
    <t>1.22 O2 + WWTsludge -&gt; 0.82 Water + 0.115 N2 + 0.0035 SO2 + CO2</t>
  </si>
  <si>
    <t>1.2 O2 + Cellulase -&gt; 0.795 Water + 0.12 N2 + 0.01 SO2 + CO2</t>
  </si>
  <si>
    <t>Lime + 0.5 O2 + SO2 -&gt; Water + CaSO4</t>
  </si>
  <si>
    <t>R201-Pretreatment reactor system</t>
  </si>
  <si>
    <t>Water + Glucan -&gt; Glucose</t>
  </si>
  <si>
    <t>Water + Glucan -&gt; GlucoseOligomer</t>
  </si>
  <si>
    <t>Glucan -&gt; 2 Water + HMF</t>
  </si>
  <si>
    <t>Water + Galactan -&gt; GalactoseOligomer</t>
  </si>
  <si>
    <t>Galactan -&gt; 2 Water + HMF</t>
  </si>
  <si>
    <t>Water + Mannan -&gt; MannoseOligomer</t>
  </si>
  <si>
    <t>Mannan -&gt; 2 Water + HMF</t>
  </si>
  <si>
    <t>Sucrose -&gt; 2 Water + HMF + Glucose</t>
  </si>
  <si>
    <t>Water + Xylan -&gt; Xylose</t>
  </si>
  <si>
    <t>Water + Xylan -&gt; XyloseOligomer</t>
  </si>
  <si>
    <t>Xylan -&gt; 2 Water + Furfural</t>
  </si>
  <si>
    <t>Water + Arabinan -&gt; Arabinose</t>
  </si>
  <si>
    <t>Water + Arabinan -&gt; ArabinoseOligomer</t>
  </si>
  <si>
    <t>Arabinan -&gt; 2 Water + Furfural</t>
  </si>
  <si>
    <t>Acetate -&gt; AceticAcid</t>
  </si>
  <si>
    <t>Lignin -&gt; SolubleLignin</t>
  </si>
  <si>
    <t>R303-Saccharification and co fermentation</t>
  </si>
  <si>
    <t>Glucan -&gt; GlucoseOligomer</t>
  </si>
  <si>
    <t>0.5 Water + Glucan -&gt; 0.5 Cellobiose</t>
  </si>
  <si>
    <t>Water + Cellobiose -&gt; 2 Glucose</t>
  </si>
  <si>
    <t>Glucose -&gt; 2 Ethanol + 2 CO2</t>
  </si>
  <si>
    <t>0.018 DAP + Glucose + 0.047 CSL -&gt; 2.4 Water + 6 Z_mobilis</t>
  </si>
  <si>
    <t>2 Water + Glucose -&gt; 2 Glycerol + O2</t>
  </si>
  <si>
    <t>2 CO2 + Glucose -&gt; 2 SuccinicAcid + O2</t>
  </si>
  <si>
    <t>Xylose -&gt; 1.67 Ethanol + 1.67 CO2</t>
  </si>
  <si>
    <t>0.015 DAP + Xylose + 0.039 CSL -&gt; 2 Water + 5 Z_mobilis</t>
  </si>
  <si>
    <t>1.67 Water + Xylose -&gt; 1.67 Glycerol + 0.833 O2</t>
  </si>
  <si>
    <t>Water + Xylose -&gt; 0.5 O2 + Xylitol</t>
  </si>
  <si>
    <t>1.67 CO2 + Xylose -&gt; 1.67 SuccinicAcid + 0.833 O2</t>
  </si>
  <si>
    <t>CSL -&gt; 1.03 Water + 0.103 LacticAcid + 0.408 Protein</t>
  </si>
  <si>
    <t>Glucose -&gt; 2 LacticAcid</t>
  </si>
  <si>
    <t>Xylose -&gt; 1.67 LacticAcid</t>
  </si>
  <si>
    <t>Arabinose -&gt; 1.67 LacticAcid</t>
  </si>
  <si>
    <t>Galactose -&gt; 2 LacticAcid</t>
  </si>
  <si>
    <t>Mannose -&gt; 2 LacticAcid</t>
  </si>
  <si>
    <t>R302-Seed train</t>
  </si>
  <si>
    <t>Temperature</t>
  </si>
  <si>
    <t>Pressure</t>
  </si>
  <si>
    <t>Inputs</t>
  </si>
  <si>
    <t>Material</t>
  </si>
  <si>
    <t>CS</t>
  </si>
  <si>
    <t>Configuration</t>
  </si>
  <si>
    <t>Outputs</t>
  </si>
  <si>
    <t>Value</t>
  </si>
  <si>
    <t>Pa</t>
  </si>
  <si>
    <t>psig</t>
  </si>
  <si>
    <t>F</t>
  </si>
  <si>
    <t>Material density</t>
  </si>
  <si>
    <t>lb/in3</t>
  </si>
  <si>
    <t>kg</t>
  </si>
  <si>
    <t>psia</t>
  </si>
  <si>
    <t xml:space="preserve">Absolute P </t>
  </si>
  <si>
    <t>Gauge P</t>
  </si>
  <si>
    <t>Design P</t>
  </si>
  <si>
    <t>Design T</t>
  </si>
  <si>
    <t>T</t>
  </si>
  <si>
    <t>Volume</t>
  </si>
  <si>
    <t>Ref</t>
  </si>
  <si>
    <t>From [1]: Procedure 2-16</t>
  </si>
  <si>
    <t>m</t>
  </si>
  <si>
    <t>Aspect ratio</t>
  </si>
  <si>
    <t>From [2]. Table 14.2</t>
  </si>
  <si>
    <t>Key</t>
  </si>
  <si>
    <t>Min tensile (ksi)</t>
  </si>
  <si>
    <t>Min yield (ksi)</t>
  </si>
  <si>
    <t>100</t>
  </si>
  <si>
    <t>300</t>
  </si>
  <si>
    <t>500</t>
  </si>
  <si>
    <t>700</t>
  </si>
  <si>
    <t>900</t>
  </si>
  <si>
    <t>A515</t>
  </si>
  <si>
    <t>Killed carbon steel</t>
  </si>
  <si>
    <t>A387</t>
  </si>
  <si>
    <t>Low-alloy steel 1¼ Cr, ½ Mo, Si</t>
  </si>
  <si>
    <t>SS410</t>
  </si>
  <si>
    <t>Stainless steel 13 Cr</t>
  </si>
  <si>
    <t>SS304</t>
  </si>
  <si>
    <t>Stainless steel 18 Cr, 8 Ni</t>
  </si>
  <si>
    <t>SS347</t>
  </si>
  <si>
    <t>Stainless steel 18 Cr, 10 Ni, Cb</t>
  </si>
  <si>
    <t>SS321</t>
  </si>
  <si>
    <t>Stainless steel 18 Cr, 10 Ni, Ti</t>
  </si>
  <si>
    <t>SS316</t>
  </si>
  <si>
    <t>Stainless steel 16 Cr, 12 Ni, 2 Mo</t>
  </si>
  <si>
    <t>Maximum Allowable Stress</t>
  </si>
  <si>
    <t>Welding efficiency</t>
  </si>
  <si>
    <t>ksi</t>
  </si>
  <si>
    <t>Max. temp (°F)</t>
  </si>
  <si>
    <t>Thickness</t>
  </si>
  <si>
    <t>Inside diameter</t>
  </si>
  <si>
    <t>Thickness preliminary</t>
  </si>
  <si>
    <t>Minimum thickness</t>
  </si>
  <si>
    <t>Load/earthquake thickness</t>
  </si>
  <si>
    <t>From [3] Eq. 16.6</t>
  </si>
  <si>
    <t>From [3]</t>
  </si>
  <si>
    <t>From [3] Eq. 16.62</t>
  </si>
  <si>
    <t>Values</t>
  </si>
  <si>
    <t>Corrosion allowance</t>
  </si>
  <si>
    <t>N</t>
  </si>
  <si>
    <t xml:space="preserve">Corrosion </t>
  </si>
  <si>
    <t>mm</t>
  </si>
  <si>
    <t>Tangent-to-tangent length</t>
  </si>
  <si>
    <t>lb/ft3</t>
  </si>
  <si>
    <r>
      <t>m</t>
    </r>
    <r>
      <rPr>
        <vertAlign val="superscript"/>
        <sz val="11"/>
        <color theme="1"/>
        <rFont val="Open sans"/>
      </rPr>
      <t>3</t>
    </r>
  </si>
  <si>
    <t>Vessel Thickness</t>
  </si>
  <si>
    <t>Density (lb/in3)</t>
  </si>
  <si>
    <t>Pretreatment Reactor</t>
  </si>
  <si>
    <t>Vessel Weight</t>
  </si>
  <si>
    <t>Table 1. Maximum Allowable Stresses [1] and densities [2]</t>
  </si>
  <si>
    <t>EQPT NO</t>
  </si>
  <si>
    <t>EQUIPMENT TITLE</t>
  </si>
  <si>
    <t>DESCRIPTION</t>
  </si>
  <si>
    <t>MATERIAL</t>
  </si>
  <si>
    <t>C-101</t>
  </si>
  <si>
    <t>Transfer Conveyor</t>
  </si>
  <si>
    <t>160 MTPH ea., enclosed, 60 in. x 65 ft. long</t>
  </si>
  <si>
    <t>C-102</t>
  </si>
  <si>
    <t>High Angle Transfer Conveyor</t>
  </si>
  <si>
    <t>160 MTPH ea., enclosed, 72 in. wide</t>
  </si>
  <si>
    <t>C-103</t>
  </si>
  <si>
    <t>Reversing Load-in Conveyor</t>
  </si>
  <si>
    <t>320 MT/hr, enclosed, 84 in. wide</t>
  </si>
  <si>
    <t>C-104</t>
  </si>
  <si>
    <t>Dome Reclaim System</t>
  </si>
  <si>
    <t>100 MTPH ea.</t>
  </si>
  <si>
    <t>C-105</t>
  </si>
  <si>
    <t>Reclaim Conveyor</t>
  </si>
  <si>
    <t>100 MTPH ea., enclosed, 48 in. x 125 ft. long</t>
  </si>
  <si>
    <t>C-106</t>
  </si>
  <si>
    <t>100 MTPH, enclosed, 72 in. wide</t>
  </si>
  <si>
    <t>C-107</t>
  </si>
  <si>
    <t>Elevated Transfer Conveyor</t>
  </si>
  <si>
    <t>100 MTPH, enclosed, 48 in. x 200 ft. long</t>
  </si>
  <si>
    <t>C-108</t>
  </si>
  <si>
    <t>Process Feed Conveyor</t>
  </si>
  <si>
    <t>70 MTPH ea., enclosed, 42 in. x 25 ft. long</t>
  </si>
  <si>
    <t>M-101</t>
  </si>
  <si>
    <t>Truck Scale</t>
  </si>
  <si>
    <t>10' x 70', 200,000 lb</t>
  </si>
  <si>
    <t>CONCRETE</t>
  </si>
  <si>
    <t>M-102</t>
  </si>
  <si>
    <t>Truck Dumper</t>
  </si>
  <si>
    <t>70' x 55 ton x 63 degree</t>
  </si>
  <si>
    <t>M-103</t>
  </si>
  <si>
    <t>Truck Dumper Hopper</t>
  </si>
  <si>
    <t>3500 cu.ft. hopper w/ drag chain conveyor</t>
  </si>
  <si>
    <t>M-104</t>
  </si>
  <si>
    <t>Concrete Feedstock Storage Dome</t>
  </si>
  <si>
    <t>98 ft. dia., 160 ft. high., 4000 MT</t>
  </si>
  <si>
    <t>M-105</t>
  </si>
  <si>
    <t>Belt Scale</t>
  </si>
  <si>
    <t>Scale plus processor</t>
  </si>
  <si>
    <t>M-106</t>
  </si>
  <si>
    <t>Dust Collection System</t>
  </si>
  <si>
    <t>8500 ACFM</t>
  </si>
  <si>
    <t>Area 100</t>
  </si>
  <si>
    <t>A-201</t>
  </si>
  <si>
    <t>In-line Sulfuric Acid Mixer</t>
  </si>
  <si>
    <t>Kynar Lined - 600 gpm H2O - 5 gpm acid</t>
  </si>
  <si>
    <t>A-203</t>
  </si>
  <si>
    <t>Blowdown Tank Agitator</t>
  </si>
  <si>
    <t>Side-mounted, 3 x 75 hp. (170 kW)</t>
  </si>
  <si>
    <t>316LSS</t>
  </si>
  <si>
    <t>A-204</t>
  </si>
  <si>
    <t>Flash Tank Agitator</t>
  </si>
  <si>
    <t>A-208</t>
  </si>
  <si>
    <t>Oligomer Hold Tank Agitator</t>
  </si>
  <si>
    <t>A-210</t>
  </si>
  <si>
    <t>Ammonia Addition Tank Agitator</t>
  </si>
  <si>
    <t>SS</t>
  </si>
  <si>
    <t>A-214</t>
  </si>
  <si>
    <t>Ammonia Static Mixer</t>
  </si>
  <si>
    <t>A-224</t>
  </si>
  <si>
    <t>Reacidification Tank Agitator</t>
  </si>
  <si>
    <t>C-201</t>
  </si>
  <si>
    <t>800 mm x 7600 mm (2'-8" x 25')</t>
  </si>
  <si>
    <t>AL-6XN</t>
  </si>
  <si>
    <t>C-202</t>
  </si>
  <si>
    <t>Distribution Conveyor</t>
  </si>
  <si>
    <t>C-203</t>
  </si>
  <si>
    <t>Overfeed Conveyor</t>
  </si>
  <si>
    <t>C-204</t>
  </si>
  <si>
    <t>Pressurized Heating Screw</t>
  </si>
  <si>
    <t>2500 mm x 9500 mm (8' x 31')</t>
  </si>
  <si>
    <t>Dup. 2205</t>
  </si>
  <si>
    <t>C-205</t>
  </si>
  <si>
    <t>Pressurized Pre-heater Discharge</t>
  </si>
  <si>
    <t>850 mm x 3500 mm (2'-10" x 12')</t>
  </si>
  <si>
    <t>C-206</t>
  </si>
  <si>
    <t>Pressurized Transport - No. 1</t>
  </si>
  <si>
    <t>900 mm x 3500 mm (3' x 12')</t>
  </si>
  <si>
    <t>CLAD; CS</t>
  </si>
  <si>
    <t>C-207</t>
  </si>
  <si>
    <t>Pressurized Transport - No. 2</t>
  </si>
  <si>
    <t>1200 mm x 3500 mm (4' x 12')</t>
  </si>
  <si>
    <t>Incoloy 825; CLAD; CS</t>
  </si>
  <si>
    <t>H-201</t>
  </si>
  <si>
    <t>Pretreatment Water Heater</t>
  </si>
  <si>
    <t>29.9 MMBtu</t>
  </si>
  <si>
    <t>304SS</t>
  </si>
  <si>
    <t>H-244</t>
  </si>
  <si>
    <t>Waste Vapor Condenser</t>
  </si>
  <si>
    <t>Copied H-201</t>
  </si>
  <si>
    <t>M-201</t>
  </si>
  <si>
    <t>Doffing Roll Storage Bins</t>
  </si>
  <si>
    <t>60 cu. m. (2100 cu.ft.) with conveyors/scrapers</t>
  </si>
  <si>
    <t>304LSS</t>
  </si>
  <si>
    <t>M-202</t>
  </si>
  <si>
    <t>Pin Drum Feeder</t>
  </si>
  <si>
    <t>M-203</t>
  </si>
  <si>
    <t>Plug Screw Feeder</t>
  </si>
  <si>
    <t>M-204</t>
  </si>
  <si>
    <t>Prehydrolysis / Vertical Preheater</t>
  </si>
  <si>
    <t>16' x 62' - 10 min. residence time</t>
  </si>
  <si>
    <t>M-205</t>
  </si>
  <si>
    <t>M-206</t>
  </si>
  <si>
    <t>M-207</t>
  </si>
  <si>
    <t>2600 mm x 9000 mm (9' x 30') - 2 min. residence time</t>
  </si>
  <si>
    <t>P-201</t>
  </si>
  <si>
    <t>Sulfuric Acid Pump</t>
  </si>
  <si>
    <t>9 GPM, 245 FT TDH</t>
  </si>
  <si>
    <t>P-203</t>
  </si>
  <si>
    <t>Blowdown Tank Discharge Pump</t>
  </si>
  <si>
    <t>1900 GPM, 150 FT TDH</t>
  </si>
  <si>
    <t>316SS</t>
  </si>
  <si>
    <t>P-204</t>
  </si>
  <si>
    <t>Flash Tank Discharge Pump</t>
  </si>
  <si>
    <t>900 GPM, 150 FT TDH</t>
  </si>
  <si>
    <t>P-208</t>
  </si>
  <si>
    <t>Oligomer Hold Tank Discharge Pump</t>
  </si>
  <si>
    <t>P-209</t>
  </si>
  <si>
    <t>Hydrolyzate Pump</t>
  </si>
  <si>
    <t>1771 GPM, 150 FT TDH</t>
  </si>
  <si>
    <t>P-239</t>
  </si>
  <si>
    <t>Reacidified Hydrolyzate Pump</t>
  </si>
  <si>
    <t>1771 GPM, 100 FT TDH</t>
  </si>
  <si>
    <t>S-205</t>
  </si>
  <si>
    <t>Hydrolyzate Solid-Liquid Separator</t>
  </si>
  <si>
    <t>T-201</t>
  </si>
  <si>
    <t>Sulfuric Acid Tank</t>
  </si>
  <si>
    <t>12,800 gal, 24hr residence time</t>
  </si>
  <si>
    <t>PLASTIC</t>
  </si>
  <si>
    <t>T-203</t>
  </si>
  <si>
    <t>Blowdown Tank</t>
  </si>
  <si>
    <t>23' x 48' - 110,000 gal.</t>
  </si>
  <si>
    <t>T-204</t>
  </si>
  <si>
    <t>Flash Tank</t>
  </si>
  <si>
    <t>T-208</t>
  </si>
  <si>
    <t>Oligomer Conversion Tank</t>
  </si>
  <si>
    <t>2.6 atm, 130C operating 30 min hold, 30,000 gal</t>
  </si>
  <si>
    <t>T-209</t>
  </si>
  <si>
    <t>Ammonia Addition Tank</t>
  </si>
  <si>
    <t>118,000 gal, 1hr residence time</t>
  </si>
  <si>
    <t>T-224</t>
  </si>
  <si>
    <t>Reacidification Tank</t>
  </si>
  <si>
    <t>500,000 gal</t>
  </si>
  <si>
    <t>Area 200</t>
  </si>
  <si>
    <t>A-300</t>
  </si>
  <si>
    <t>Ethanol Fermentor Agitator</t>
  </si>
  <si>
    <t>A-301</t>
  </si>
  <si>
    <t>Seed Hold Tank Agitator</t>
  </si>
  <si>
    <t>A-304</t>
  </si>
  <si>
    <t>4th Seed Vessel Agitator</t>
  </si>
  <si>
    <t>A-305</t>
  </si>
  <si>
    <t>5th Seed Vessel Agitator</t>
  </si>
  <si>
    <t>A-308</t>
  </si>
  <si>
    <t>Beer Storage Tank Agitator</t>
  </si>
  <si>
    <t>A-309</t>
  </si>
  <si>
    <t>Enzyme-Hydrolyzate Mixer</t>
  </si>
  <si>
    <t>inline mixer 1673 gpm</t>
  </si>
  <si>
    <t>F-300</t>
  </si>
  <si>
    <t>Ethanol Fermentor</t>
  </si>
  <si>
    <t>1,000,000 galn ea</t>
  </si>
  <si>
    <t>F-301</t>
  </si>
  <si>
    <t>1st Seed Fermentor</t>
  </si>
  <si>
    <t>20 gallon skid complete - $37,700 ea</t>
  </si>
  <si>
    <t>F-302</t>
  </si>
  <si>
    <t>2nd Seed Fermentor</t>
  </si>
  <si>
    <t>200 gallon skid complete - $58,300 ea</t>
  </si>
  <si>
    <t>F-303</t>
  </si>
  <si>
    <t>3rd Seed Fermentor</t>
  </si>
  <si>
    <t>2000 gallon skid complete - $78,800 ea</t>
  </si>
  <si>
    <t>F-304</t>
  </si>
  <si>
    <t>4th Seed Fermentor</t>
  </si>
  <si>
    <t>20,000 gallon, incl. coil - $178,000 ea</t>
  </si>
  <si>
    <t>F-305</t>
  </si>
  <si>
    <t>5th Seed Fermentor</t>
  </si>
  <si>
    <t>200,000 gallon, incl. coil - $690,000 ea</t>
  </si>
  <si>
    <t>H-300</t>
  </si>
  <si>
    <t>Fermentor Cooler</t>
  </si>
  <si>
    <t>Plate &amp; frame</t>
  </si>
  <si>
    <t>H-301</t>
  </si>
  <si>
    <t>Hydrolyzate Cooler</t>
  </si>
  <si>
    <t>Plate &amp; Frame 32.5 MMBtu/hr</t>
  </si>
  <si>
    <t>H-304</t>
  </si>
  <si>
    <t>4th Seed Fermentor Coil</t>
  </si>
  <si>
    <t>incl. w/ tank</t>
  </si>
  <si>
    <t>H-305</t>
  </si>
  <si>
    <t>5th Seed Fermentor Coil</t>
  </si>
  <si>
    <t>H-306</t>
  </si>
  <si>
    <t>Fermentor Batch Cooler</t>
  </si>
  <si>
    <t>P-300</t>
  </si>
  <si>
    <t>Fermentation Recirc/Transfer Pump</t>
  </si>
  <si>
    <t>340 GPM, 150 FT</t>
  </si>
  <si>
    <t>P-301</t>
  </si>
  <si>
    <t>Seed Hold Transfer Pump</t>
  </si>
  <si>
    <t>160 GPM, 150 FT TDH</t>
  </si>
  <si>
    <t>P-302</t>
  </si>
  <si>
    <t>Seed Transfer Pump</t>
  </si>
  <si>
    <t>P-303</t>
  </si>
  <si>
    <t>Beer Transfer Pump</t>
  </si>
  <si>
    <t>2152 GPM, 171 FT TDH</t>
  </si>
  <si>
    <t>P-304</t>
  </si>
  <si>
    <t>Saccharification Transfer Pump</t>
  </si>
  <si>
    <t>352 GPM, 150 FT TDH</t>
  </si>
  <si>
    <t>T-300</t>
  </si>
  <si>
    <t>Seed Hold Tank</t>
  </si>
  <si>
    <t>300,000 gallon</t>
  </si>
  <si>
    <t>T-305</t>
  </si>
  <si>
    <t>Beer Storage Tank</t>
  </si>
  <si>
    <t>500,000 gallon</t>
  </si>
  <si>
    <t>T-310</t>
  </si>
  <si>
    <t>Saccharification Tank</t>
  </si>
  <si>
    <t>250,000 gal each - 19' dia. x 120' tall</t>
  </si>
  <si>
    <t>A-400</t>
  </si>
  <si>
    <t>Cellulase Fermentor Agitators</t>
  </si>
  <si>
    <t>A-401</t>
  </si>
  <si>
    <t>A-402</t>
  </si>
  <si>
    <t>A-403</t>
  </si>
  <si>
    <t>A-404</t>
  </si>
  <si>
    <t>A285G</t>
  </si>
  <si>
    <t>A-405</t>
  </si>
  <si>
    <t>Media-Prep Tank Agitator</t>
  </si>
  <si>
    <t>A-406</t>
  </si>
  <si>
    <t>Cellulase Nutrient Mix Tank Agitator</t>
  </si>
  <si>
    <t>F-400</t>
  </si>
  <si>
    <t>Cellulase Fermentor</t>
  </si>
  <si>
    <t>80,000 gal, 1 atm, 28 °C, Internal coil</t>
  </si>
  <si>
    <t>F-401</t>
  </si>
  <si>
    <t>1st Cellulase Seed Fermentor</t>
  </si>
  <si>
    <t>80 gallon skid complete - $46,000 ea</t>
  </si>
  <si>
    <t>F-402</t>
  </si>
  <si>
    <t>2nd Cellulase Seed Fermentor</t>
  </si>
  <si>
    <t>800 gallon skid complete - $57,500 ea</t>
  </si>
  <si>
    <t>F-403</t>
  </si>
  <si>
    <t>3rd Cellulase Seed Fermentor</t>
  </si>
  <si>
    <t>8,000 gallon skid complete - $95,400 ea</t>
  </si>
  <si>
    <t>F-404</t>
  </si>
  <si>
    <t>Cellulase Fermentation Cooler</t>
  </si>
  <si>
    <t>Cooling coil included with Cellulase Fermentor</t>
  </si>
  <si>
    <t>H-405</t>
  </si>
  <si>
    <t>Media Prep Tank Cooler</t>
  </si>
  <si>
    <t>Cooling coil included with Media Prep Tank</t>
  </si>
  <si>
    <t>P-400</t>
  </si>
  <si>
    <t>Fermenter Air Compressor Package</t>
  </si>
  <si>
    <t>8000 SCFM @ 16 psig</t>
  </si>
  <si>
    <t>P-401</t>
  </si>
  <si>
    <t>Cellulase Transfer Pump</t>
  </si>
  <si>
    <t>59 GPM, 100 FT, TDH SIZE 2X1-10C</t>
  </si>
  <si>
    <t>P-402</t>
  </si>
  <si>
    <t>Cellulase Seed Pump</t>
  </si>
  <si>
    <t>3 GPM, 100 FT TDH SIZE 2X1-10</t>
  </si>
  <si>
    <t>P-403</t>
  </si>
  <si>
    <t>Media Pump</t>
  </si>
  <si>
    <t>63 GPM, 100 FT TDH SIZE 2X1-10C</t>
  </si>
  <si>
    <t>P-404</t>
  </si>
  <si>
    <t>Cellulase Nutrient Transfer Pump</t>
  </si>
  <si>
    <t>Gear Pump 2 GPM, 100 FT</t>
  </si>
  <si>
    <t>P-405</t>
  </si>
  <si>
    <t>Cellulase Feed Pump</t>
  </si>
  <si>
    <t>Gear Pump</t>
  </si>
  <si>
    <t>P-406</t>
  </si>
  <si>
    <t>Anti-Atom Pump</t>
  </si>
  <si>
    <t>T-400</t>
  </si>
  <si>
    <t>SO2 Storage Tank</t>
  </si>
  <si>
    <t>1 ton cylinders, incl w/ delivery</t>
  </si>
  <si>
    <t>T-405</t>
  </si>
  <si>
    <t>Media-Prep Tank</t>
  </si>
  <si>
    <t>20,000 gallon, incl. coil</t>
  </si>
  <si>
    <t>T-406</t>
  </si>
  <si>
    <t>Cellulase Nutrient Mix Tank</t>
  </si>
  <si>
    <t>HDPE, 8,000 gal</t>
  </si>
  <si>
    <t>HDPE</t>
  </si>
  <si>
    <t>T-410</t>
  </si>
  <si>
    <t>Cellulase Hold Tank</t>
  </si>
  <si>
    <t>80,000 gal</t>
  </si>
  <si>
    <t>Area 300 &amp; 400</t>
  </si>
  <si>
    <t>A-530</t>
  </si>
  <si>
    <t>Filtrate Tank Agitator</t>
  </si>
  <si>
    <t>C-501</t>
  </si>
  <si>
    <t>Lignin Wet Cake Conveyor</t>
  </si>
  <si>
    <t>Belt 100 ft. long x 24" wide, enclosed</t>
  </si>
  <si>
    <t>C-502</t>
  </si>
  <si>
    <t>Lignin Wet Cake Screw</t>
  </si>
  <si>
    <t>Screw conveyor - 25 ft lg x 14" dia</t>
  </si>
  <si>
    <t>D-501</t>
  </si>
  <si>
    <t>Beer Column</t>
  </si>
  <si>
    <t>14' dia. x 76' tall, 32 trays, 24" spacing</t>
  </si>
  <si>
    <t>D-502</t>
  </si>
  <si>
    <t>Rectification Column</t>
  </si>
  <si>
    <t>Top 13' dia. x 68' h, Bottom 4'6" x 31' h</t>
  </si>
  <si>
    <t>H-501</t>
  </si>
  <si>
    <t>Beer Column Reboiler</t>
  </si>
  <si>
    <t>S &amp; T</t>
  </si>
  <si>
    <t>316SS;CS</t>
  </si>
  <si>
    <t>H-502</t>
  </si>
  <si>
    <t>Rectification Column Reboiler</t>
  </si>
  <si>
    <t>H-504</t>
  </si>
  <si>
    <t>Beer Column Condenser</t>
  </si>
  <si>
    <t>H-505</t>
  </si>
  <si>
    <t>Rectification Column Condenser</t>
  </si>
  <si>
    <t>92.2 MM Btu/hr 3 cells</t>
  </si>
  <si>
    <t>H-512</t>
  </si>
  <si>
    <t>Beer Column Feed Interchanger</t>
  </si>
  <si>
    <t>Plate &amp; Frame</t>
  </si>
  <si>
    <t>M-503</t>
  </si>
  <si>
    <t>Molecular Sieve Package (9 pieces)</t>
  </si>
  <si>
    <t>M-505</t>
  </si>
  <si>
    <t>Pressure Filter Pressing Compr</t>
  </si>
  <si>
    <t>460 SCFM, 300 psig</t>
  </si>
  <si>
    <t>M-507</t>
  </si>
  <si>
    <t>Pressure Filter Drying Compr</t>
  </si>
  <si>
    <t>4000 SCFM, 130 psig (ea)</t>
  </si>
  <si>
    <t>P-501</t>
  </si>
  <si>
    <t>Beer Column Bottoms Recirc Pump</t>
  </si>
  <si>
    <t>10,000 gpm</t>
  </si>
  <si>
    <t>P-502</t>
  </si>
  <si>
    <t>Beer Column Reflux Pump</t>
  </si>
  <si>
    <t>15 gpm</t>
  </si>
  <si>
    <t>P-504</t>
  </si>
  <si>
    <t>Rectification Column Bottoms Pump</t>
  </si>
  <si>
    <t>500 gpm</t>
  </si>
  <si>
    <t>P-505</t>
  </si>
  <si>
    <t>Rectification Column Reflux Pump</t>
  </si>
  <si>
    <t>P-506</t>
  </si>
  <si>
    <t>Beer Column Stillage Pump</t>
  </si>
  <si>
    <t>2000 gpm</t>
  </si>
  <si>
    <t>P-515</t>
  </si>
  <si>
    <t>Scrubber Bottoms Pump</t>
  </si>
  <si>
    <t>108 GPM, 104 FT TDH</t>
  </si>
  <si>
    <t>P-530</t>
  </si>
  <si>
    <t>Filtrate Tank Discharge Pump</t>
  </si>
  <si>
    <t>590 GPM, 100 FT TDH SIZE 4X3-13</t>
  </si>
  <si>
    <t>P-531</t>
  </si>
  <si>
    <t>Feed Pump</t>
  </si>
  <si>
    <t>1014 GPM 230 FT TDH SIZE 8X6-15</t>
  </si>
  <si>
    <t>P-532</t>
  </si>
  <si>
    <t>Manifold Flush Pump</t>
  </si>
  <si>
    <t>P-533</t>
  </si>
  <si>
    <t>Cloth Wash Pump</t>
  </si>
  <si>
    <t>P-581</t>
  </si>
  <si>
    <t>Filtrate Discharge Pump</t>
  </si>
  <si>
    <t>S-505</t>
  </si>
  <si>
    <t>Pressure Filter</t>
  </si>
  <si>
    <t>384 sq. m filtration area ea incl packing</t>
  </si>
  <si>
    <t>T-503</t>
  </si>
  <si>
    <t>Beer Column Reflux Drum</t>
  </si>
  <si>
    <t>4' dia, 6' high, 50 psig design</t>
  </si>
  <si>
    <t>T-505</t>
  </si>
  <si>
    <t>Rectification Column Reflux Drum</t>
  </si>
  <si>
    <t>T-512</t>
  </si>
  <si>
    <t>Vent Scrubber</t>
  </si>
  <si>
    <t>Inlet Gas: 9681 acfm, 91F, 1.97 mass% Ethanol</t>
  </si>
  <si>
    <t>SS304;PP</t>
  </si>
  <si>
    <t>T-530</t>
  </si>
  <si>
    <t>Filtrate Tank</t>
  </si>
  <si>
    <t>13,750 gal 14' dia x 12' H</t>
  </si>
  <si>
    <t>T-531</t>
  </si>
  <si>
    <t>Feed Tank</t>
  </si>
  <si>
    <t>20,300 gal 14' dia x 18' H</t>
  </si>
  <si>
    <t>T-532</t>
  </si>
  <si>
    <t>Recycled Water Tank</t>
  </si>
  <si>
    <t>4000 gal</t>
  </si>
  <si>
    <t>T-533</t>
  </si>
  <si>
    <t>Pressing Air Compressor Receiver</t>
  </si>
  <si>
    <t>1350 gal., 300 psig design</t>
  </si>
  <si>
    <t>T-534</t>
  </si>
  <si>
    <t>Drying Air Compressor Receiver</t>
  </si>
  <si>
    <t>9,000 gal., 150 psig design</t>
  </si>
  <si>
    <t>Area 500</t>
  </si>
  <si>
    <t>B-606</t>
  </si>
  <si>
    <t>Biogas Blower</t>
  </si>
  <si>
    <t>3000 ACFM, 10 PSI</t>
  </si>
  <si>
    <t>B-608</t>
  </si>
  <si>
    <t>Aerobic Digester Blower</t>
  </si>
  <si>
    <t>14,000 SCFM @ 10.3 psig</t>
  </si>
  <si>
    <t>C-614</t>
  </si>
  <si>
    <t>Aerobic Sludge Screw</t>
  </si>
  <si>
    <t>H-602</t>
  </si>
  <si>
    <t>Anaerobic Digestor Feed Cooler</t>
  </si>
  <si>
    <t>Wide gap plate &amp; frame 2.5 mgd</t>
  </si>
  <si>
    <t>SS316;CS</t>
  </si>
  <si>
    <t>M-606</t>
  </si>
  <si>
    <t>Biogas Emergency Flare</t>
  </si>
  <si>
    <t>P-630</t>
  </si>
  <si>
    <t>Polymer Addition System</t>
  </si>
  <si>
    <t>11.4 gph neat polymer</t>
  </si>
  <si>
    <t>P-631</t>
  </si>
  <si>
    <t>Caustic Feed System</t>
  </si>
  <si>
    <t>0-300 gph Aerobic Digesters #1-#3</t>
  </si>
  <si>
    <t>P-640</t>
  </si>
  <si>
    <t>Evaporator System</t>
  </si>
  <si>
    <t>P-605</t>
  </si>
  <si>
    <t>Anaerobic Reactor Feed Pump</t>
  </si>
  <si>
    <t>2500 gpm submersible rail mounted</t>
  </si>
  <si>
    <t>P-606</t>
  </si>
  <si>
    <t>Anaerobic Reactor Recirc Pump</t>
  </si>
  <si>
    <t>400 gpm, 50 ft TDH</t>
  </si>
  <si>
    <t>P-607</t>
  </si>
  <si>
    <t>Waste Anaerobic Sludge Pump</t>
  </si>
  <si>
    <t>10 gpm</t>
  </si>
  <si>
    <t>P-608</t>
  </si>
  <si>
    <t>Aeration Basin Feed Pump</t>
  </si>
  <si>
    <t>P-609</t>
  </si>
  <si>
    <t>Return Activated Sludge Pump</t>
  </si>
  <si>
    <t>P-610</t>
  </si>
  <si>
    <t>Reverse Osmosis Feed Pump</t>
  </si>
  <si>
    <t>P-611</t>
  </si>
  <si>
    <t>Centrifuge Feed Pump</t>
  </si>
  <si>
    <t>P-612</t>
  </si>
  <si>
    <t>Centraute Pump</t>
  </si>
  <si>
    <t>P-616</t>
  </si>
  <si>
    <t>Treated Water Pump</t>
  </si>
  <si>
    <t>R-609</t>
  </si>
  <si>
    <t>Membrane Bioreactor</t>
  </si>
  <si>
    <t>Includes membrane CIP and Scour system</t>
  </si>
  <si>
    <t>S-610</t>
  </si>
  <si>
    <t>Reverse Osmosis System</t>
  </si>
  <si>
    <t>T-601</t>
  </si>
  <si>
    <t>Centrifuge</t>
  </si>
  <si>
    <t>T-606</t>
  </si>
  <si>
    <t>Anaerobic Basin</t>
  </si>
  <si>
    <t>31 Million gallon with cover</t>
  </si>
  <si>
    <t>T-608</t>
  </si>
  <si>
    <t>Aeration Digester</t>
  </si>
  <si>
    <t>25 ft H x 115 ft x 344 ft 2 ft floor/wall thickness</t>
  </si>
  <si>
    <t>T-609</t>
  </si>
  <si>
    <t>Sludge Holding Tank</t>
  </si>
  <si>
    <t>A-701</t>
  </si>
  <si>
    <t>Denaturant In-line Mixer</t>
  </si>
  <si>
    <t>4 inch</t>
  </si>
  <si>
    <t>A-720</t>
  </si>
  <si>
    <t>CSL Storage Tank Agitator</t>
  </si>
  <si>
    <t>A-765</t>
  </si>
  <si>
    <t>DAP Make-up Tank Agitator</t>
  </si>
  <si>
    <t>C-755</t>
  </si>
  <si>
    <t>DAP Bulk Bag Unloader</t>
  </si>
  <si>
    <t>Super sack unloader</t>
  </si>
  <si>
    <t>P-701</t>
  </si>
  <si>
    <t>Ethanol Product Pump</t>
  </si>
  <si>
    <t>150 GPM, 142 FT TDH</t>
  </si>
  <si>
    <t>P-703</t>
  </si>
  <si>
    <t>5 GPM, 150 FT TDH SIZE 2X1-10</t>
  </si>
  <si>
    <t>P-704</t>
  </si>
  <si>
    <t>Firewater Pump</t>
  </si>
  <si>
    <t>2500 GPM, 150 FT TDH</t>
  </si>
  <si>
    <t>P-710</t>
  </si>
  <si>
    <t>Gasoline Pump</t>
  </si>
  <si>
    <t>4 GPM, 60 FT</t>
  </si>
  <si>
    <t>P-752</t>
  </si>
  <si>
    <t>8 GPM, 80 FT</t>
  </si>
  <si>
    <t>P-760</t>
  </si>
  <si>
    <t>DAP Pump</t>
  </si>
  <si>
    <t>2 GPM, 100 FT TDH</t>
  </si>
  <si>
    <t>T-701</t>
  </si>
  <si>
    <t>CSL Storage Tank</t>
  </si>
  <si>
    <t>750,000 gal., 7 day storage, Floating roof</t>
  </si>
  <si>
    <t>A285C</t>
  </si>
  <si>
    <t>T-703</t>
  </si>
  <si>
    <t>Sulfuric Acid Storage Tank</t>
  </si>
  <si>
    <t>12,600 gal, 12' dia x15' H</t>
  </si>
  <si>
    <t>T-704</t>
  </si>
  <si>
    <t>Firewater Storage Tank</t>
  </si>
  <si>
    <t>600,000 gal - 4 hrs @ 2500 gpm</t>
  </si>
  <si>
    <t>Glass lined CS</t>
  </si>
  <si>
    <t>T-706</t>
  </si>
  <si>
    <t>Ammonia Storage Tank</t>
  </si>
  <si>
    <t>28,000 gal</t>
  </si>
  <si>
    <t>SA-516-70</t>
  </si>
  <si>
    <t>T-720</t>
  </si>
  <si>
    <t>Gasoline Storage Tank</t>
  </si>
  <si>
    <t>65,000 gal, floating roof</t>
  </si>
  <si>
    <t>T-752</t>
  </si>
  <si>
    <t>70,000 gal</t>
  </si>
  <si>
    <t>T-760</t>
  </si>
  <si>
    <t>DAP Bulk Bag Holder</t>
  </si>
  <si>
    <t>Super sack holder</t>
  </si>
  <si>
    <t>T-765</t>
  </si>
  <si>
    <t>DAP Make-up Tank</t>
  </si>
  <si>
    <t>12,800 gal</t>
  </si>
  <si>
    <t>Area 600 &amp; 700</t>
  </si>
  <si>
    <t>H-801</t>
  </si>
  <si>
    <t>Burner Combustion Air Preheater</t>
  </si>
  <si>
    <t>H-811</t>
  </si>
  <si>
    <t>BFW Preheater</t>
  </si>
  <si>
    <t>H-812</t>
  </si>
  <si>
    <t>Pretreatment/BFW heat recovery</t>
  </si>
  <si>
    <t>9.4 MM Btu/hr</t>
  </si>
  <si>
    <t>M-804</t>
  </si>
  <si>
    <t>Air Intake Fan</t>
  </si>
  <si>
    <t>M-803</t>
  </si>
  <si>
    <t>525,000 lb/hr @ 900 psig</t>
  </si>
  <si>
    <t>Combustion Gas Baghouses</t>
  </si>
  <si>
    <t>INCLUDED WITH FGD SYSTEM</t>
  </si>
  <si>
    <t>M-811</t>
  </si>
  <si>
    <t>Turbine/Generator</t>
  </si>
  <si>
    <t>23.6 kW, 2 extractions</t>
  </si>
  <si>
    <t>M-820</t>
  </si>
  <si>
    <t>Hot Process Water Softener System</t>
  </si>
  <si>
    <t>M-830</t>
  </si>
  <si>
    <t>Amine Addition Pkg.</t>
  </si>
  <si>
    <t>M-832</t>
  </si>
  <si>
    <t>Ammonia Addition Pkg.</t>
  </si>
  <si>
    <t>M-834</t>
  </si>
  <si>
    <t>Phosphate Addition Pkg.</t>
  </si>
  <si>
    <t>P-804</t>
  </si>
  <si>
    <t>Condensate Pump</t>
  </si>
  <si>
    <t>P-811</t>
  </si>
  <si>
    <t>Turbine Condensate Pump</t>
  </si>
  <si>
    <t>P-824</t>
  </si>
  <si>
    <t>Deaerator Feed Pump</t>
  </si>
  <si>
    <t>P-826</t>
  </si>
  <si>
    <t>BFW Pump</t>
  </si>
  <si>
    <t>P-828</t>
  </si>
  <si>
    <t>Blowdown Pump</t>
  </si>
  <si>
    <t>P-830</t>
  </si>
  <si>
    <t>Amine Transfer Pump</t>
  </si>
  <si>
    <t>T-804</t>
  </si>
  <si>
    <t>Condensate Collection Tank</t>
  </si>
  <si>
    <t>T-824</t>
  </si>
  <si>
    <t>Condensate Surge Drum</t>
  </si>
  <si>
    <t>T-826</t>
  </si>
  <si>
    <t>Tray type</t>
  </si>
  <si>
    <t>CS;SS316</t>
  </si>
  <si>
    <t>Blowdown Flash Drum</t>
  </si>
  <si>
    <t>T-830</t>
  </si>
  <si>
    <t>Amine Drum</t>
  </si>
  <si>
    <t>M-902</t>
  </si>
  <si>
    <t>Cooling Tower System</t>
  </si>
  <si>
    <t>44,200 gpm</t>
  </si>
  <si>
    <t>FIBERGLASS</t>
  </si>
  <si>
    <t>M-904</t>
  </si>
  <si>
    <t>Plant Air Compressor</t>
  </si>
  <si>
    <t>400 SCFM@125 psig</t>
  </si>
  <si>
    <t>M-908</t>
  </si>
  <si>
    <t>Chilled Water Package</t>
  </si>
  <si>
    <t>2 x 2350 tons (14.2 MM kcal/hr)</t>
  </si>
  <si>
    <t>M-910</t>
  </si>
  <si>
    <t>CIP System</t>
  </si>
  <si>
    <t>100,000 GAL</t>
  </si>
  <si>
    <t>SS304/SS316</t>
  </si>
  <si>
    <t>P-902</t>
  </si>
  <si>
    <t>Cooling Water Pump</t>
  </si>
  <si>
    <t>16,120 GPM, 100 FT TDH SIZE 20X20-28</t>
  </si>
  <si>
    <t>P-912</t>
  </si>
  <si>
    <t>Make-up Water Pump</t>
  </si>
  <si>
    <t>685 GPM, 75 FT TDH SIZE 6X4-13</t>
  </si>
  <si>
    <t>P-914</t>
  </si>
  <si>
    <t>Process Water Circulating Pump</t>
  </si>
  <si>
    <t>2285 GPM, 75 FT TDH SIZE 8X6-13</t>
  </si>
  <si>
    <t>P-904</t>
  </si>
  <si>
    <t>Instrument Air Dryer</t>
  </si>
  <si>
    <t>670 SCFM - CYCLING TYPE</t>
  </si>
  <si>
    <t>T-904</t>
  </si>
  <si>
    <t>Plant Air Receiver</t>
  </si>
  <si>
    <t>3800 gal - 72" x 228" vertical</t>
  </si>
  <si>
    <t>T-914</t>
  </si>
  <si>
    <t>Process Water Tank No. 1</t>
  </si>
  <si>
    <t>250,000 gal</t>
  </si>
  <si>
    <t>Area 800 &amp; 900</t>
  </si>
  <si>
    <t>Equipment description and materials from the Humbird 2011 Report</t>
  </si>
  <si>
    <t>Y</t>
  </si>
  <si>
    <t>Vessel weight</t>
  </si>
  <si>
    <t>Weight with allowance</t>
  </si>
  <si>
    <t>From [1]: Procedure 2-18</t>
  </si>
  <si>
    <t>Table. Pretreatment Reactor (R201)</t>
  </si>
  <si>
    <t>Table. Continuous presaccharification (R301)</t>
  </si>
  <si>
    <t>Table. Saccharification and Co-Fermentation (R303)</t>
  </si>
  <si>
    <t>Table. Seed train (R302)</t>
  </si>
  <si>
    <t>Vertical</t>
  </si>
  <si>
    <t>Table.Distillation Columnn (D402)</t>
  </si>
  <si>
    <t xml:space="preserve">Inside diameter </t>
  </si>
  <si>
    <t>Table.Divided Distillation Columnn (D403) | Rectifier</t>
  </si>
  <si>
    <t>Table.Divided Distillation Columnn (D403) | Stripper</t>
  </si>
  <si>
    <t xml:space="preserve">Table. Pretreatment Flash (F201) </t>
  </si>
  <si>
    <t>gal</t>
  </si>
  <si>
    <t>Specific gravity</t>
  </si>
  <si>
    <t>Pressure vessel Sizing</t>
  </si>
  <si>
    <t>Corrosive Material</t>
  </si>
  <si>
    <t>https://www.inyoprocess.com/images/chem_appl/sulfuric%20acid%20properties.pdf</t>
  </si>
  <si>
    <t>Joint efficiency</t>
  </si>
  <si>
    <t>Mpa</t>
  </si>
  <si>
    <t>MPa</t>
  </si>
  <si>
    <t>Design shell thickness</t>
  </si>
  <si>
    <t>Hydrostatic test shell thickness</t>
  </si>
  <si>
    <t>Shell thickness</t>
  </si>
  <si>
    <t>Surface area of shell</t>
  </si>
  <si>
    <t>m2</t>
  </si>
  <si>
    <t>Density of material</t>
  </si>
  <si>
    <t>lb/m3</t>
  </si>
  <si>
    <t>A283 C</t>
  </si>
  <si>
    <t>A285 C</t>
  </si>
  <si>
    <t>A131 A, B</t>
  </si>
  <si>
    <t>Material2</t>
  </si>
  <si>
    <t>Product Design Stress (Sd)</t>
  </si>
  <si>
    <t>Hydrostatic Test Stress (St)</t>
  </si>
  <si>
    <t>API 650 5.6.3 1-foot method</t>
  </si>
  <si>
    <t>API 650 Minimum thickness 5.6.1.1</t>
  </si>
  <si>
    <t>Roof thickness</t>
  </si>
  <si>
    <t>Assuming same as shell thickness</t>
  </si>
  <si>
    <t>Bottom thickness</t>
  </si>
  <si>
    <t>Roof weight</t>
  </si>
  <si>
    <t>Surface area of roof</t>
  </si>
  <si>
    <t>Surface area of bottom</t>
  </si>
  <si>
    <t>Shell weight</t>
  </si>
  <si>
    <t>Bottom weight</t>
  </si>
  <si>
    <t>Total weight</t>
  </si>
  <si>
    <t xml:space="preserve">Cylindrical shape </t>
  </si>
  <si>
    <t xml:space="preserve">Storage tank sizing </t>
  </si>
  <si>
    <t>L/D</t>
  </si>
  <si>
    <t>A516M, 485</t>
  </si>
  <si>
    <t>Sd (Mpa)</t>
  </si>
  <si>
    <t>St (Mpa)</t>
  </si>
  <si>
    <t>Sulfuric acid Storage tank (H2S04_Storage)</t>
  </si>
  <si>
    <t>CSL Storage tank (CSL_Storage)</t>
  </si>
  <si>
    <t>DAP Storage tank (DAP_Storage)</t>
  </si>
  <si>
    <t>SS304L</t>
  </si>
  <si>
    <t>SS316L</t>
  </si>
  <si>
    <t>Seed hold tank (T301)</t>
  </si>
  <si>
    <t>Beer tank( T301)</t>
  </si>
  <si>
    <t>Ammonia Storage tank (Ammonia_storage) | Modelled as PV</t>
  </si>
  <si>
    <t>Denaturant (gasoline) storage tank ( T702)</t>
  </si>
  <si>
    <t>Ethanol storage tank (T703)</t>
  </si>
  <si>
    <t>Fire water tank (FWT)</t>
  </si>
  <si>
    <t>Material emission factor (g CO2 eq/lb)</t>
  </si>
  <si>
    <t>Norgate et al.</t>
  </si>
  <si>
    <t>Ecoinvent</t>
  </si>
  <si>
    <t>Jing et al.</t>
  </si>
  <si>
    <t>GREET</t>
  </si>
  <si>
    <t>Burchart-Korol</t>
  </si>
  <si>
    <t>Average</t>
  </si>
  <si>
    <t>Renzulli et al.</t>
  </si>
  <si>
    <t xml:space="preserve">Total weight </t>
  </si>
  <si>
    <t>lbs</t>
  </si>
  <si>
    <t>Total</t>
  </si>
  <si>
    <t>Total lbs</t>
  </si>
  <si>
    <t>Emissions</t>
  </si>
  <si>
    <t>g CO2</t>
  </si>
  <si>
    <t>Lifetime</t>
  </si>
  <si>
    <t>yrs</t>
  </si>
  <si>
    <t>Annual emissions</t>
  </si>
  <si>
    <t>g CO2/yr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</si>
</sst>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1" formatCode="0.00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Open sans"/>
    </font>
    <font>
      <b/>
      <sz val="11"/>
      <color theme="0"/>
      <name val="Open sans"/>
    </font>
    <font>
      <sz val="11"/>
      <color theme="1" tint="4.9989318521683403E-2"/>
      <name val="Open sans"/>
    </font>
    <font>
      <b/>
      <sz val="11"/>
      <color theme="1"/>
      <name val="Open sans"/>
    </font>
    <font>
      <vertAlign val="superscript"/>
      <sz val="11"/>
      <color theme="1"/>
      <name val="Open sans"/>
    </font>
    <font>
      <sz val="11"/>
      <color theme="0" tint="-0.249977111117893"/>
      <name val="Open sans"/>
    </font>
    <font>
      <b/>
      <sz val="11"/>
      <color theme="0" tint="-0.249977111117893"/>
      <name val="Open sans"/>
    </font>
    <font>
      <b/>
      <sz val="22"/>
      <color theme="1"/>
      <name val="Open sans"/>
    </font>
    <font>
      <sz val="11"/>
      <color theme="0" tint="-0.14999847407452621"/>
      <name val="Open sans"/>
    </font>
    <font>
      <b/>
      <sz val="12"/>
      <color theme="1"/>
      <name val="Open sans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98F6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  <xf numFmtId="0" fontId="2" fillId="0" borderId="0" xfId="0" applyFont="1"/>
    <xf numFmtId="0" fontId="4" fillId="3" borderId="0" xfId="0" applyFont="1" applyFill="1"/>
    <xf numFmtId="0" fontId="2" fillId="3" borderId="0" xfId="0" applyFont="1" applyFill="1"/>
    <xf numFmtId="0" fontId="5" fillId="0" borderId="0" xfId="0" applyFont="1"/>
    <xf numFmtId="0" fontId="8" fillId="0" borderId="0" xfId="0" applyFont="1"/>
    <xf numFmtId="0" fontId="7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5" borderId="3" xfId="0" applyFont="1" applyFill="1" applyBorder="1" applyAlignment="1">
      <alignment horizontal="center"/>
    </xf>
    <xf numFmtId="2" fontId="3" fillId="5" borderId="4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7" fillId="0" borderId="6" xfId="0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4" borderId="6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3" fillId="5" borderId="2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1" fontId="5" fillId="4" borderId="6" xfId="0" applyNumberFormat="1" applyFont="1" applyFill="1" applyBorder="1" applyAlignment="1">
      <alignment horizontal="center"/>
    </xf>
    <xf numFmtId="164" fontId="5" fillId="4" borderId="9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6" borderId="2" xfId="0" applyFont="1" applyFill="1" applyBorder="1" applyAlignment="1">
      <alignment horizontal="center" vertical="top"/>
    </xf>
    <xf numFmtId="0" fontId="5" fillId="6" borderId="3" xfId="0" applyFont="1" applyFill="1" applyBorder="1" applyAlignment="1">
      <alignment horizontal="center" vertical="top"/>
    </xf>
    <xf numFmtId="0" fontId="5" fillId="6" borderId="4" xfId="0" applyFont="1" applyFill="1" applyBorder="1" applyAlignment="1">
      <alignment horizontal="center" vertical="top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7" borderId="5" xfId="0" applyFont="1" applyFill="1" applyBorder="1"/>
    <xf numFmtId="0" fontId="2" fillId="7" borderId="1" xfId="0" applyFont="1" applyFill="1" applyBorder="1"/>
    <xf numFmtId="0" fontId="2" fillId="7" borderId="6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9" fillId="0" borderId="0" xfId="0" applyFont="1"/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0" fontId="3" fillId="5" borderId="2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5" fillId="4" borderId="5" xfId="0" applyFont="1" applyFill="1" applyBorder="1"/>
    <xf numFmtId="0" fontId="5" fillId="4" borderId="7" xfId="0" applyFont="1" applyFill="1" applyBorder="1"/>
    <xf numFmtId="1" fontId="2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3" fontId="2" fillId="0" borderId="6" xfId="0" applyNumberFormat="1" applyFont="1" applyBorder="1" applyAlignment="1">
      <alignment horizontal="center"/>
    </xf>
    <xf numFmtId="0" fontId="0" fillId="8" borderId="10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/>
    </xf>
    <xf numFmtId="0" fontId="0" fillId="10" borderId="1" xfId="0" applyFill="1" applyBorder="1"/>
    <xf numFmtId="0" fontId="0" fillId="0" borderId="1" xfId="0" applyBorder="1"/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/>
    </xf>
    <xf numFmtId="0" fontId="0" fillId="10" borderId="16" xfId="0" applyFill="1" applyBorder="1"/>
    <xf numFmtId="171" fontId="0" fillId="0" borderId="1" xfId="0" applyNumberFormat="1" applyBorder="1"/>
    <xf numFmtId="0" fontId="0" fillId="11" borderId="1" xfId="0" applyFill="1" applyBorder="1"/>
    <xf numFmtId="0" fontId="0" fillId="9" borderId="17" xfId="0" applyFill="1" applyBorder="1" applyAlignment="1">
      <alignment horizontal="center" vertical="center"/>
    </xf>
    <xf numFmtId="0" fontId="0" fillId="12" borderId="1" xfId="0" applyFill="1" applyBorder="1"/>
    <xf numFmtId="0" fontId="0" fillId="8" borderId="18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2" fontId="5" fillId="4" borderId="0" xfId="0" applyNumberFormat="1" applyFont="1" applyFill="1"/>
    <xf numFmtId="2" fontId="5" fillId="4" borderId="9" xfId="0" applyNumberFormat="1" applyFont="1" applyFill="1" applyBorder="1" applyAlignment="1">
      <alignment horizontal="center"/>
    </xf>
    <xf numFmtId="2" fontId="5" fillId="4" borderId="0" xfId="0" applyNumberFormat="1" applyFont="1" applyFill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0" fontId="5" fillId="4" borderId="0" xfId="0" applyFont="1" applyFill="1" applyBorder="1"/>
    <xf numFmtId="11" fontId="0" fillId="0" borderId="0" xfId="0" applyNumberFormat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11" fontId="5" fillId="4" borderId="0" xfId="0" applyNumberFormat="1" applyFont="1" applyFill="1" applyAlignment="1">
      <alignment horizontal="center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Open sans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Open sans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Open sans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Open sans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Open sans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Open sans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Open sans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Open sans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Open sans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Open sans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Open sans"/>
        <scheme val="none"/>
      </font>
      <fill>
        <patternFill patternType="solid">
          <fgColor indexed="64"/>
          <bgColor theme="0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Open sans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Open sans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312105675" cy="48091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0"/>
          <a:ext cx="312105675" cy="480917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nnstateoffice365-my.sharepoint.com/personal/mmw6427_psu_edu/Documents/PhD/ATJ/TEA%20Double%20Cap.%20w%20H2%20SMR%209%20JULY%20(2).xlsm" TargetMode="External"/><Relationship Id="rId1" Type="http://schemas.openxmlformats.org/officeDocument/2006/relationships/externalLinkPath" Target="/personal/mmw6427_psu_edu/Documents/PhD/ATJ/TEA%20Double%20Cap.%20w%20H2%20SMR%209%20JULY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zing"/>
      <sheetName val="PV code (4)"/>
      <sheetName val="PV code (3)"/>
      <sheetName val="PV code (2)"/>
      <sheetName val="Summary"/>
      <sheetName val="OPEX"/>
      <sheetName val="CAPEX"/>
      <sheetName val="DCFROR"/>
      <sheetName val="Cost breakdown"/>
      <sheetName val="Scenario"/>
      <sheetName val="Mass bal."/>
      <sheetName val="Hydrogen Scenario"/>
      <sheetName val="Contour Plot"/>
      <sheetName val="$ Reactors"/>
      <sheetName val="Comparison with CADO"/>
      <sheetName val="$ Storage"/>
      <sheetName val="Physical properties"/>
      <sheetName val="Convers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45988A-EF10-4462-8A49-5AB12780067F}" name="Allowable" displayName="Allowable" ref="B3:L11" headerRowDxfId="14" dataDxfId="13" totalsRowDxfId="11" tableBorderDxfId="12">
  <autoFilter ref="B3:L11" xr:uid="{00000000-0009-0000-0100-000001000000}"/>
  <tableColumns count="11">
    <tableColumn id="1" xr3:uid="{1DBF10B7-06E0-4B4A-95A4-34E7B35C7F47}" name="Key" dataDxfId="10"/>
    <tableColumn id="2" xr3:uid="{2565525A-CADD-4C4F-8823-65556D9CB864}" name="Material" dataDxfId="9"/>
    <tableColumn id="4" xr3:uid="{9177E70B-3AA0-4FD0-BE39-BBCE952C313C}" name="Min tensile (ksi)" dataDxfId="8"/>
    <tableColumn id="5" xr3:uid="{7A2BC781-3556-4B28-9ED1-E6941987FDF0}" name="Min yield (ksi)" dataDxfId="7"/>
    <tableColumn id="3" xr3:uid="{E2B5C588-5FDD-4B25-9539-672F1E11F33C}" name="Density (lb/in3)" dataDxfId="6"/>
    <tableColumn id="6" xr3:uid="{E5A523C2-66ED-42BF-A8E9-E7CF75D5EDB9}" name="Max. temp (°F)" dataDxfId="5"/>
    <tableColumn id="7" xr3:uid="{E6BB4D9F-9617-483B-9A15-07093339553A}" name="100" dataDxfId="4"/>
    <tableColumn id="8" xr3:uid="{92B26472-A585-44E2-A361-4CBD558633C5}" name="300" dataDxfId="3"/>
    <tableColumn id="9" xr3:uid="{5A123A19-CBF2-4CF1-9ADD-F466F9EC72BA}" name="500" dataDxfId="2"/>
    <tableColumn id="10" xr3:uid="{A3B20F00-1464-444E-96BB-DC1B36C7A7EB}" name="700" dataDxfId="1"/>
    <tableColumn id="11" xr3:uid="{A53E3FF4-E5AB-478A-A1A0-FAC72FE53972}" name="900" dataDxfId="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EB2D1A-7BD4-45A9-9FED-D119E71307F5}" name="tblData" displayName="tblData" ref="B14:E22" totalsRowShown="0">
  <autoFilter ref="B14:E22" xr:uid="{1EEB2D1A-7BD4-45A9-9FED-D119E71307F5}"/>
  <tableColumns count="4">
    <tableColumn id="1" xr3:uid="{A5E7C961-AF95-46E8-9E63-775B1598E5AB}" name="Material"/>
    <tableColumn id="2" xr3:uid="{7824578B-D6E7-41F0-A871-72EE502F9A72}" name="Material2"/>
    <tableColumn id="3" xr3:uid="{B26DA6AF-08FF-4DC0-8988-D226F93D0714}" name="Sd (Mpa)"/>
    <tableColumn id="4" xr3:uid="{7A75C816-A82D-4FCE-8928-4EA9D8A681F4}" name="St (Mpa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76" zoomScale="25" zoomScaleNormal="25" workbookViewId="0">
      <selection activeCell="AN360" sqref="AN360"/>
    </sheetView>
  </sheetViews>
  <sheetFormatPr defaultRowHeight="15" x14ac:dyDescent="0.2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1BB2-AE94-455D-9758-C167F90AB4A3}">
  <dimension ref="A1:I116"/>
  <sheetViews>
    <sheetView topLeftCell="C40" zoomScale="130" zoomScaleNormal="130" workbookViewId="0">
      <selection activeCell="G54" sqref="G54"/>
    </sheetView>
  </sheetViews>
  <sheetFormatPr defaultRowHeight="15" x14ac:dyDescent="0.25"/>
  <cols>
    <col min="1" max="1" width="10.7109375" bestFit="1" customWidth="1"/>
    <col min="2" max="2" width="35.85546875" bestFit="1" customWidth="1"/>
    <col min="3" max="3" width="46.5703125" bestFit="1" customWidth="1"/>
    <col min="4" max="4" width="23.28515625" bestFit="1" customWidth="1"/>
    <col min="6" max="6" width="20.28515625" bestFit="1" customWidth="1"/>
    <col min="7" max="7" width="37.85546875" bestFit="1" customWidth="1"/>
    <col min="8" max="8" width="48.7109375" bestFit="1" customWidth="1"/>
    <col min="9" max="9" width="11.85546875" bestFit="1" customWidth="1"/>
  </cols>
  <sheetData>
    <row r="1" spans="1:9" ht="31.5" x14ac:dyDescent="0.55000000000000004">
      <c r="A1" s="56" t="s">
        <v>1250</v>
      </c>
    </row>
    <row r="2" spans="1:9" ht="12.75" customHeight="1" x14ac:dyDescent="0.55000000000000004">
      <c r="A2" s="56"/>
    </row>
    <row r="3" spans="1:9" ht="32.25" thickBot="1" x14ac:dyDescent="0.6">
      <c r="A3" s="56" t="s">
        <v>735</v>
      </c>
      <c r="F3" s="56" t="s">
        <v>1059</v>
      </c>
    </row>
    <row r="4" spans="1:9" ht="16.5" x14ac:dyDescent="0.25">
      <c r="A4" s="44" t="s">
        <v>689</v>
      </c>
      <c r="B4" s="45" t="s">
        <v>690</v>
      </c>
      <c r="C4" s="45" t="s">
        <v>691</v>
      </c>
      <c r="D4" s="46" t="s">
        <v>692</v>
      </c>
      <c r="F4" s="44" t="s">
        <v>689</v>
      </c>
      <c r="G4" s="45" t="s">
        <v>690</v>
      </c>
      <c r="H4" s="45" t="s">
        <v>691</v>
      </c>
      <c r="I4" s="46" t="s">
        <v>692</v>
      </c>
    </row>
    <row r="5" spans="1:9" ht="16.5" x14ac:dyDescent="0.3">
      <c r="A5" s="47" t="s">
        <v>693</v>
      </c>
      <c r="B5" s="48" t="s">
        <v>694</v>
      </c>
      <c r="C5" s="48" t="s">
        <v>695</v>
      </c>
      <c r="D5" s="49" t="s">
        <v>620</v>
      </c>
      <c r="F5" s="47" t="s">
        <v>967</v>
      </c>
      <c r="G5" s="48" t="s">
        <v>968</v>
      </c>
      <c r="H5" s="48"/>
      <c r="I5" s="49" t="s">
        <v>749</v>
      </c>
    </row>
    <row r="6" spans="1:9" ht="16.5" x14ac:dyDescent="0.3">
      <c r="A6" s="47" t="s">
        <v>696</v>
      </c>
      <c r="B6" s="48" t="s">
        <v>697</v>
      </c>
      <c r="C6" s="48" t="s">
        <v>698</v>
      </c>
      <c r="D6" s="49" t="s">
        <v>620</v>
      </c>
      <c r="F6" s="47" t="s">
        <v>969</v>
      </c>
      <c r="G6" s="48" t="s">
        <v>970</v>
      </c>
      <c r="H6" s="48" t="s">
        <v>971</v>
      </c>
      <c r="I6" s="49" t="s">
        <v>656</v>
      </c>
    </row>
    <row r="7" spans="1:9" ht="16.5" x14ac:dyDescent="0.3">
      <c r="A7" s="47" t="s">
        <v>699</v>
      </c>
      <c r="B7" s="48" t="s">
        <v>700</v>
      </c>
      <c r="C7" s="48" t="s">
        <v>701</v>
      </c>
      <c r="D7" s="49" t="s">
        <v>620</v>
      </c>
      <c r="F7" s="47" t="s">
        <v>972</v>
      </c>
      <c r="G7" s="48" t="s">
        <v>973</v>
      </c>
      <c r="H7" s="48" t="s">
        <v>974</v>
      </c>
      <c r="I7" s="49" t="s">
        <v>656</v>
      </c>
    </row>
    <row r="8" spans="1:9" ht="16.5" x14ac:dyDescent="0.3">
      <c r="A8" s="47" t="s">
        <v>702</v>
      </c>
      <c r="B8" s="48" t="s">
        <v>703</v>
      </c>
      <c r="C8" s="48" t="s">
        <v>704</v>
      </c>
      <c r="D8" s="49" t="s">
        <v>620</v>
      </c>
      <c r="F8" s="47" t="s">
        <v>975</v>
      </c>
      <c r="G8" s="48" t="s">
        <v>976</v>
      </c>
      <c r="H8" s="48" t="s">
        <v>977</v>
      </c>
      <c r="I8" s="49" t="s">
        <v>804</v>
      </c>
    </row>
    <row r="9" spans="1:9" ht="16.5" x14ac:dyDescent="0.3">
      <c r="A9" s="47" t="s">
        <v>705</v>
      </c>
      <c r="B9" s="48" t="s">
        <v>706</v>
      </c>
      <c r="C9" s="48" t="s">
        <v>707</v>
      </c>
      <c r="D9" s="49" t="s">
        <v>620</v>
      </c>
      <c r="F9" s="47" t="s">
        <v>978</v>
      </c>
      <c r="G9" s="48" t="s">
        <v>979</v>
      </c>
      <c r="H9" s="48" t="s">
        <v>980</v>
      </c>
      <c r="I9" s="49" t="s">
        <v>804</v>
      </c>
    </row>
    <row r="10" spans="1:9" ht="16.5" x14ac:dyDescent="0.3">
      <c r="A10" s="47" t="s">
        <v>708</v>
      </c>
      <c r="B10" s="48" t="s">
        <v>697</v>
      </c>
      <c r="C10" s="48" t="s">
        <v>709</v>
      </c>
      <c r="D10" s="49" t="s">
        <v>620</v>
      </c>
      <c r="F10" s="47" t="s">
        <v>981</v>
      </c>
      <c r="G10" s="48" t="s">
        <v>982</v>
      </c>
      <c r="H10" s="48" t="s">
        <v>983</v>
      </c>
      <c r="I10" s="49" t="s">
        <v>984</v>
      </c>
    </row>
    <row r="11" spans="1:9" ht="16.5" x14ac:dyDescent="0.3">
      <c r="A11" s="47" t="s">
        <v>710</v>
      </c>
      <c r="B11" s="48" t="s">
        <v>711</v>
      </c>
      <c r="C11" s="48" t="s">
        <v>712</v>
      </c>
      <c r="D11" s="49" t="s">
        <v>620</v>
      </c>
      <c r="F11" s="47" t="s">
        <v>985</v>
      </c>
      <c r="G11" s="48" t="s">
        <v>986</v>
      </c>
      <c r="H11" s="48" t="s">
        <v>983</v>
      </c>
      <c r="I11" s="49" t="s">
        <v>984</v>
      </c>
    </row>
    <row r="12" spans="1:9" ht="16.5" x14ac:dyDescent="0.3">
      <c r="A12" s="47" t="s">
        <v>713</v>
      </c>
      <c r="B12" s="48" t="s">
        <v>714</v>
      </c>
      <c r="C12" s="48" t="s">
        <v>715</v>
      </c>
      <c r="D12" s="49" t="s">
        <v>620</v>
      </c>
      <c r="F12" s="47" t="s">
        <v>987</v>
      </c>
      <c r="G12" s="48" t="s">
        <v>988</v>
      </c>
      <c r="H12" s="48" t="s">
        <v>983</v>
      </c>
      <c r="I12" s="49" t="s">
        <v>984</v>
      </c>
    </row>
    <row r="13" spans="1:9" ht="16.5" x14ac:dyDescent="0.3">
      <c r="A13" s="50" t="s">
        <v>716</v>
      </c>
      <c r="B13" s="51" t="s">
        <v>717</v>
      </c>
      <c r="C13" s="51" t="s">
        <v>718</v>
      </c>
      <c r="D13" s="52" t="s">
        <v>719</v>
      </c>
      <c r="F13" s="47" t="s">
        <v>989</v>
      </c>
      <c r="G13" s="48" t="s">
        <v>990</v>
      </c>
      <c r="H13" s="48" t="s">
        <v>991</v>
      </c>
      <c r="I13" s="49" t="s">
        <v>620</v>
      </c>
    </row>
    <row r="14" spans="1:9" ht="16.5" x14ac:dyDescent="0.3">
      <c r="A14" s="47" t="s">
        <v>720</v>
      </c>
      <c r="B14" s="48" t="s">
        <v>721</v>
      </c>
      <c r="C14" s="48" t="s">
        <v>722</v>
      </c>
      <c r="D14" s="49" t="s">
        <v>620</v>
      </c>
      <c r="F14" s="47" t="s">
        <v>992</v>
      </c>
      <c r="G14" s="48" t="s">
        <v>993</v>
      </c>
      <c r="H14" s="48" t="s">
        <v>994</v>
      </c>
      <c r="I14" s="49" t="s">
        <v>804</v>
      </c>
    </row>
    <row r="15" spans="1:9" ht="16.5" x14ac:dyDescent="0.3">
      <c r="A15" s="47" t="s">
        <v>723</v>
      </c>
      <c r="B15" s="48" t="s">
        <v>724</v>
      </c>
      <c r="C15" s="48" t="s">
        <v>725</v>
      </c>
      <c r="D15" s="49" t="s">
        <v>620</v>
      </c>
      <c r="F15" s="47" t="s">
        <v>995</v>
      </c>
      <c r="G15" s="48" t="s">
        <v>996</v>
      </c>
      <c r="H15" s="48"/>
      <c r="I15" s="49" t="s">
        <v>749</v>
      </c>
    </row>
    <row r="16" spans="1:9" ht="16.5" x14ac:dyDescent="0.3">
      <c r="A16" s="50" t="s">
        <v>726</v>
      </c>
      <c r="B16" s="51" t="s">
        <v>727</v>
      </c>
      <c r="C16" s="51" t="s">
        <v>728</v>
      </c>
      <c r="D16" s="52" t="s">
        <v>719</v>
      </c>
      <c r="F16" s="47" t="s">
        <v>997</v>
      </c>
      <c r="G16" s="48" t="s">
        <v>998</v>
      </c>
      <c r="H16" s="48" t="s">
        <v>999</v>
      </c>
      <c r="I16" s="49" t="s">
        <v>749</v>
      </c>
    </row>
    <row r="17" spans="1:9" ht="16.5" x14ac:dyDescent="0.3">
      <c r="A17" s="47" t="s">
        <v>729</v>
      </c>
      <c r="B17" s="48" t="s">
        <v>730</v>
      </c>
      <c r="C17" s="48" t="s">
        <v>731</v>
      </c>
      <c r="D17" s="49" t="s">
        <v>620</v>
      </c>
      <c r="F17" s="47" t="s">
        <v>1000</v>
      </c>
      <c r="G17" s="48" t="s">
        <v>1001</v>
      </c>
      <c r="H17" s="48" t="s">
        <v>1002</v>
      </c>
      <c r="I17" s="49" t="s">
        <v>749</v>
      </c>
    </row>
    <row r="18" spans="1:9" ht="17.25" thickBot="1" x14ac:dyDescent="0.35">
      <c r="A18" s="53" t="s">
        <v>732</v>
      </c>
      <c r="B18" s="54" t="s">
        <v>733</v>
      </c>
      <c r="C18" s="54" t="s">
        <v>734</v>
      </c>
      <c r="D18" s="55" t="s">
        <v>620</v>
      </c>
      <c r="F18" s="47" t="s">
        <v>1003</v>
      </c>
      <c r="G18" s="48" t="s">
        <v>1004</v>
      </c>
      <c r="H18" s="48" t="s">
        <v>1005</v>
      </c>
      <c r="I18" s="49" t="s">
        <v>804</v>
      </c>
    </row>
    <row r="19" spans="1:9" ht="16.5" x14ac:dyDescent="0.3">
      <c r="F19" s="47" t="s">
        <v>1006</v>
      </c>
      <c r="G19" s="48" t="s">
        <v>1007</v>
      </c>
      <c r="H19" s="48" t="s">
        <v>1008</v>
      </c>
      <c r="I19" s="49" t="s">
        <v>804</v>
      </c>
    </row>
    <row r="20" spans="1:9" ht="32.25" thickBot="1" x14ac:dyDescent="0.6">
      <c r="A20" s="56" t="s">
        <v>836</v>
      </c>
      <c r="F20" s="47" t="s">
        <v>1009</v>
      </c>
      <c r="G20" s="48" t="s">
        <v>1010</v>
      </c>
      <c r="H20" s="48" t="s">
        <v>1011</v>
      </c>
      <c r="I20" s="49" t="s">
        <v>804</v>
      </c>
    </row>
    <row r="21" spans="1:9" ht="16.5" x14ac:dyDescent="0.3">
      <c r="A21" s="44" t="s">
        <v>689</v>
      </c>
      <c r="B21" s="45" t="s">
        <v>690</v>
      </c>
      <c r="C21" s="45" t="s">
        <v>691</v>
      </c>
      <c r="D21" s="46" t="s">
        <v>692</v>
      </c>
      <c r="F21" s="47" t="s">
        <v>1012</v>
      </c>
      <c r="G21" s="48" t="s">
        <v>1013</v>
      </c>
      <c r="H21" s="48" t="s">
        <v>1011</v>
      </c>
      <c r="I21" s="49" t="s">
        <v>804</v>
      </c>
    </row>
    <row r="22" spans="1:9" ht="16.5" x14ac:dyDescent="0.3">
      <c r="A22" s="47" t="s">
        <v>736</v>
      </c>
      <c r="B22" s="48" t="s">
        <v>737</v>
      </c>
      <c r="C22" s="48" t="s">
        <v>738</v>
      </c>
      <c r="D22" s="49" t="s">
        <v>656</v>
      </c>
      <c r="F22" s="47" t="s">
        <v>1014</v>
      </c>
      <c r="G22" s="48" t="s">
        <v>1015</v>
      </c>
      <c r="H22" s="48" t="s">
        <v>1016</v>
      </c>
      <c r="I22" s="49" t="s">
        <v>804</v>
      </c>
    </row>
    <row r="23" spans="1:9" ht="16.5" x14ac:dyDescent="0.3">
      <c r="A23" s="47" t="s">
        <v>739</v>
      </c>
      <c r="B23" s="48" t="s">
        <v>740</v>
      </c>
      <c r="C23" s="48" t="s">
        <v>741</v>
      </c>
      <c r="D23" s="49" t="s">
        <v>742</v>
      </c>
      <c r="F23" s="47" t="s">
        <v>1017</v>
      </c>
      <c r="G23" s="48" t="s">
        <v>1018</v>
      </c>
      <c r="H23" s="48" t="s">
        <v>1019</v>
      </c>
      <c r="I23" s="49" t="s">
        <v>804</v>
      </c>
    </row>
    <row r="24" spans="1:9" ht="16.5" x14ac:dyDescent="0.3">
      <c r="A24" s="47" t="s">
        <v>743</v>
      </c>
      <c r="B24" s="48" t="s">
        <v>744</v>
      </c>
      <c r="C24" s="48" t="s">
        <v>741</v>
      </c>
      <c r="D24" s="49" t="s">
        <v>742</v>
      </c>
      <c r="F24" s="47" t="s">
        <v>1020</v>
      </c>
      <c r="G24" s="48" t="s">
        <v>1021</v>
      </c>
      <c r="H24" s="48" t="s">
        <v>1022</v>
      </c>
      <c r="I24" s="49" t="s">
        <v>749</v>
      </c>
    </row>
    <row r="25" spans="1:9" ht="16.5" x14ac:dyDescent="0.3">
      <c r="A25" s="47" t="s">
        <v>745</v>
      </c>
      <c r="B25" s="48" t="s">
        <v>746</v>
      </c>
      <c r="C25" s="48" t="s">
        <v>741</v>
      </c>
      <c r="D25" s="49" t="s">
        <v>742</v>
      </c>
      <c r="F25" s="47" t="s">
        <v>1023</v>
      </c>
      <c r="G25" s="48" t="s">
        <v>1024</v>
      </c>
      <c r="H25" s="48" t="s">
        <v>1025</v>
      </c>
      <c r="I25" s="49" t="s">
        <v>749</v>
      </c>
    </row>
    <row r="26" spans="1:9" ht="16.5" x14ac:dyDescent="0.3">
      <c r="A26" s="47" t="s">
        <v>747</v>
      </c>
      <c r="B26" s="48" t="s">
        <v>748</v>
      </c>
      <c r="C26" s="48"/>
      <c r="D26" s="49" t="s">
        <v>749</v>
      </c>
      <c r="F26" s="47" t="s">
        <v>1026</v>
      </c>
      <c r="G26" s="48" t="s">
        <v>1027</v>
      </c>
      <c r="H26" s="48"/>
      <c r="I26" s="49" t="s">
        <v>749</v>
      </c>
    </row>
    <row r="27" spans="1:9" ht="16.5" x14ac:dyDescent="0.3">
      <c r="A27" s="47" t="s">
        <v>750</v>
      </c>
      <c r="B27" s="48" t="s">
        <v>751</v>
      </c>
      <c r="C27" s="48"/>
      <c r="D27" s="49" t="s">
        <v>749</v>
      </c>
      <c r="F27" s="47" t="s">
        <v>1028</v>
      </c>
      <c r="G27" s="48" t="s">
        <v>1029</v>
      </c>
      <c r="H27" s="48"/>
      <c r="I27" s="49" t="s">
        <v>749</v>
      </c>
    </row>
    <row r="28" spans="1:9" ht="16.5" x14ac:dyDescent="0.3">
      <c r="A28" s="47" t="s">
        <v>752</v>
      </c>
      <c r="B28" s="48" t="s">
        <v>753</v>
      </c>
      <c r="C28" s="48"/>
      <c r="D28" s="49" t="s">
        <v>749</v>
      </c>
      <c r="F28" s="47" t="s">
        <v>1030</v>
      </c>
      <c r="G28" s="48" t="s">
        <v>1031</v>
      </c>
      <c r="H28" s="48" t="s">
        <v>1022</v>
      </c>
      <c r="I28" s="49" t="s">
        <v>749</v>
      </c>
    </row>
    <row r="29" spans="1:9" ht="16.5" x14ac:dyDescent="0.3">
      <c r="A29" s="50" t="s">
        <v>754</v>
      </c>
      <c r="B29" s="51" t="s">
        <v>694</v>
      </c>
      <c r="C29" s="51" t="s">
        <v>755</v>
      </c>
      <c r="D29" s="52" t="s">
        <v>756</v>
      </c>
      <c r="F29" s="47" t="s">
        <v>1032</v>
      </c>
      <c r="G29" s="48" t="s">
        <v>1033</v>
      </c>
      <c r="H29" s="48" t="s">
        <v>1034</v>
      </c>
      <c r="I29" s="49" t="s">
        <v>662</v>
      </c>
    </row>
    <row r="30" spans="1:9" ht="16.5" x14ac:dyDescent="0.3">
      <c r="A30" s="50" t="s">
        <v>757</v>
      </c>
      <c r="B30" s="51" t="s">
        <v>758</v>
      </c>
      <c r="C30" s="51" t="s">
        <v>755</v>
      </c>
      <c r="D30" s="52" t="s">
        <v>756</v>
      </c>
      <c r="F30" s="47" t="s">
        <v>1035</v>
      </c>
      <c r="G30" s="48" t="s">
        <v>1036</v>
      </c>
      <c r="H30" s="48" t="s">
        <v>1037</v>
      </c>
      <c r="I30" s="49" t="s">
        <v>804</v>
      </c>
    </row>
    <row r="31" spans="1:9" ht="16.5" x14ac:dyDescent="0.3">
      <c r="A31" s="50" t="s">
        <v>759</v>
      </c>
      <c r="B31" s="51" t="s">
        <v>760</v>
      </c>
      <c r="C31" s="51" t="s">
        <v>755</v>
      </c>
      <c r="D31" s="52" t="s">
        <v>756</v>
      </c>
      <c r="F31" s="47" t="s">
        <v>1038</v>
      </c>
      <c r="G31" s="48" t="s">
        <v>1039</v>
      </c>
      <c r="H31" s="48" t="s">
        <v>1037</v>
      </c>
      <c r="I31" s="49" t="s">
        <v>804</v>
      </c>
    </row>
    <row r="32" spans="1:9" ht="16.5" x14ac:dyDescent="0.3">
      <c r="A32" s="47" t="s">
        <v>761</v>
      </c>
      <c r="B32" s="48" t="s">
        <v>762</v>
      </c>
      <c r="C32" s="48" t="s">
        <v>763</v>
      </c>
      <c r="D32" s="49" t="s">
        <v>764</v>
      </c>
      <c r="F32" s="47" t="s">
        <v>1040</v>
      </c>
      <c r="G32" s="48" t="s">
        <v>1041</v>
      </c>
      <c r="H32" s="48" t="s">
        <v>1042</v>
      </c>
      <c r="I32" s="49" t="s">
        <v>1043</v>
      </c>
    </row>
    <row r="33" spans="1:9" ht="16.5" x14ac:dyDescent="0.3">
      <c r="A33" s="47" t="s">
        <v>765</v>
      </c>
      <c r="B33" s="48" t="s">
        <v>766</v>
      </c>
      <c r="C33" s="48" t="s">
        <v>767</v>
      </c>
      <c r="D33" s="49" t="s">
        <v>764</v>
      </c>
      <c r="F33" s="47" t="s">
        <v>1044</v>
      </c>
      <c r="G33" s="48" t="s">
        <v>1045</v>
      </c>
      <c r="H33" s="48" t="s">
        <v>1046</v>
      </c>
      <c r="I33" s="49" t="s">
        <v>749</v>
      </c>
    </row>
    <row r="34" spans="1:9" ht="16.5" x14ac:dyDescent="0.3">
      <c r="A34" s="47" t="s">
        <v>768</v>
      </c>
      <c r="B34" s="48" t="s">
        <v>769</v>
      </c>
      <c r="C34" s="48" t="s">
        <v>770</v>
      </c>
      <c r="D34" s="49" t="s">
        <v>771</v>
      </c>
      <c r="F34" s="47" t="s">
        <v>1047</v>
      </c>
      <c r="G34" s="48" t="s">
        <v>1048</v>
      </c>
      <c r="H34" s="48" t="s">
        <v>1049</v>
      </c>
      <c r="I34" s="49" t="s">
        <v>749</v>
      </c>
    </row>
    <row r="35" spans="1:9" ht="16.5" x14ac:dyDescent="0.3">
      <c r="A35" s="47" t="s">
        <v>772</v>
      </c>
      <c r="B35" s="48" t="s">
        <v>773</v>
      </c>
      <c r="C35" s="48" t="s">
        <v>774</v>
      </c>
      <c r="D35" s="49" t="s">
        <v>775</v>
      </c>
      <c r="F35" s="50" t="s">
        <v>1050</v>
      </c>
      <c r="G35" s="51" t="s">
        <v>1051</v>
      </c>
      <c r="H35" s="51" t="s">
        <v>1052</v>
      </c>
      <c r="I35" s="52" t="s">
        <v>962</v>
      </c>
    </row>
    <row r="36" spans="1:9" ht="16.5" x14ac:dyDescent="0.3">
      <c r="A36" s="47" t="s">
        <v>776</v>
      </c>
      <c r="B36" s="48" t="s">
        <v>777</v>
      </c>
      <c r="C36" s="48" t="s">
        <v>778</v>
      </c>
      <c r="D36" s="49" t="s">
        <v>779</v>
      </c>
      <c r="F36" s="47" t="s">
        <v>1053</v>
      </c>
      <c r="G36" s="48" t="s">
        <v>1054</v>
      </c>
      <c r="H36" s="48" t="s">
        <v>1055</v>
      </c>
      <c r="I36" s="49" t="s">
        <v>620</v>
      </c>
    </row>
    <row r="37" spans="1:9" ht="17.25" thickBot="1" x14ac:dyDescent="0.35">
      <c r="A37" s="47" t="s">
        <v>780</v>
      </c>
      <c r="B37" s="48" t="s">
        <v>781</v>
      </c>
      <c r="C37" s="48" t="s">
        <v>782</v>
      </c>
      <c r="D37" s="49" t="s">
        <v>779</v>
      </c>
      <c r="F37" s="53" t="s">
        <v>1056</v>
      </c>
      <c r="G37" s="54" t="s">
        <v>1057</v>
      </c>
      <c r="H37" s="54" t="s">
        <v>1058</v>
      </c>
      <c r="I37" s="55" t="s">
        <v>620</v>
      </c>
    </row>
    <row r="38" spans="1:9" ht="16.5" x14ac:dyDescent="0.3">
      <c r="A38" s="47" t="s">
        <v>783</v>
      </c>
      <c r="B38" s="48" t="s">
        <v>784</v>
      </c>
      <c r="C38" s="48" t="s">
        <v>785</v>
      </c>
      <c r="D38" s="49" t="s">
        <v>786</v>
      </c>
    </row>
    <row r="39" spans="1:9" ht="32.25" thickBot="1" x14ac:dyDescent="0.6">
      <c r="A39" s="47" t="s">
        <v>787</v>
      </c>
      <c r="B39" s="48" t="s">
        <v>788</v>
      </c>
      <c r="C39" s="48"/>
      <c r="D39" s="49" t="s">
        <v>742</v>
      </c>
      <c r="F39" s="56" t="s">
        <v>1170</v>
      </c>
    </row>
    <row r="40" spans="1:9" ht="16.5" x14ac:dyDescent="0.3">
      <c r="A40" s="47" t="s">
        <v>789</v>
      </c>
      <c r="B40" s="48" t="s">
        <v>790</v>
      </c>
      <c r="C40" s="48"/>
      <c r="D40" s="49" t="s">
        <v>742</v>
      </c>
      <c r="F40" s="44" t="s">
        <v>689</v>
      </c>
      <c r="G40" s="45" t="s">
        <v>690</v>
      </c>
      <c r="H40" s="45" t="s">
        <v>691</v>
      </c>
      <c r="I40" s="46" t="s">
        <v>692</v>
      </c>
    </row>
    <row r="41" spans="1:9" ht="16.5" x14ac:dyDescent="0.3">
      <c r="A41" s="47" t="s">
        <v>791</v>
      </c>
      <c r="B41" s="48" t="s">
        <v>792</v>
      </c>
      <c r="C41" s="48" t="s">
        <v>793</v>
      </c>
      <c r="D41" s="49" t="s">
        <v>764</v>
      </c>
      <c r="F41" s="47" t="s">
        <v>1060</v>
      </c>
      <c r="G41" s="48" t="s">
        <v>1061</v>
      </c>
      <c r="H41" s="48" t="s">
        <v>1062</v>
      </c>
      <c r="I41" s="49" t="s">
        <v>620</v>
      </c>
    </row>
    <row r="42" spans="1:9" ht="16.5" x14ac:dyDescent="0.3">
      <c r="A42" s="47" t="s">
        <v>794</v>
      </c>
      <c r="B42" s="48" t="s">
        <v>788</v>
      </c>
      <c r="C42" s="48"/>
      <c r="D42" s="49" t="s">
        <v>742</v>
      </c>
      <c r="F42" s="47" t="s">
        <v>1063</v>
      </c>
      <c r="G42" s="48" t="s">
        <v>1064</v>
      </c>
      <c r="H42" s="48" t="s">
        <v>1065</v>
      </c>
      <c r="I42" s="49" t="s">
        <v>620</v>
      </c>
    </row>
    <row r="43" spans="1:9" ht="16.5" x14ac:dyDescent="0.3">
      <c r="A43" s="47" t="s">
        <v>795</v>
      </c>
      <c r="B43" s="48" t="s">
        <v>790</v>
      </c>
      <c r="C43" s="48"/>
      <c r="D43" s="49" t="s">
        <v>775</v>
      </c>
      <c r="F43" s="47" t="s">
        <v>1066</v>
      </c>
      <c r="G43" s="48" t="s">
        <v>1067</v>
      </c>
      <c r="H43" s="48"/>
      <c r="I43" s="49"/>
    </row>
    <row r="44" spans="1:9" ht="16.5" x14ac:dyDescent="0.3">
      <c r="A44" s="47" t="s">
        <v>796</v>
      </c>
      <c r="B44" s="48" t="s">
        <v>686</v>
      </c>
      <c r="C44" s="48" t="s">
        <v>797</v>
      </c>
      <c r="D44" s="49" t="s">
        <v>742</v>
      </c>
      <c r="F44" s="47" t="s">
        <v>1068</v>
      </c>
      <c r="G44" s="48" t="s">
        <v>1069</v>
      </c>
      <c r="H44" s="48" t="s">
        <v>1070</v>
      </c>
      <c r="I44" s="49" t="s">
        <v>1071</v>
      </c>
    </row>
    <row r="45" spans="1:9" ht="16.5" x14ac:dyDescent="0.3">
      <c r="A45" s="47" t="s">
        <v>798</v>
      </c>
      <c r="B45" s="48" t="s">
        <v>799</v>
      </c>
      <c r="C45" s="48" t="s">
        <v>800</v>
      </c>
      <c r="D45" s="49" t="s">
        <v>742</v>
      </c>
      <c r="F45" s="47" t="s">
        <v>1072</v>
      </c>
      <c r="G45" s="48" t="s">
        <v>1073</v>
      </c>
      <c r="H45" s="48"/>
      <c r="I45" s="49" t="s">
        <v>620</v>
      </c>
    </row>
    <row r="46" spans="1:9" ht="16.5" x14ac:dyDescent="0.3">
      <c r="A46" s="47" t="s">
        <v>801</v>
      </c>
      <c r="B46" s="48" t="s">
        <v>802</v>
      </c>
      <c r="C46" s="48" t="s">
        <v>803</v>
      </c>
      <c r="D46" s="49" t="s">
        <v>804</v>
      </c>
      <c r="F46" s="47" t="s">
        <v>1074</v>
      </c>
      <c r="G46" s="48" t="s">
        <v>1075</v>
      </c>
      <c r="H46" s="48" t="s">
        <v>1076</v>
      </c>
      <c r="I46" s="49"/>
    </row>
    <row r="47" spans="1:9" ht="16.5" x14ac:dyDescent="0.3">
      <c r="A47" s="47" t="s">
        <v>805</v>
      </c>
      <c r="B47" s="48" t="s">
        <v>806</v>
      </c>
      <c r="C47" s="48" t="s">
        <v>807</v>
      </c>
      <c r="D47" s="49" t="s">
        <v>804</v>
      </c>
      <c r="F47" s="47" t="s">
        <v>1077</v>
      </c>
      <c r="G47" s="48" t="s">
        <v>1078</v>
      </c>
      <c r="H47" s="48" t="s">
        <v>1079</v>
      </c>
      <c r="I47" s="49"/>
    </row>
    <row r="48" spans="1:9" ht="16.5" x14ac:dyDescent="0.3">
      <c r="A48" s="47" t="s">
        <v>808</v>
      </c>
      <c r="B48" s="48" t="s">
        <v>809</v>
      </c>
      <c r="C48" s="48" t="s">
        <v>807</v>
      </c>
      <c r="D48" s="49" t="s">
        <v>804</v>
      </c>
      <c r="F48" s="47" t="s">
        <v>1080</v>
      </c>
      <c r="G48" s="48" t="s">
        <v>1081</v>
      </c>
      <c r="H48" s="48"/>
      <c r="I48" s="49"/>
    </row>
    <row r="49" spans="1:9" ht="16.5" x14ac:dyDescent="0.3">
      <c r="A49" s="47" t="s">
        <v>810</v>
      </c>
      <c r="B49" s="48" t="s">
        <v>811</v>
      </c>
      <c r="C49" s="48" t="s">
        <v>812</v>
      </c>
      <c r="D49" s="49" t="s">
        <v>742</v>
      </c>
      <c r="F49" s="47" t="s">
        <v>1082</v>
      </c>
      <c r="G49" s="48" t="s">
        <v>1083</v>
      </c>
      <c r="H49" s="48" t="s">
        <v>1084</v>
      </c>
      <c r="I49" s="49" t="s">
        <v>620</v>
      </c>
    </row>
    <row r="50" spans="1:9" ht="16.5" x14ac:dyDescent="0.3">
      <c r="A50" s="47" t="s">
        <v>813</v>
      </c>
      <c r="B50" s="48" t="s">
        <v>814</v>
      </c>
      <c r="C50" s="48" t="s">
        <v>815</v>
      </c>
      <c r="D50" s="49" t="s">
        <v>742</v>
      </c>
      <c r="F50" s="47" t="s">
        <v>1085</v>
      </c>
      <c r="G50" s="48" t="s">
        <v>1086</v>
      </c>
      <c r="H50" s="48" t="s">
        <v>1087</v>
      </c>
      <c r="I50" s="49" t="s">
        <v>620</v>
      </c>
    </row>
    <row r="51" spans="1:9" ht="16.5" x14ac:dyDescent="0.3">
      <c r="A51" s="47" t="s">
        <v>816</v>
      </c>
      <c r="B51" s="48" t="s">
        <v>817</v>
      </c>
      <c r="C51" s="48"/>
      <c r="D51" s="49" t="s">
        <v>742</v>
      </c>
      <c r="F51" s="47" t="s">
        <v>1088</v>
      </c>
      <c r="G51" s="48" t="s">
        <v>1089</v>
      </c>
      <c r="H51" s="48" t="s">
        <v>1090</v>
      </c>
      <c r="I51" s="49"/>
    </row>
    <row r="52" spans="1:9" ht="16.5" x14ac:dyDescent="0.3">
      <c r="A52" s="47" t="s">
        <v>818</v>
      </c>
      <c r="B52" s="48" t="s">
        <v>819</v>
      </c>
      <c r="C52" s="48" t="s">
        <v>820</v>
      </c>
      <c r="D52" s="49" t="s">
        <v>821</v>
      </c>
      <c r="F52" s="47" t="s">
        <v>1091</v>
      </c>
      <c r="G52" s="48" t="s">
        <v>1092</v>
      </c>
      <c r="H52" s="48"/>
      <c r="I52" s="49"/>
    </row>
    <row r="53" spans="1:9" ht="16.5" x14ac:dyDescent="0.3">
      <c r="A53" s="47" t="s">
        <v>822</v>
      </c>
      <c r="B53" s="48" t="s">
        <v>823</v>
      </c>
      <c r="C53" s="48" t="s">
        <v>824</v>
      </c>
      <c r="D53" s="49" t="s">
        <v>662</v>
      </c>
      <c r="F53" s="47" t="s">
        <v>1093</v>
      </c>
      <c r="G53" s="48" t="s">
        <v>1094</v>
      </c>
      <c r="H53" s="48"/>
      <c r="I53" s="49"/>
    </row>
    <row r="54" spans="1:9" ht="16.5" x14ac:dyDescent="0.3">
      <c r="A54" s="47" t="s">
        <v>825</v>
      </c>
      <c r="B54" s="48" t="s">
        <v>826</v>
      </c>
      <c r="C54" s="48" t="s">
        <v>824</v>
      </c>
      <c r="D54" s="49" t="s">
        <v>662</v>
      </c>
      <c r="F54" s="47" t="s">
        <v>1095</v>
      </c>
      <c r="G54" s="48" t="s">
        <v>1096</v>
      </c>
      <c r="H54" s="48"/>
      <c r="I54" s="49"/>
    </row>
    <row r="55" spans="1:9" ht="16.5" x14ac:dyDescent="0.3">
      <c r="A55" s="47" t="s">
        <v>827</v>
      </c>
      <c r="B55" s="48" t="s">
        <v>828</v>
      </c>
      <c r="C55" s="48" t="s">
        <v>829</v>
      </c>
      <c r="D55" s="49" t="s">
        <v>656</v>
      </c>
      <c r="F55" s="47" t="s">
        <v>1097</v>
      </c>
      <c r="G55" s="48" t="s">
        <v>1098</v>
      </c>
      <c r="H55" s="48"/>
      <c r="I55" s="49"/>
    </row>
    <row r="56" spans="1:9" ht="16.5" x14ac:dyDescent="0.3">
      <c r="A56" s="47" t="s">
        <v>830</v>
      </c>
      <c r="B56" s="48" t="s">
        <v>831</v>
      </c>
      <c r="C56" s="48" t="s">
        <v>832</v>
      </c>
      <c r="D56" s="49" t="s">
        <v>656</v>
      </c>
      <c r="F56" s="47" t="s">
        <v>1099</v>
      </c>
      <c r="G56" s="48" t="s">
        <v>1100</v>
      </c>
      <c r="H56" s="48"/>
      <c r="I56" s="49"/>
    </row>
    <row r="57" spans="1:9" ht="17.25" thickBot="1" x14ac:dyDescent="0.35">
      <c r="A57" s="53" t="s">
        <v>833</v>
      </c>
      <c r="B57" s="54" t="s">
        <v>834</v>
      </c>
      <c r="C57" s="54" t="s">
        <v>835</v>
      </c>
      <c r="D57" s="55" t="s">
        <v>656</v>
      </c>
      <c r="F57" s="47" t="s">
        <v>1101</v>
      </c>
      <c r="G57" s="48" t="s">
        <v>1102</v>
      </c>
      <c r="H57" s="48"/>
      <c r="I57" s="49"/>
    </row>
    <row r="58" spans="1:9" ht="16.5" x14ac:dyDescent="0.3">
      <c r="F58" s="47" t="s">
        <v>1103</v>
      </c>
      <c r="G58" s="48" t="s">
        <v>1104</v>
      </c>
      <c r="H58" s="48" t="s">
        <v>1105</v>
      </c>
      <c r="I58" s="49" t="s">
        <v>620</v>
      </c>
    </row>
    <row r="59" spans="1:9" ht="32.25" thickBot="1" x14ac:dyDescent="0.6">
      <c r="A59" s="56" t="s">
        <v>966</v>
      </c>
      <c r="F59" s="47" t="s">
        <v>1106</v>
      </c>
      <c r="G59" s="48" t="s">
        <v>1107</v>
      </c>
      <c r="H59" s="48"/>
      <c r="I59" s="49"/>
    </row>
    <row r="60" spans="1:9" ht="16.5" x14ac:dyDescent="0.3">
      <c r="A60" s="44" t="s">
        <v>689</v>
      </c>
      <c r="B60" s="45" t="s">
        <v>690</v>
      </c>
      <c r="C60" s="45" t="s">
        <v>691</v>
      </c>
      <c r="D60" s="46" t="s">
        <v>692</v>
      </c>
      <c r="F60" s="47" t="s">
        <v>1108</v>
      </c>
      <c r="G60" s="48" t="s">
        <v>1109</v>
      </c>
      <c r="H60" s="48"/>
      <c r="I60" s="49"/>
    </row>
    <row r="61" spans="1:9" ht="16.5" x14ac:dyDescent="0.3">
      <c r="A61" s="47" t="s">
        <v>837</v>
      </c>
      <c r="B61" s="48" t="s">
        <v>838</v>
      </c>
      <c r="C61" s="48"/>
      <c r="D61" s="49" t="s">
        <v>656</v>
      </c>
      <c r="F61" s="50" t="s">
        <v>1110</v>
      </c>
      <c r="G61" s="51" t="s">
        <v>1111</v>
      </c>
      <c r="H61" s="51" t="s">
        <v>1112</v>
      </c>
      <c r="I61" s="52" t="s">
        <v>719</v>
      </c>
    </row>
    <row r="62" spans="1:9" ht="16.5" x14ac:dyDescent="0.3">
      <c r="A62" s="47" t="s">
        <v>839</v>
      </c>
      <c r="B62" s="48" t="s">
        <v>840</v>
      </c>
      <c r="C62" s="48"/>
      <c r="D62" s="49" t="s">
        <v>656</v>
      </c>
      <c r="F62" s="50" t="s">
        <v>1113</v>
      </c>
      <c r="G62" s="51" t="s">
        <v>1114</v>
      </c>
      <c r="H62" s="51" t="s">
        <v>1115</v>
      </c>
      <c r="I62" s="52" t="s">
        <v>719</v>
      </c>
    </row>
    <row r="63" spans="1:9" ht="16.5" x14ac:dyDescent="0.3">
      <c r="A63" s="47" t="s">
        <v>841</v>
      </c>
      <c r="B63" s="48" t="s">
        <v>842</v>
      </c>
      <c r="C63" s="48"/>
      <c r="D63" s="49" t="s">
        <v>656</v>
      </c>
      <c r="F63" s="47" t="s">
        <v>1116</v>
      </c>
      <c r="G63" s="48" t="s">
        <v>1117</v>
      </c>
      <c r="H63" s="48"/>
      <c r="I63" s="49"/>
    </row>
    <row r="64" spans="1:9" ht="16.5" x14ac:dyDescent="0.3">
      <c r="A64" s="47" t="s">
        <v>843</v>
      </c>
      <c r="B64" s="48" t="s">
        <v>844</v>
      </c>
      <c r="C64" s="48"/>
      <c r="D64" s="49" t="s">
        <v>749</v>
      </c>
      <c r="F64" s="47" t="s">
        <v>1118</v>
      </c>
      <c r="G64" s="48" t="s">
        <v>1119</v>
      </c>
      <c r="H64" s="48" t="s">
        <v>1120</v>
      </c>
      <c r="I64" s="49" t="s">
        <v>656</v>
      </c>
    </row>
    <row r="65" spans="1:9" ht="16.5" x14ac:dyDescent="0.3">
      <c r="A65" s="47" t="s">
        <v>845</v>
      </c>
      <c r="B65" s="48" t="s">
        <v>846</v>
      </c>
      <c r="C65" s="48"/>
      <c r="D65" s="49" t="s">
        <v>749</v>
      </c>
      <c r="F65" s="47" t="s">
        <v>1121</v>
      </c>
      <c r="G65" s="48" t="s">
        <v>1122</v>
      </c>
      <c r="H65" s="48"/>
      <c r="I65" s="49" t="s">
        <v>656</v>
      </c>
    </row>
    <row r="66" spans="1:9" ht="16.5" x14ac:dyDescent="0.3">
      <c r="A66" s="47" t="s">
        <v>847</v>
      </c>
      <c r="B66" s="48" t="s">
        <v>848</v>
      </c>
      <c r="C66" s="48" t="s">
        <v>849</v>
      </c>
      <c r="D66" s="49" t="s">
        <v>662</v>
      </c>
      <c r="F66" s="47" t="s">
        <v>1123</v>
      </c>
      <c r="G66" s="48" t="s">
        <v>1124</v>
      </c>
      <c r="H66" s="48"/>
      <c r="I66" s="49" t="s">
        <v>656</v>
      </c>
    </row>
    <row r="67" spans="1:9" ht="16.5" x14ac:dyDescent="0.3">
      <c r="A67" s="47" t="s">
        <v>850</v>
      </c>
      <c r="B67" s="48" t="s">
        <v>851</v>
      </c>
      <c r="C67" s="48" t="s">
        <v>852</v>
      </c>
      <c r="D67" s="49" t="s">
        <v>779</v>
      </c>
      <c r="F67" s="47" t="s">
        <v>1125</v>
      </c>
      <c r="G67" s="48" t="s">
        <v>1126</v>
      </c>
      <c r="H67" s="48" t="s">
        <v>1127</v>
      </c>
      <c r="I67" s="49"/>
    </row>
    <row r="68" spans="1:9" ht="16.5" x14ac:dyDescent="0.3">
      <c r="A68" s="47" t="s">
        <v>853</v>
      </c>
      <c r="B68" s="48" t="s">
        <v>854</v>
      </c>
      <c r="C68" s="48" t="s">
        <v>855</v>
      </c>
      <c r="D68" s="49" t="s">
        <v>779</v>
      </c>
      <c r="F68" s="47" t="s">
        <v>1128</v>
      </c>
      <c r="G68" s="48" t="s">
        <v>1129</v>
      </c>
      <c r="H68" s="48" t="s">
        <v>1130</v>
      </c>
      <c r="I68" s="49" t="s">
        <v>620</v>
      </c>
    </row>
    <row r="69" spans="1:9" ht="16.5" x14ac:dyDescent="0.3">
      <c r="A69" s="47" t="s">
        <v>856</v>
      </c>
      <c r="B69" s="48" t="s">
        <v>857</v>
      </c>
      <c r="C69" s="48" t="s">
        <v>858</v>
      </c>
      <c r="D69" s="49" t="s">
        <v>779</v>
      </c>
      <c r="F69" s="47" t="s">
        <v>1131</v>
      </c>
      <c r="G69" s="48" t="s">
        <v>799</v>
      </c>
      <c r="H69" s="48" t="s">
        <v>1132</v>
      </c>
      <c r="I69" s="49" t="s">
        <v>662</v>
      </c>
    </row>
    <row r="70" spans="1:9" ht="16.5" x14ac:dyDescent="0.3">
      <c r="A70" s="47" t="s">
        <v>859</v>
      </c>
      <c r="B70" s="48" t="s">
        <v>860</v>
      </c>
      <c r="C70" s="48" t="s">
        <v>861</v>
      </c>
      <c r="D70" s="49" t="s">
        <v>779</v>
      </c>
      <c r="F70" s="47" t="s">
        <v>1133</v>
      </c>
      <c r="G70" s="48" t="s">
        <v>1134</v>
      </c>
      <c r="H70" s="48" t="s">
        <v>1135</v>
      </c>
      <c r="I70" s="49" t="s">
        <v>620</v>
      </c>
    </row>
    <row r="71" spans="1:9" ht="16.5" x14ac:dyDescent="0.3">
      <c r="A71" s="47" t="s">
        <v>862</v>
      </c>
      <c r="B71" s="48" t="s">
        <v>863</v>
      </c>
      <c r="C71" s="48" t="s">
        <v>864</v>
      </c>
      <c r="D71" s="49" t="s">
        <v>779</v>
      </c>
      <c r="F71" s="47" t="s">
        <v>1136</v>
      </c>
      <c r="G71" s="48" t="s">
        <v>1137</v>
      </c>
      <c r="H71" s="48" t="s">
        <v>1138</v>
      </c>
      <c r="I71" s="49" t="s">
        <v>620</v>
      </c>
    </row>
    <row r="72" spans="1:9" ht="16.5" x14ac:dyDescent="0.3">
      <c r="A72" s="47" t="s">
        <v>865</v>
      </c>
      <c r="B72" s="48" t="s">
        <v>866</v>
      </c>
      <c r="C72" s="48" t="s">
        <v>867</v>
      </c>
      <c r="D72" s="49" t="s">
        <v>779</v>
      </c>
      <c r="F72" s="47" t="s">
        <v>1139</v>
      </c>
      <c r="G72" s="48" t="s">
        <v>1137</v>
      </c>
      <c r="H72" s="48" t="s">
        <v>1140</v>
      </c>
      <c r="I72" s="49" t="s">
        <v>620</v>
      </c>
    </row>
    <row r="73" spans="1:9" ht="16.5" x14ac:dyDescent="0.3">
      <c r="A73" s="47" t="s">
        <v>868</v>
      </c>
      <c r="B73" s="48" t="s">
        <v>869</v>
      </c>
      <c r="C73" s="48" t="s">
        <v>870</v>
      </c>
      <c r="D73" s="49" t="s">
        <v>779</v>
      </c>
      <c r="F73" s="47" t="s">
        <v>1141</v>
      </c>
      <c r="G73" s="48" t="s">
        <v>1142</v>
      </c>
      <c r="H73" s="48" t="s">
        <v>1143</v>
      </c>
      <c r="I73" s="49" t="s">
        <v>620</v>
      </c>
    </row>
    <row r="74" spans="1:9" ht="16.5" x14ac:dyDescent="0.3">
      <c r="A74" s="47" t="s">
        <v>871</v>
      </c>
      <c r="B74" s="48" t="s">
        <v>872</v>
      </c>
      <c r="C74" s="48" t="s">
        <v>873</v>
      </c>
      <c r="D74" s="49" t="s">
        <v>656</v>
      </c>
      <c r="F74" s="50" t="s">
        <v>1144</v>
      </c>
      <c r="G74" s="51" t="s">
        <v>1145</v>
      </c>
      <c r="H74" s="51" t="s">
        <v>1146</v>
      </c>
      <c r="I74" s="52" t="s">
        <v>1147</v>
      </c>
    </row>
    <row r="75" spans="1:9" ht="16.5" x14ac:dyDescent="0.3">
      <c r="A75" s="47" t="s">
        <v>874</v>
      </c>
      <c r="B75" s="48" t="s">
        <v>875</v>
      </c>
      <c r="C75" s="48" t="s">
        <v>876</v>
      </c>
      <c r="D75" s="49" t="s">
        <v>779</v>
      </c>
      <c r="F75" s="47" t="s">
        <v>1148</v>
      </c>
      <c r="G75" s="48" t="s">
        <v>1149</v>
      </c>
      <c r="H75" s="48" t="s">
        <v>1150</v>
      </c>
      <c r="I75" s="49" t="s">
        <v>749</v>
      </c>
    </row>
    <row r="76" spans="1:9" ht="16.5" x14ac:dyDescent="0.3">
      <c r="A76" s="47" t="s">
        <v>877</v>
      </c>
      <c r="B76" s="48" t="s">
        <v>878</v>
      </c>
      <c r="C76" s="48" t="s">
        <v>876</v>
      </c>
      <c r="D76" s="49" t="s">
        <v>779</v>
      </c>
      <c r="F76" s="50" t="s">
        <v>1151</v>
      </c>
      <c r="G76" s="51" t="s">
        <v>1152</v>
      </c>
      <c r="H76" s="51" t="s">
        <v>1153</v>
      </c>
      <c r="I76" s="52" t="s">
        <v>1154</v>
      </c>
    </row>
    <row r="77" spans="1:9" ht="16.5" x14ac:dyDescent="0.3">
      <c r="A77" s="47" t="s">
        <v>879</v>
      </c>
      <c r="B77" s="48" t="s">
        <v>880</v>
      </c>
      <c r="C77" s="48" t="s">
        <v>870</v>
      </c>
      <c r="D77" s="49" t="s">
        <v>779</v>
      </c>
      <c r="F77" s="47" t="s">
        <v>1155</v>
      </c>
      <c r="G77" s="48" t="s">
        <v>1156</v>
      </c>
      <c r="H77" s="48" t="s">
        <v>1157</v>
      </c>
      <c r="I77" s="49" t="s">
        <v>1158</v>
      </c>
    </row>
    <row r="78" spans="1:9" ht="16.5" x14ac:dyDescent="0.3">
      <c r="A78" s="47" t="s">
        <v>881</v>
      </c>
      <c r="B78" s="48" t="s">
        <v>882</v>
      </c>
      <c r="C78" s="48" t="s">
        <v>883</v>
      </c>
      <c r="D78" s="49" t="s">
        <v>804</v>
      </c>
      <c r="F78" s="47" t="s">
        <v>1159</v>
      </c>
      <c r="G78" s="48" t="s">
        <v>1160</v>
      </c>
      <c r="H78" s="48" t="s">
        <v>1161</v>
      </c>
      <c r="I78" s="49" t="s">
        <v>620</v>
      </c>
    </row>
    <row r="79" spans="1:9" ht="16.5" x14ac:dyDescent="0.3">
      <c r="A79" s="47" t="s">
        <v>884</v>
      </c>
      <c r="B79" s="48" t="s">
        <v>885</v>
      </c>
      <c r="C79" s="48" t="s">
        <v>886</v>
      </c>
      <c r="D79" s="49" t="s">
        <v>804</v>
      </c>
      <c r="F79" s="47" t="s">
        <v>1162</v>
      </c>
      <c r="G79" s="48" t="s">
        <v>1145</v>
      </c>
      <c r="H79" s="48" t="s">
        <v>1163</v>
      </c>
      <c r="I79" s="49" t="s">
        <v>1154</v>
      </c>
    </row>
    <row r="80" spans="1:9" ht="16.5" x14ac:dyDescent="0.3">
      <c r="A80" s="47" t="s">
        <v>887</v>
      </c>
      <c r="B80" s="48" t="s">
        <v>888</v>
      </c>
      <c r="C80" s="48" t="s">
        <v>886</v>
      </c>
      <c r="D80" s="49" t="s">
        <v>804</v>
      </c>
      <c r="F80" s="47" t="s">
        <v>1164</v>
      </c>
      <c r="G80" s="48" t="s">
        <v>1165</v>
      </c>
      <c r="H80" s="48" t="s">
        <v>1166</v>
      </c>
      <c r="I80" s="49"/>
    </row>
    <row r="81" spans="1:9" ht="17.25" thickBot="1" x14ac:dyDescent="0.35">
      <c r="A81" s="47" t="s">
        <v>889</v>
      </c>
      <c r="B81" s="48" t="s">
        <v>890</v>
      </c>
      <c r="C81" s="48" t="s">
        <v>891</v>
      </c>
      <c r="D81" s="49" t="s">
        <v>804</v>
      </c>
      <c r="F81" s="53" t="s">
        <v>1167</v>
      </c>
      <c r="G81" s="54" t="s">
        <v>1168</v>
      </c>
      <c r="H81" s="54" t="s">
        <v>1169</v>
      </c>
      <c r="I81" s="55" t="s">
        <v>656</v>
      </c>
    </row>
    <row r="82" spans="1:9" ht="16.5" x14ac:dyDescent="0.3">
      <c r="A82" s="47" t="s">
        <v>892</v>
      </c>
      <c r="B82" s="48" t="s">
        <v>893</v>
      </c>
      <c r="C82" s="48" t="s">
        <v>894</v>
      </c>
      <c r="D82" s="49" t="s">
        <v>804</v>
      </c>
    </row>
    <row r="83" spans="1:9" ht="32.25" thickBot="1" x14ac:dyDescent="0.6">
      <c r="A83" s="47" t="s">
        <v>895</v>
      </c>
      <c r="B83" s="48" t="s">
        <v>896</v>
      </c>
      <c r="C83" s="48" t="s">
        <v>897</v>
      </c>
      <c r="D83" s="49" t="s">
        <v>804</v>
      </c>
      <c r="F83" s="56" t="s">
        <v>1249</v>
      </c>
    </row>
    <row r="84" spans="1:9" ht="16.5" x14ac:dyDescent="0.3">
      <c r="A84" s="47" t="s">
        <v>898</v>
      </c>
      <c r="B84" s="48" t="s">
        <v>899</v>
      </c>
      <c r="C84" s="48" t="s">
        <v>900</v>
      </c>
      <c r="D84" s="49" t="s">
        <v>804</v>
      </c>
      <c r="F84" s="44" t="s">
        <v>689</v>
      </c>
      <c r="G84" s="45" t="s">
        <v>690</v>
      </c>
      <c r="H84" s="45" t="s">
        <v>691</v>
      </c>
      <c r="I84" s="46" t="s">
        <v>692</v>
      </c>
    </row>
    <row r="85" spans="1:9" ht="16.5" x14ac:dyDescent="0.3">
      <c r="A85" s="47" t="s">
        <v>901</v>
      </c>
      <c r="B85" s="48" t="s">
        <v>902</v>
      </c>
      <c r="C85" s="48" t="s">
        <v>903</v>
      </c>
      <c r="D85" s="49" t="s">
        <v>779</v>
      </c>
      <c r="F85" s="47" t="s">
        <v>1171</v>
      </c>
      <c r="G85" s="48" t="s">
        <v>1172</v>
      </c>
      <c r="H85" s="48"/>
      <c r="I85" s="49" t="s">
        <v>656</v>
      </c>
    </row>
    <row r="86" spans="1:9" ht="16.5" x14ac:dyDescent="0.3">
      <c r="A86" s="47" t="s">
        <v>904</v>
      </c>
      <c r="B86" s="48" t="s">
        <v>905</v>
      </c>
      <c r="C86" s="48"/>
      <c r="D86" s="49" t="s">
        <v>662</v>
      </c>
      <c r="F86" s="47" t="s">
        <v>1173</v>
      </c>
      <c r="G86" s="48" t="s">
        <v>1174</v>
      </c>
      <c r="H86" s="48"/>
      <c r="I86" s="49" t="s">
        <v>656</v>
      </c>
    </row>
    <row r="87" spans="1:9" ht="16.5" x14ac:dyDescent="0.3">
      <c r="A87" s="47" t="s">
        <v>906</v>
      </c>
      <c r="B87" s="48" t="s">
        <v>905</v>
      </c>
      <c r="C87" s="48"/>
      <c r="D87" s="49" t="s">
        <v>662</v>
      </c>
      <c r="F87" s="47" t="s">
        <v>1175</v>
      </c>
      <c r="G87" s="48" t="s">
        <v>1176</v>
      </c>
      <c r="H87" s="48" t="s">
        <v>1177</v>
      </c>
      <c r="I87" s="49" t="s">
        <v>656</v>
      </c>
    </row>
    <row r="88" spans="1:9" ht="16.5" x14ac:dyDescent="0.3">
      <c r="A88" s="47" t="s">
        <v>907</v>
      </c>
      <c r="B88" s="48" t="s">
        <v>905</v>
      </c>
      <c r="C88" s="48"/>
      <c r="D88" s="49" t="s">
        <v>662</v>
      </c>
      <c r="F88" s="47" t="s">
        <v>1178</v>
      </c>
      <c r="G88" s="48" t="s">
        <v>1179</v>
      </c>
      <c r="H88" s="48"/>
      <c r="I88" s="49" t="s">
        <v>620</v>
      </c>
    </row>
    <row r="89" spans="1:9" ht="16.5" x14ac:dyDescent="0.3">
      <c r="A89" s="47" t="s">
        <v>908</v>
      </c>
      <c r="B89" s="48" t="s">
        <v>905</v>
      </c>
      <c r="C89" s="48"/>
      <c r="D89" s="49" t="s">
        <v>662</v>
      </c>
      <c r="F89" s="47" t="s">
        <v>1180</v>
      </c>
      <c r="G89" s="48" t="s">
        <v>315</v>
      </c>
      <c r="H89" s="48" t="s">
        <v>1181</v>
      </c>
      <c r="I89" s="49" t="s">
        <v>620</v>
      </c>
    </row>
    <row r="90" spans="1:9" ht="16.5" x14ac:dyDescent="0.3">
      <c r="A90" s="50" t="s">
        <v>909</v>
      </c>
      <c r="B90" s="51" t="s">
        <v>905</v>
      </c>
      <c r="C90" s="51"/>
      <c r="D90" s="52" t="s">
        <v>910</v>
      </c>
      <c r="F90" s="47" t="s">
        <v>1178</v>
      </c>
      <c r="G90" s="48" t="s">
        <v>1182</v>
      </c>
      <c r="H90" s="48" t="s">
        <v>1183</v>
      </c>
      <c r="I90" s="49" t="s">
        <v>620</v>
      </c>
    </row>
    <row r="91" spans="1:9" ht="16.5" x14ac:dyDescent="0.3">
      <c r="A91" s="47" t="s">
        <v>911</v>
      </c>
      <c r="B91" s="48" t="s">
        <v>912</v>
      </c>
      <c r="C91" s="48"/>
      <c r="D91" s="49" t="s">
        <v>662</v>
      </c>
      <c r="F91" s="47" t="s">
        <v>1184</v>
      </c>
      <c r="G91" s="48" t="s">
        <v>1185</v>
      </c>
      <c r="H91" s="48" t="s">
        <v>1186</v>
      </c>
      <c r="I91" s="49" t="s">
        <v>620</v>
      </c>
    </row>
    <row r="92" spans="1:9" ht="16.5" x14ac:dyDescent="0.3">
      <c r="A92" s="47" t="s">
        <v>913</v>
      </c>
      <c r="B92" s="48" t="s">
        <v>914</v>
      </c>
      <c r="C92" s="48"/>
      <c r="D92" s="49" t="s">
        <v>662</v>
      </c>
      <c r="F92" s="47" t="s">
        <v>1187</v>
      </c>
      <c r="G92" s="48" t="s">
        <v>1188</v>
      </c>
      <c r="H92" s="48"/>
      <c r="I92" s="49" t="s">
        <v>620</v>
      </c>
    </row>
    <row r="93" spans="1:9" ht="16.5" x14ac:dyDescent="0.3">
      <c r="A93" s="47" t="s">
        <v>915</v>
      </c>
      <c r="B93" s="48" t="s">
        <v>916</v>
      </c>
      <c r="C93" s="48" t="s">
        <v>917</v>
      </c>
      <c r="D93" s="49" t="s">
        <v>662</v>
      </c>
      <c r="F93" s="47" t="s">
        <v>1189</v>
      </c>
      <c r="G93" s="48" t="s">
        <v>1190</v>
      </c>
      <c r="H93" s="48"/>
      <c r="I93" s="49" t="s">
        <v>662</v>
      </c>
    </row>
    <row r="94" spans="1:9" ht="16.5" x14ac:dyDescent="0.3">
      <c r="A94" s="47" t="s">
        <v>918</v>
      </c>
      <c r="B94" s="48" t="s">
        <v>919</v>
      </c>
      <c r="C94" s="48" t="s">
        <v>920</v>
      </c>
      <c r="D94" s="49" t="s">
        <v>779</v>
      </c>
      <c r="F94" s="47" t="s">
        <v>1191</v>
      </c>
      <c r="G94" s="48" t="s">
        <v>1192</v>
      </c>
      <c r="H94" s="48"/>
      <c r="I94" s="49" t="s">
        <v>662</v>
      </c>
    </row>
    <row r="95" spans="1:9" ht="16.5" x14ac:dyDescent="0.3">
      <c r="A95" s="47" t="s">
        <v>921</v>
      </c>
      <c r="B95" s="48" t="s">
        <v>922</v>
      </c>
      <c r="C95" s="48" t="s">
        <v>923</v>
      </c>
      <c r="D95" s="49" t="s">
        <v>779</v>
      </c>
      <c r="F95" s="47" t="s">
        <v>1193</v>
      </c>
      <c r="G95" s="48" t="s">
        <v>1194</v>
      </c>
      <c r="H95" s="48"/>
      <c r="I95" s="49" t="s">
        <v>662</v>
      </c>
    </row>
    <row r="96" spans="1:9" ht="16.5" x14ac:dyDescent="0.3">
      <c r="A96" s="47" t="s">
        <v>924</v>
      </c>
      <c r="B96" s="48" t="s">
        <v>925</v>
      </c>
      <c r="C96" s="48" t="s">
        <v>926</v>
      </c>
      <c r="D96" s="49" t="s">
        <v>779</v>
      </c>
      <c r="F96" s="47" t="s">
        <v>1195</v>
      </c>
      <c r="G96" s="48" t="s">
        <v>1196</v>
      </c>
      <c r="H96" s="48"/>
      <c r="I96" s="49" t="s">
        <v>662</v>
      </c>
    </row>
    <row r="97" spans="1:9" ht="16.5" x14ac:dyDescent="0.3">
      <c r="A97" s="47" t="s">
        <v>927</v>
      </c>
      <c r="B97" s="48" t="s">
        <v>928</v>
      </c>
      <c r="C97" s="48" t="s">
        <v>929</v>
      </c>
      <c r="D97" s="49" t="s">
        <v>779</v>
      </c>
      <c r="F97" s="47" t="s">
        <v>1197</v>
      </c>
      <c r="G97" s="48" t="s">
        <v>1198</v>
      </c>
      <c r="H97" s="48"/>
      <c r="I97" s="49" t="s">
        <v>656</v>
      </c>
    </row>
    <row r="98" spans="1:9" ht="16.5" x14ac:dyDescent="0.3">
      <c r="A98" s="47" t="s">
        <v>930</v>
      </c>
      <c r="B98" s="48" t="s">
        <v>931</v>
      </c>
      <c r="C98" s="48" t="s">
        <v>932</v>
      </c>
      <c r="D98" s="49" t="s">
        <v>779</v>
      </c>
      <c r="F98" s="47" t="s">
        <v>1199</v>
      </c>
      <c r="G98" s="48" t="s">
        <v>1200</v>
      </c>
      <c r="H98" s="48"/>
      <c r="I98" s="49" t="s">
        <v>656</v>
      </c>
    </row>
    <row r="99" spans="1:9" ht="16.5" x14ac:dyDescent="0.3">
      <c r="A99" s="47" t="s">
        <v>933</v>
      </c>
      <c r="B99" s="48" t="s">
        <v>934</v>
      </c>
      <c r="C99" s="48" t="s">
        <v>935</v>
      </c>
      <c r="D99" s="49" t="s">
        <v>620</v>
      </c>
      <c r="F99" s="47" t="s">
        <v>1201</v>
      </c>
      <c r="G99" s="48" t="s">
        <v>1202</v>
      </c>
      <c r="H99" s="48"/>
      <c r="I99" s="49" t="s">
        <v>662</v>
      </c>
    </row>
    <row r="100" spans="1:9" ht="16.5" x14ac:dyDescent="0.3">
      <c r="A100" s="47" t="s">
        <v>936</v>
      </c>
      <c r="B100" s="48" t="s">
        <v>937</v>
      </c>
      <c r="C100" s="48" t="s">
        <v>938</v>
      </c>
      <c r="D100" s="49" t="s">
        <v>804</v>
      </c>
      <c r="F100" s="47" t="s">
        <v>1203</v>
      </c>
      <c r="G100" s="48" t="s">
        <v>1204</v>
      </c>
      <c r="H100" s="48"/>
      <c r="I100" s="49" t="s">
        <v>620</v>
      </c>
    </row>
    <row r="101" spans="1:9" ht="16.5" x14ac:dyDescent="0.3">
      <c r="A101" s="47" t="s">
        <v>939</v>
      </c>
      <c r="B101" s="48" t="s">
        <v>940</v>
      </c>
      <c r="C101" s="48" t="s">
        <v>941</v>
      </c>
      <c r="D101" s="49" t="s">
        <v>804</v>
      </c>
      <c r="F101" s="47" t="s">
        <v>1205</v>
      </c>
      <c r="G101" s="48" t="s">
        <v>1206</v>
      </c>
      <c r="H101" s="48"/>
      <c r="I101" s="49" t="s">
        <v>620</v>
      </c>
    </row>
    <row r="102" spans="1:9" ht="16.5" x14ac:dyDescent="0.3">
      <c r="A102" s="47" t="s">
        <v>942</v>
      </c>
      <c r="B102" s="48" t="s">
        <v>943</v>
      </c>
      <c r="C102" s="48" t="s">
        <v>944</v>
      </c>
      <c r="D102" s="49" t="s">
        <v>804</v>
      </c>
      <c r="F102" s="50" t="s">
        <v>1207</v>
      </c>
      <c r="G102" s="51" t="s">
        <v>1208</v>
      </c>
      <c r="H102" s="51"/>
      <c r="I102" s="52" t="s">
        <v>1147</v>
      </c>
    </row>
    <row r="103" spans="1:9" ht="16.5" x14ac:dyDescent="0.3">
      <c r="A103" s="47" t="s">
        <v>945</v>
      </c>
      <c r="B103" s="48" t="s">
        <v>946</v>
      </c>
      <c r="C103" s="48" t="s">
        <v>947</v>
      </c>
      <c r="D103" s="49" t="s">
        <v>804</v>
      </c>
      <c r="F103" s="47" t="s">
        <v>1209</v>
      </c>
      <c r="G103" s="48" t="s">
        <v>1210</v>
      </c>
      <c r="H103" s="48"/>
      <c r="I103" s="49" t="s">
        <v>656</v>
      </c>
    </row>
    <row r="104" spans="1:9" ht="16.5" x14ac:dyDescent="0.3">
      <c r="A104" s="47" t="s">
        <v>948</v>
      </c>
      <c r="B104" s="48" t="s">
        <v>949</v>
      </c>
      <c r="C104" s="48" t="s">
        <v>950</v>
      </c>
      <c r="D104" s="49" t="s">
        <v>804</v>
      </c>
      <c r="F104" s="47" t="s">
        <v>1211</v>
      </c>
      <c r="G104" s="48" t="s">
        <v>316</v>
      </c>
      <c r="H104" s="48" t="s">
        <v>1212</v>
      </c>
      <c r="I104" s="49" t="s">
        <v>1213</v>
      </c>
    </row>
    <row r="105" spans="1:9" ht="16.5" x14ac:dyDescent="0.3">
      <c r="A105" s="47" t="s">
        <v>951</v>
      </c>
      <c r="B105" s="48" t="s">
        <v>952</v>
      </c>
      <c r="C105" s="48" t="s">
        <v>947</v>
      </c>
      <c r="D105" s="49" t="s">
        <v>804</v>
      </c>
      <c r="F105" s="47" t="s">
        <v>1203</v>
      </c>
      <c r="G105" s="48" t="s">
        <v>1214</v>
      </c>
      <c r="H105" s="48"/>
      <c r="I105" s="49" t="s">
        <v>620</v>
      </c>
    </row>
    <row r="106" spans="1:9" ht="16.5" x14ac:dyDescent="0.3">
      <c r="A106" s="47" t="s">
        <v>953</v>
      </c>
      <c r="B106" s="48" t="s">
        <v>954</v>
      </c>
      <c r="C106" s="48" t="s">
        <v>955</v>
      </c>
      <c r="D106" s="49" t="s">
        <v>656</v>
      </c>
      <c r="F106" s="47" t="s">
        <v>1215</v>
      </c>
      <c r="G106" s="48" t="s">
        <v>1216</v>
      </c>
      <c r="H106" s="48"/>
      <c r="I106" s="49" t="s">
        <v>662</v>
      </c>
    </row>
    <row r="107" spans="1:9" ht="16.5" x14ac:dyDescent="0.3">
      <c r="A107" s="47" t="s">
        <v>956</v>
      </c>
      <c r="B107" s="48" t="s">
        <v>957</v>
      </c>
      <c r="C107" s="48" t="s">
        <v>958</v>
      </c>
      <c r="D107" s="49" t="s">
        <v>779</v>
      </c>
      <c r="F107" s="50" t="s">
        <v>1217</v>
      </c>
      <c r="G107" s="51" t="s">
        <v>1218</v>
      </c>
      <c r="H107" s="51" t="s">
        <v>1219</v>
      </c>
      <c r="I107" s="52" t="s">
        <v>1220</v>
      </c>
    </row>
    <row r="108" spans="1:9" ht="16.5" x14ac:dyDescent="0.3">
      <c r="A108" s="50" t="s">
        <v>959</v>
      </c>
      <c r="B108" s="51" t="s">
        <v>960</v>
      </c>
      <c r="C108" s="51" t="s">
        <v>961</v>
      </c>
      <c r="D108" s="52" t="s">
        <v>962</v>
      </c>
      <c r="F108" s="47" t="s">
        <v>1221</v>
      </c>
      <c r="G108" s="48" t="s">
        <v>1222</v>
      </c>
      <c r="H108" s="48" t="s">
        <v>1223</v>
      </c>
      <c r="I108" s="49" t="s">
        <v>620</v>
      </c>
    </row>
    <row r="109" spans="1:9" ht="17.25" thickBot="1" x14ac:dyDescent="0.35">
      <c r="A109" s="53" t="s">
        <v>963</v>
      </c>
      <c r="B109" s="54" t="s">
        <v>964</v>
      </c>
      <c r="C109" s="54" t="s">
        <v>965</v>
      </c>
      <c r="D109" s="55" t="s">
        <v>779</v>
      </c>
      <c r="F109" s="47" t="s">
        <v>1224</v>
      </c>
      <c r="G109" s="48" t="s">
        <v>1225</v>
      </c>
      <c r="H109" s="48" t="s">
        <v>1226</v>
      </c>
      <c r="I109" s="49" t="s">
        <v>620</v>
      </c>
    </row>
    <row r="110" spans="1:9" ht="16.5" x14ac:dyDescent="0.3">
      <c r="F110" s="47" t="s">
        <v>1227</v>
      </c>
      <c r="G110" s="48" t="s">
        <v>1228</v>
      </c>
      <c r="H110" s="48" t="s">
        <v>1229</v>
      </c>
      <c r="I110" s="49" t="s">
        <v>1230</v>
      </c>
    </row>
    <row r="111" spans="1:9" ht="16.5" x14ac:dyDescent="0.3">
      <c r="F111" s="47" t="s">
        <v>1231</v>
      </c>
      <c r="G111" s="48" t="s">
        <v>1232</v>
      </c>
      <c r="H111" s="48" t="s">
        <v>1233</v>
      </c>
      <c r="I111" s="49" t="s">
        <v>620</v>
      </c>
    </row>
    <row r="112" spans="1:9" ht="16.5" x14ac:dyDescent="0.3">
      <c r="F112" s="47" t="s">
        <v>1234</v>
      </c>
      <c r="G112" s="48" t="s">
        <v>1235</v>
      </c>
      <c r="H112" s="48" t="s">
        <v>1236</v>
      </c>
      <c r="I112" s="49" t="s">
        <v>620</v>
      </c>
    </row>
    <row r="113" spans="6:9" ht="16.5" x14ac:dyDescent="0.3">
      <c r="F113" s="47" t="s">
        <v>1237</v>
      </c>
      <c r="G113" s="48" t="s">
        <v>1238</v>
      </c>
      <c r="H113" s="48" t="s">
        <v>1239</v>
      </c>
      <c r="I113" s="49" t="s">
        <v>620</v>
      </c>
    </row>
    <row r="114" spans="6:9" ht="16.5" x14ac:dyDescent="0.3">
      <c r="F114" s="47" t="s">
        <v>1240</v>
      </c>
      <c r="G114" s="48" t="s">
        <v>1241</v>
      </c>
      <c r="H114" s="48" t="s">
        <v>1242</v>
      </c>
      <c r="I114" s="49" t="s">
        <v>620</v>
      </c>
    </row>
    <row r="115" spans="6:9" ht="16.5" x14ac:dyDescent="0.3">
      <c r="F115" s="47" t="s">
        <v>1243</v>
      </c>
      <c r="G115" s="48" t="s">
        <v>1244</v>
      </c>
      <c r="H115" s="48" t="s">
        <v>1245</v>
      </c>
      <c r="I115" s="49" t="s">
        <v>620</v>
      </c>
    </row>
    <row r="116" spans="6:9" ht="17.25" thickBot="1" x14ac:dyDescent="0.35">
      <c r="F116" s="53" t="s">
        <v>1246</v>
      </c>
      <c r="G116" s="54" t="s">
        <v>1247</v>
      </c>
      <c r="H116" s="54" t="s">
        <v>1248</v>
      </c>
      <c r="I116" s="55" t="s">
        <v>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M84"/>
  <sheetViews>
    <sheetView topLeftCell="AD1" zoomScaleNormal="100" workbookViewId="0">
      <selection activeCell="AE36" sqref="AE36"/>
    </sheetView>
  </sheetViews>
  <sheetFormatPr defaultRowHeight="15" x14ac:dyDescent="0.25"/>
  <cols>
    <col min="1" max="1" width="18.5703125" bestFit="1" customWidth="1"/>
    <col min="2" max="2" width="24.5703125" bestFit="1" customWidth="1"/>
    <col min="3" max="3" width="23.85546875" bestFit="1" customWidth="1"/>
    <col min="4" max="4" width="26" bestFit="1" customWidth="1"/>
    <col min="5" max="5" width="28.5703125" bestFit="1" customWidth="1"/>
    <col min="6" max="6" width="25.140625" bestFit="1" customWidth="1"/>
    <col min="7" max="9" width="12" bestFit="1" customWidth="1"/>
    <col min="10" max="10" width="17.5703125" bestFit="1" customWidth="1"/>
    <col min="11" max="13" width="12" bestFit="1" customWidth="1"/>
    <col min="14" max="14" width="17.42578125" bestFit="1" customWidth="1"/>
    <col min="15" max="15" width="23.5703125" bestFit="1" customWidth="1"/>
    <col min="16" max="19" width="12" bestFit="1" customWidth="1"/>
    <col min="20" max="20" width="16.140625" bestFit="1" customWidth="1"/>
    <col min="21" max="26" width="12" bestFit="1" customWidth="1"/>
    <col min="27" max="27" width="17.5703125" bestFit="1" customWidth="1"/>
    <col min="28" max="28" width="10.28515625" bestFit="1" customWidth="1"/>
    <col min="29" max="29" width="13.140625" bestFit="1" customWidth="1"/>
    <col min="30" max="30" width="18.140625" bestFit="1" customWidth="1"/>
    <col min="31" max="31" width="22.42578125" bestFit="1" customWidth="1"/>
    <col min="32" max="32" width="14.42578125" bestFit="1" customWidth="1"/>
    <col min="33" max="33" width="12" bestFit="1" customWidth="1"/>
    <col min="34" max="34" width="10" bestFit="1" customWidth="1"/>
    <col min="35" max="35" width="19.140625" bestFit="1" customWidth="1"/>
    <col min="36" max="36" width="19.7109375" bestFit="1" customWidth="1"/>
    <col min="37" max="37" width="24.85546875" bestFit="1" customWidth="1"/>
    <col min="38" max="38" width="21.5703125" bestFit="1" customWidth="1"/>
    <col min="39" max="39" width="21.140625" bestFit="1" customWidth="1"/>
    <col min="40" max="42" width="12" bestFit="1" customWidth="1"/>
    <col min="43" max="43" width="15.140625" bestFit="1" customWidth="1"/>
    <col min="44" max="44" width="14.42578125" bestFit="1" customWidth="1"/>
    <col min="45" max="46" width="12" bestFit="1" customWidth="1"/>
    <col min="47" max="48" width="22.28515625" bestFit="1" customWidth="1"/>
    <col min="49" max="49" width="12" bestFit="1" customWidth="1"/>
    <col min="50" max="50" width="14.42578125" bestFit="1" customWidth="1"/>
    <col min="51" max="60" width="12" bestFit="1" customWidth="1"/>
    <col min="61" max="61" width="17.42578125" bestFit="1" customWidth="1"/>
    <col min="62" max="65" width="12" bestFit="1" customWidth="1"/>
    <col min="66" max="66" width="12.28515625" bestFit="1" customWidth="1"/>
    <col min="67" max="93" width="12" bestFit="1" customWidth="1"/>
    <col min="94" max="94" width="7" bestFit="1" customWidth="1"/>
    <col min="95" max="110" width="12" bestFit="1" customWidth="1"/>
    <col min="111" max="112" width="10" bestFit="1" customWidth="1"/>
    <col min="113" max="116" width="12" bestFit="1" customWidth="1"/>
    <col min="117" max="117" width="7" bestFit="1" customWidth="1"/>
  </cols>
  <sheetData>
    <row r="2" spans="1:117" x14ac:dyDescent="0.25">
      <c r="B2" s="1" t="s">
        <v>14</v>
      </c>
      <c r="C2" s="1" t="s">
        <v>85</v>
      </c>
      <c r="D2" s="1" t="s">
        <v>86</v>
      </c>
      <c r="E2" s="1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92</v>
      </c>
      <c r="K2" s="1" t="s">
        <v>93</v>
      </c>
      <c r="L2" s="1" t="s">
        <v>94</v>
      </c>
      <c r="M2" s="1" t="s">
        <v>95</v>
      </c>
      <c r="N2" s="1" t="s">
        <v>96</v>
      </c>
      <c r="O2" s="1" t="s">
        <v>97</v>
      </c>
      <c r="P2" s="1" t="s">
        <v>98</v>
      </c>
      <c r="Q2" s="1" t="s">
        <v>99</v>
      </c>
      <c r="R2" s="1" t="s">
        <v>100</v>
      </c>
      <c r="S2" s="1" t="s">
        <v>101</v>
      </c>
      <c r="T2" s="1" t="s">
        <v>102</v>
      </c>
      <c r="U2" s="1" t="s">
        <v>103</v>
      </c>
      <c r="V2" s="1" t="s">
        <v>104</v>
      </c>
      <c r="W2" s="1" t="s">
        <v>105</v>
      </c>
      <c r="X2" s="1" t="s">
        <v>106</v>
      </c>
      <c r="Y2" s="1" t="s">
        <v>107</v>
      </c>
      <c r="Z2" s="1" t="s">
        <v>108</v>
      </c>
      <c r="AA2" s="1" t="s">
        <v>109</v>
      </c>
      <c r="AB2" s="1" t="s">
        <v>110</v>
      </c>
      <c r="AC2" s="1" t="s">
        <v>111</v>
      </c>
      <c r="AD2" s="1" t="s">
        <v>112</v>
      </c>
      <c r="AE2" s="1" t="s">
        <v>113</v>
      </c>
      <c r="AF2" s="1" t="s">
        <v>114</v>
      </c>
      <c r="AG2" s="1" t="s">
        <v>115</v>
      </c>
      <c r="AH2" s="1" t="s">
        <v>116</v>
      </c>
      <c r="AI2" s="1" t="s">
        <v>117</v>
      </c>
      <c r="AJ2" s="1" t="s">
        <v>118</v>
      </c>
      <c r="AK2" s="1" t="s">
        <v>119</v>
      </c>
      <c r="AL2" s="1" t="s">
        <v>120</v>
      </c>
      <c r="AM2" s="1" t="s">
        <v>121</v>
      </c>
      <c r="AN2" s="1" t="s">
        <v>122</v>
      </c>
      <c r="AO2" s="1" t="s">
        <v>123</v>
      </c>
      <c r="AP2" s="1" t="s">
        <v>124</v>
      </c>
      <c r="AQ2" s="1" t="s">
        <v>125</v>
      </c>
      <c r="AR2" s="1" t="s">
        <v>126</v>
      </c>
      <c r="AS2" s="1" t="s">
        <v>127</v>
      </c>
      <c r="AT2" s="1" t="s">
        <v>128</v>
      </c>
      <c r="AU2" s="1" t="s">
        <v>129</v>
      </c>
      <c r="AV2" s="1" t="s">
        <v>130</v>
      </c>
      <c r="AW2" s="1" t="s">
        <v>131</v>
      </c>
      <c r="AX2" s="1" t="s">
        <v>132</v>
      </c>
      <c r="AY2" s="1" t="s">
        <v>133</v>
      </c>
      <c r="AZ2" s="1" t="s">
        <v>134</v>
      </c>
      <c r="BA2" s="1" t="s">
        <v>135</v>
      </c>
      <c r="BB2" s="1" t="s">
        <v>136</v>
      </c>
      <c r="BC2" s="1" t="s">
        <v>137</v>
      </c>
      <c r="BD2" s="1" t="s">
        <v>138</v>
      </c>
      <c r="BE2" s="1" t="s">
        <v>139</v>
      </c>
      <c r="BF2" s="1" t="s">
        <v>140</v>
      </c>
      <c r="BG2" s="1" t="s">
        <v>141</v>
      </c>
      <c r="BH2" s="1" t="s">
        <v>142</v>
      </c>
      <c r="BI2" s="1" t="s">
        <v>143</v>
      </c>
      <c r="BJ2" s="1" t="s">
        <v>144</v>
      </c>
      <c r="BK2" s="1" t="s">
        <v>145</v>
      </c>
      <c r="BL2" s="1" t="s">
        <v>146</v>
      </c>
      <c r="BM2" s="1" t="s">
        <v>147</v>
      </c>
      <c r="BN2" s="1" t="s">
        <v>148</v>
      </c>
      <c r="BO2" s="1" t="s">
        <v>149</v>
      </c>
      <c r="BP2" s="1" t="s">
        <v>150</v>
      </c>
      <c r="BQ2" s="1" t="s">
        <v>151</v>
      </c>
      <c r="BR2" s="1" t="s">
        <v>152</v>
      </c>
      <c r="BS2" s="1" t="s">
        <v>153</v>
      </c>
      <c r="BT2" s="1" t="s">
        <v>154</v>
      </c>
      <c r="BU2" s="1" t="s">
        <v>155</v>
      </c>
      <c r="BV2" s="1" t="s">
        <v>156</v>
      </c>
      <c r="BW2" s="1" t="s">
        <v>157</v>
      </c>
      <c r="BX2" s="1" t="s">
        <v>158</v>
      </c>
      <c r="BY2" s="1" t="s">
        <v>159</v>
      </c>
      <c r="BZ2" s="1" t="s">
        <v>160</v>
      </c>
      <c r="CA2" s="1" t="s">
        <v>161</v>
      </c>
      <c r="CB2" s="1" t="s">
        <v>162</v>
      </c>
      <c r="CC2" s="1" t="s">
        <v>163</v>
      </c>
      <c r="CD2" s="1" t="s">
        <v>164</v>
      </c>
      <c r="CE2" s="1" t="s">
        <v>165</v>
      </c>
      <c r="CF2" s="1" t="s">
        <v>166</v>
      </c>
      <c r="CG2" s="1" t="s">
        <v>167</v>
      </c>
      <c r="CH2" s="1" t="s">
        <v>168</v>
      </c>
      <c r="CI2" s="1" t="s">
        <v>169</v>
      </c>
      <c r="CJ2" s="1" t="s">
        <v>170</v>
      </c>
      <c r="CK2" s="1" t="s">
        <v>171</v>
      </c>
      <c r="CL2" s="1" t="s">
        <v>172</v>
      </c>
      <c r="CM2" s="1" t="s">
        <v>173</v>
      </c>
      <c r="CN2" s="1" t="s">
        <v>174</v>
      </c>
      <c r="CO2" s="1" t="s">
        <v>175</v>
      </c>
      <c r="CP2" s="1" t="s">
        <v>176</v>
      </c>
      <c r="CQ2" s="1" t="s">
        <v>177</v>
      </c>
      <c r="CR2" s="1" t="s">
        <v>178</v>
      </c>
      <c r="CS2" s="1" t="s">
        <v>179</v>
      </c>
      <c r="CT2" s="1" t="s">
        <v>180</v>
      </c>
      <c r="CU2" s="1" t="s">
        <v>181</v>
      </c>
      <c r="CV2" s="1" t="s">
        <v>182</v>
      </c>
      <c r="CW2" s="1" t="s">
        <v>183</v>
      </c>
      <c r="CX2" s="1" t="s">
        <v>184</v>
      </c>
      <c r="CY2" s="1" t="s">
        <v>185</v>
      </c>
      <c r="CZ2" s="1" t="s">
        <v>186</v>
      </c>
      <c r="DA2" s="1" t="s">
        <v>187</v>
      </c>
      <c r="DB2" s="1" t="s">
        <v>188</v>
      </c>
      <c r="DC2" s="1" t="s">
        <v>189</v>
      </c>
      <c r="DD2" s="1" t="s">
        <v>190</v>
      </c>
      <c r="DE2" s="1" t="s">
        <v>191</v>
      </c>
      <c r="DF2" s="1" t="s">
        <v>192</v>
      </c>
      <c r="DG2" s="1" t="s">
        <v>193</v>
      </c>
      <c r="DH2" s="1" t="s">
        <v>194</v>
      </c>
      <c r="DI2" s="1" t="s">
        <v>195</v>
      </c>
      <c r="DJ2" s="1" t="s">
        <v>196</v>
      </c>
      <c r="DK2" s="1" t="s">
        <v>197</v>
      </c>
      <c r="DL2" s="1" t="s">
        <v>198</v>
      </c>
      <c r="DM2" s="1" t="s">
        <v>199</v>
      </c>
    </row>
    <row r="3" spans="1:117" x14ac:dyDescent="0.25">
      <c r="A3" s="1" t="s">
        <v>200</v>
      </c>
      <c r="B3" t="s">
        <v>201</v>
      </c>
      <c r="C3" t="s">
        <v>201</v>
      </c>
      <c r="D3" t="s">
        <v>202</v>
      </c>
      <c r="E3" t="s">
        <v>202</v>
      </c>
      <c r="F3" t="s">
        <v>201</v>
      </c>
      <c r="G3" t="s">
        <v>203</v>
      </c>
      <c r="H3" t="s">
        <v>203</v>
      </c>
      <c r="I3" t="s">
        <v>201</v>
      </c>
      <c r="J3" t="s">
        <v>204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12</v>
      </c>
      <c r="Q3" t="s">
        <v>8</v>
      </c>
      <c r="R3" t="s">
        <v>205</v>
      </c>
      <c r="S3" t="s">
        <v>12</v>
      </c>
      <c r="T3" t="s">
        <v>201</v>
      </c>
      <c r="U3" t="s">
        <v>204</v>
      </c>
      <c r="V3" t="s">
        <v>201</v>
      </c>
      <c r="W3" t="s">
        <v>201</v>
      </c>
      <c r="X3" t="s">
        <v>201</v>
      </c>
      <c r="Y3" t="s">
        <v>12</v>
      </c>
      <c r="Z3" t="s">
        <v>72</v>
      </c>
      <c r="AA3" t="s">
        <v>206</v>
      </c>
      <c r="AB3" t="s">
        <v>201</v>
      </c>
      <c r="AC3" t="s">
        <v>207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42</v>
      </c>
      <c r="AJ3" t="s">
        <v>201</v>
      </c>
      <c r="AK3" t="s">
        <v>81</v>
      </c>
      <c r="AL3" t="s">
        <v>61</v>
      </c>
      <c r="AM3" t="s">
        <v>201</v>
      </c>
      <c r="AN3" t="s">
        <v>208</v>
      </c>
      <c r="AO3" t="s">
        <v>20</v>
      </c>
      <c r="AP3" t="s">
        <v>36</v>
      </c>
      <c r="AQ3" t="s">
        <v>201</v>
      </c>
      <c r="AR3" t="s">
        <v>201</v>
      </c>
      <c r="AS3" t="s">
        <v>209</v>
      </c>
      <c r="AT3" t="s">
        <v>79</v>
      </c>
      <c r="AU3" t="s">
        <v>201</v>
      </c>
      <c r="AV3" t="s">
        <v>201</v>
      </c>
      <c r="AW3" t="s">
        <v>32</v>
      </c>
      <c r="AX3" t="s">
        <v>75</v>
      </c>
      <c r="AY3" t="s">
        <v>77</v>
      </c>
      <c r="AZ3" t="s">
        <v>73</v>
      </c>
      <c r="BA3" t="s">
        <v>68</v>
      </c>
      <c r="BB3" t="s">
        <v>52</v>
      </c>
      <c r="BC3" t="s">
        <v>52</v>
      </c>
      <c r="BD3" t="s">
        <v>10</v>
      </c>
      <c r="BE3" t="s">
        <v>46</v>
      </c>
      <c r="BF3" t="s">
        <v>50</v>
      </c>
      <c r="BG3" t="s">
        <v>50</v>
      </c>
      <c r="BH3" t="s">
        <v>210</v>
      </c>
      <c r="BI3" t="s">
        <v>6</v>
      </c>
      <c r="BJ3" t="s">
        <v>4</v>
      </c>
      <c r="BK3" t="s">
        <v>2</v>
      </c>
      <c r="BL3" t="s">
        <v>30</v>
      </c>
      <c r="BM3" t="s">
        <v>40</v>
      </c>
      <c r="BN3" t="s">
        <v>24</v>
      </c>
      <c r="BO3" t="s">
        <v>16</v>
      </c>
      <c r="BP3" t="s">
        <v>62</v>
      </c>
      <c r="BQ3" t="s">
        <v>66</v>
      </c>
      <c r="BR3" t="s">
        <v>66</v>
      </c>
      <c r="BS3" t="s">
        <v>64</v>
      </c>
      <c r="BT3" t="s">
        <v>62</v>
      </c>
      <c r="BU3" t="s">
        <v>62</v>
      </c>
      <c r="BV3" t="s">
        <v>211</v>
      </c>
      <c r="BW3" t="s">
        <v>212</v>
      </c>
      <c r="BX3" t="s">
        <v>79</v>
      </c>
      <c r="BY3" t="s">
        <v>26</v>
      </c>
      <c r="BZ3" t="s">
        <v>56</v>
      </c>
      <c r="CA3" t="s">
        <v>26</v>
      </c>
      <c r="CB3" t="s">
        <v>58</v>
      </c>
      <c r="CC3" t="s">
        <v>36</v>
      </c>
      <c r="CD3" t="s">
        <v>213</v>
      </c>
      <c r="CE3" t="s">
        <v>28</v>
      </c>
      <c r="CF3" t="s">
        <v>28</v>
      </c>
      <c r="CG3" t="s">
        <v>38</v>
      </c>
      <c r="CH3" t="s">
        <v>44</v>
      </c>
      <c r="CI3" t="s">
        <v>44</v>
      </c>
      <c r="CJ3" t="s">
        <v>39</v>
      </c>
      <c r="CK3" t="s">
        <v>69</v>
      </c>
      <c r="CL3" t="s">
        <v>59</v>
      </c>
      <c r="CM3" t="s">
        <v>71</v>
      </c>
      <c r="CN3" t="s">
        <v>60</v>
      </c>
      <c r="CO3" t="s">
        <v>214</v>
      </c>
      <c r="CP3" t="s">
        <v>201</v>
      </c>
      <c r="CQ3" t="s">
        <v>48</v>
      </c>
      <c r="CR3" t="s">
        <v>48</v>
      </c>
      <c r="CS3" t="s">
        <v>215</v>
      </c>
      <c r="CT3" t="s">
        <v>83</v>
      </c>
      <c r="CU3" t="s">
        <v>205</v>
      </c>
      <c r="CV3" t="s">
        <v>205</v>
      </c>
      <c r="CW3" t="s">
        <v>216</v>
      </c>
      <c r="CX3" t="s">
        <v>217</v>
      </c>
      <c r="CY3" t="s">
        <v>206</v>
      </c>
      <c r="CZ3" t="s">
        <v>218</v>
      </c>
      <c r="DA3" t="s">
        <v>218</v>
      </c>
      <c r="DB3" t="s">
        <v>219</v>
      </c>
      <c r="DC3" t="s">
        <v>219</v>
      </c>
      <c r="DD3" t="s">
        <v>220</v>
      </c>
      <c r="DE3" t="s">
        <v>208</v>
      </c>
      <c r="DF3" t="s">
        <v>14</v>
      </c>
      <c r="DG3" t="s">
        <v>0</v>
      </c>
      <c r="DH3" t="s">
        <v>34</v>
      </c>
      <c r="DI3" t="s">
        <v>221</v>
      </c>
      <c r="DJ3" t="s">
        <v>222</v>
      </c>
      <c r="DK3" t="s">
        <v>54</v>
      </c>
      <c r="DL3" t="s">
        <v>54</v>
      </c>
      <c r="DM3" t="s">
        <v>54</v>
      </c>
    </row>
    <row r="4" spans="1:117" x14ac:dyDescent="0.25">
      <c r="A4" s="1" t="s">
        <v>223</v>
      </c>
      <c r="B4" t="s">
        <v>14</v>
      </c>
      <c r="C4" t="s">
        <v>16</v>
      </c>
      <c r="D4" t="s">
        <v>66</v>
      </c>
      <c r="E4" t="s">
        <v>62</v>
      </c>
      <c r="F4" t="s">
        <v>24</v>
      </c>
      <c r="G4" t="s">
        <v>66</v>
      </c>
      <c r="H4" t="s">
        <v>62</v>
      </c>
      <c r="I4" t="s">
        <v>12</v>
      </c>
      <c r="J4" t="s">
        <v>222</v>
      </c>
      <c r="K4" t="s">
        <v>32</v>
      </c>
      <c r="L4" t="s">
        <v>12</v>
      </c>
      <c r="M4" t="s">
        <v>206</v>
      </c>
      <c r="N4" t="s">
        <v>6</v>
      </c>
      <c r="O4" t="s">
        <v>4</v>
      </c>
      <c r="P4" t="s">
        <v>201</v>
      </c>
      <c r="Q4" t="s">
        <v>56</v>
      </c>
      <c r="R4" t="s">
        <v>207</v>
      </c>
      <c r="S4" t="s">
        <v>201</v>
      </c>
      <c r="T4" t="s">
        <v>12</v>
      </c>
      <c r="U4" t="s">
        <v>201</v>
      </c>
      <c r="V4" t="s">
        <v>206</v>
      </c>
      <c r="W4" t="s">
        <v>30</v>
      </c>
      <c r="X4" t="s">
        <v>71</v>
      </c>
      <c r="Y4" t="s">
        <v>201</v>
      </c>
      <c r="Z4" t="s">
        <v>201</v>
      </c>
      <c r="AA4" t="s">
        <v>201</v>
      </c>
      <c r="AB4" t="s">
        <v>34</v>
      </c>
      <c r="AC4" t="s">
        <v>12</v>
      </c>
      <c r="AD4" t="s">
        <v>54</v>
      </c>
      <c r="AE4" t="s">
        <v>54</v>
      </c>
      <c r="AF4" t="s">
        <v>12</v>
      </c>
      <c r="AG4" t="s">
        <v>12</v>
      </c>
      <c r="AH4" t="s">
        <v>0</v>
      </c>
      <c r="AI4" t="s">
        <v>30</v>
      </c>
      <c r="AJ4" t="s">
        <v>68</v>
      </c>
      <c r="AK4" t="s">
        <v>215</v>
      </c>
      <c r="AL4" t="s">
        <v>221</v>
      </c>
      <c r="AM4" t="s">
        <v>30</v>
      </c>
      <c r="AN4" t="s">
        <v>209</v>
      </c>
      <c r="AO4" t="s">
        <v>62</v>
      </c>
      <c r="AP4" t="s">
        <v>48</v>
      </c>
      <c r="AQ4" t="s">
        <v>79</v>
      </c>
      <c r="AR4" t="s">
        <v>75</v>
      </c>
      <c r="AS4" t="s">
        <v>12</v>
      </c>
      <c r="AT4" t="s">
        <v>201</v>
      </c>
      <c r="AU4" t="s">
        <v>73</v>
      </c>
      <c r="AV4" t="s">
        <v>68</v>
      </c>
      <c r="AW4" t="s">
        <v>68</v>
      </c>
      <c r="AX4" t="s">
        <v>77</v>
      </c>
      <c r="AY4" t="s">
        <v>73</v>
      </c>
      <c r="AZ4" t="s">
        <v>68</v>
      </c>
      <c r="BA4" t="s">
        <v>52</v>
      </c>
      <c r="BB4" t="s">
        <v>210</v>
      </c>
      <c r="BC4" t="s">
        <v>10</v>
      </c>
      <c r="BD4" t="s">
        <v>46</v>
      </c>
      <c r="BE4" t="s">
        <v>50</v>
      </c>
      <c r="BF4" t="s">
        <v>210</v>
      </c>
      <c r="BG4" t="s">
        <v>2</v>
      </c>
      <c r="BH4" t="s">
        <v>81</v>
      </c>
      <c r="BI4" t="s">
        <v>4</v>
      </c>
      <c r="BJ4" t="s">
        <v>2</v>
      </c>
      <c r="BK4" t="s">
        <v>42</v>
      </c>
      <c r="BL4" t="s">
        <v>40</v>
      </c>
      <c r="BM4" t="s">
        <v>20</v>
      </c>
      <c r="BN4" t="s">
        <v>203</v>
      </c>
      <c r="BO4" t="s">
        <v>202</v>
      </c>
      <c r="BP4" t="s">
        <v>66</v>
      </c>
      <c r="BQ4" t="s">
        <v>212</v>
      </c>
      <c r="BR4" t="s">
        <v>64</v>
      </c>
      <c r="BS4" t="s">
        <v>62</v>
      </c>
      <c r="BT4" t="s">
        <v>212</v>
      </c>
      <c r="BU4" t="s">
        <v>211</v>
      </c>
      <c r="BV4" t="s">
        <v>8</v>
      </c>
      <c r="BW4" t="s">
        <v>79</v>
      </c>
      <c r="BX4" t="s">
        <v>211</v>
      </c>
      <c r="BY4" t="s">
        <v>213</v>
      </c>
      <c r="BZ4" t="s">
        <v>36</v>
      </c>
      <c r="CA4" t="s">
        <v>58</v>
      </c>
      <c r="CB4" t="s">
        <v>36</v>
      </c>
      <c r="CC4" t="s">
        <v>26</v>
      </c>
      <c r="CD4" t="s">
        <v>28</v>
      </c>
      <c r="CE4" t="s">
        <v>38</v>
      </c>
      <c r="CF4" t="s">
        <v>61</v>
      </c>
      <c r="CG4" t="s">
        <v>44</v>
      </c>
      <c r="CH4" t="s">
        <v>213</v>
      </c>
      <c r="CI4" t="s">
        <v>39</v>
      </c>
      <c r="CJ4" t="s">
        <v>69</v>
      </c>
      <c r="CK4" t="s">
        <v>59</v>
      </c>
      <c r="CL4" t="s">
        <v>214</v>
      </c>
      <c r="CM4" t="s">
        <v>60</v>
      </c>
      <c r="CN4" t="s">
        <v>214</v>
      </c>
      <c r="CO4" t="s">
        <v>72</v>
      </c>
      <c r="CP4" t="s">
        <v>48</v>
      </c>
      <c r="CQ4" t="s">
        <v>209</v>
      </c>
      <c r="CR4" t="s">
        <v>215</v>
      </c>
      <c r="CS4" t="s">
        <v>83</v>
      </c>
      <c r="CT4" t="s">
        <v>205</v>
      </c>
      <c r="CU4" t="s">
        <v>217</v>
      </c>
      <c r="CV4" t="s">
        <v>220</v>
      </c>
      <c r="CW4" t="s">
        <v>217</v>
      </c>
      <c r="CX4" t="s">
        <v>206</v>
      </c>
      <c r="CY4" t="s">
        <v>218</v>
      </c>
      <c r="CZ4" t="s">
        <v>204</v>
      </c>
      <c r="DA4" t="s">
        <v>219</v>
      </c>
      <c r="DB4" t="s">
        <v>216</v>
      </c>
      <c r="DC4" t="s">
        <v>220</v>
      </c>
      <c r="DD4" t="s">
        <v>208</v>
      </c>
      <c r="DE4" t="s">
        <v>216</v>
      </c>
      <c r="DF4" t="s">
        <v>201</v>
      </c>
      <c r="DG4" t="s">
        <v>201</v>
      </c>
      <c r="DH4" t="s">
        <v>201</v>
      </c>
      <c r="DI4" t="s">
        <v>54</v>
      </c>
      <c r="DJ4" t="s">
        <v>54</v>
      </c>
      <c r="DK4" t="s">
        <v>201</v>
      </c>
      <c r="DL4" t="s">
        <v>201</v>
      </c>
      <c r="DM4" t="s">
        <v>201</v>
      </c>
    </row>
    <row r="5" spans="1:117" x14ac:dyDescent="0.25">
      <c r="A5" s="1" t="s">
        <v>224</v>
      </c>
      <c r="B5" t="s">
        <v>225</v>
      </c>
      <c r="C5" t="s">
        <v>225</v>
      </c>
      <c r="D5" t="s">
        <v>225</v>
      </c>
      <c r="E5" t="s">
        <v>225</v>
      </c>
      <c r="F5" t="s">
        <v>225</v>
      </c>
      <c r="G5" t="s">
        <v>225</v>
      </c>
      <c r="H5" t="s">
        <v>225</v>
      </c>
      <c r="I5" t="s">
        <v>225</v>
      </c>
      <c r="J5" t="s">
        <v>225</v>
      </c>
      <c r="K5" t="s">
        <v>225</v>
      </c>
      <c r="L5" t="s">
        <v>226</v>
      </c>
      <c r="M5" t="s">
        <v>226</v>
      </c>
      <c r="N5" t="s">
        <v>225</v>
      </c>
      <c r="O5" t="s">
        <v>225</v>
      </c>
      <c r="P5" t="s">
        <v>225</v>
      </c>
      <c r="Q5" t="s">
        <v>225</v>
      </c>
      <c r="R5" t="s">
        <v>226</v>
      </c>
      <c r="S5" t="s">
        <v>225</v>
      </c>
      <c r="T5" t="s">
        <v>225</v>
      </c>
      <c r="U5" t="s">
        <v>225</v>
      </c>
      <c r="V5" t="s">
        <v>225</v>
      </c>
      <c r="W5" t="s">
        <v>225</v>
      </c>
      <c r="X5" t="s">
        <v>225</v>
      </c>
      <c r="Y5" t="s">
        <v>226</v>
      </c>
      <c r="Z5" t="s">
        <v>225</v>
      </c>
      <c r="AA5" t="s">
        <v>226</v>
      </c>
      <c r="AB5" t="s">
        <v>225</v>
      </c>
      <c r="AC5" t="s">
        <v>226</v>
      </c>
      <c r="AD5" t="s">
        <v>225</v>
      </c>
      <c r="AE5" t="s">
        <v>225</v>
      </c>
      <c r="AF5" t="s">
        <v>225</v>
      </c>
      <c r="AG5" t="s">
        <v>226</v>
      </c>
      <c r="AH5" t="s">
        <v>225</v>
      </c>
      <c r="AI5" t="s">
        <v>225</v>
      </c>
      <c r="AJ5" t="s">
        <v>226</v>
      </c>
      <c r="AK5" t="s">
        <v>225</v>
      </c>
      <c r="AL5" t="s">
        <v>225</v>
      </c>
      <c r="AM5" t="s">
        <v>225</v>
      </c>
      <c r="AN5" t="s">
        <v>225</v>
      </c>
      <c r="AO5" t="s">
        <v>225</v>
      </c>
      <c r="AP5" t="s">
        <v>225</v>
      </c>
      <c r="AQ5" t="s">
        <v>225</v>
      </c>
      <c r="AR5" t="s">
        <v>225</v>
      </c>
      <c r="AS5" t="s">
        <v>225</v>
      </c>
      <c r="AT5" t="s">
        <v>226</v>
      </c>
      <c r="AU5" t="s">
        <v>225</v>
      </c>
      <c r="AV5" t="s">
        <v>225</v>
      </c>
      <c r="AW5" t="s">
        <v>225</v>
      </c>
      <c r="AX5" t="s">
        <v>225</v>
      </c>
      <c r="AY5" t="s">
        <v>225</v>
      </c>
      <c r="AZ5" t="s">
        <v>225</v>
      </c>
      <c r="BA5" t="s">
        <v>225</v>
      </c>
      <c r="BB5" t="s">
        <v>226</v>
      </c>
      <c r="BC5" t="s">
        <v>225</v>
      </c>
      <c r="BD5" t="s">
        <v>225</v>
      </c>
      <c r="BE5" t="s">
        <v>225</v>
      </c>
      <c r="BF5" t="s">
        <v>226</v>
      </c>
      <c r="BG5" t="s">
        <v>225</v>
      </c>
      <c r="BH5" t="s">
        <v>226</v>
      </c>
      <c r="BI5" t="s">
        <v>225</v>
      </c>
      <c r="BJ5" t="s">
        <v>225</v>
      </c>
      <c r="BK5" t="s">
        <v>225</v>
      </c>
      <c r="BL5" t="s">
        <v>225</v>
      </c>
      <c r="BM5" t="s">
        <v>225</v>
      </c>
      <c r="BN5" t="s">
        <v>225</v>
      </c>
      <c r="BO5" t="s">
        <v>225</v>
      </c>
      <c r="BP5" t="s">
        <v>225</v>
      </c>
      <c r="BQ5" t="s">
        <v>226</v>
      </c>
      <c r="BR5" t="s">
        <v>225</v>
      </c>
      <c r="BS5" t="s">
        <v>225</v>
      </c>
      <c r="BT5" t="s">
        <v>226</v>
      </c>
      <c r="BU5" t="s">
        <v>225</v>
      </c>
      <c r="BV5" t="s">
        <v>225</v>
      </c>
      <c r="BW5" t="s">
        <v>226</v>
      </c>
      <c r="BX5" t="s">
        <v>225</v>
      </c>
      <c r="BY5" t="s">
        <v>226</v>
      </c>
      <c r="BZ5" t="s">
        <v>225</v>
      </c>
      <c r="CA5" t="s">
        <v>225</v>
      </c>
      <c r="CB5" t="s">
        <v>225</v>
      </c>
      <c r="CC5" t="s">
        <v>225</v>
      </c>
      <c r="CD5" t="s">
        <v>226</v>
      </c>
      <c r="CE5" t="s">
        <v>226</v>
      </c>
      <c r="CF5" t="s">
        <v>225</v>
      </c>
      <c r="CG5" t="s">
        <v>226</v>
      </c>
      <c r="CH5" t="s">
        <v>226</v>
      </c>
      <c r="CI5" t="s">
        <v>226</v>
      </c>
      <c r="CJ5" t="s">
        <v>225</v>
      </c>
      <c r="CK5" t="s">
        <v>225</v>
      </c>
      <c r="CL5" t="s">
        <v>225</v>
      </c>
      <c r="CM5" t="s">
        <v>225</v>
      </c>
      <c r="CN5" t="s">
        <v>225</v>
      </c>
      <c r="CO5" t="s">
        <v>225</v>
      </c>
      <c r="CP5" t="s">
        <v>225</v>
      </c>
      <c r="CQ5" t="s">
        <v>225</v>
      </c>
      <c r="CR5" t="s">
        <v>225</v>
      </c>
      <c r="CS5" t="s">
        <v>225</v>
      </c>
      <c r="CT5" t="s">
        <v>225</v>
      </c>
      <c r="CU5" t="s">
        <v>225</v>
      </c>
      <c r="CV5" t="s">
        <v>225</v>
      </c>
      <c r="CW5" t="s">
        <v>225</v>
      </c>
      <c r="CX5" t="s">
        <v>225</v>
      </c>
      <c r="CY5" t="s">
        <v>225</v>
      </c>
      <c r="CZ5" t="s">
        <v>225</v>
      </c>
      <c r="DA5" t="s">
        <v>225</v>
      </c>
      <c r="DB5" t="s">
        <v>225</v>
      </c>
      <c r="DC5" t="s">
        <v>225</v>
      </c>
      <c r="DD5" t="s">
        <v>225</v>
      </c>
      <c r="DE5" t="s">
        <v>225</v>
      </c>
      <c r="DF5" t="s">
        <v>225</v>
      </c>
      <c r="DG5" t="s">
        <v>225</v>
      </c>
      <c r="DH5" t="s">
        <v>225</v>
      </c>
      <c r="DI5" t="s">
        <v>225</v>
      </c>
      <c r="DJ5" t="s">
        <v>225</v>
      </c>
      <c r="DK5" t="s">
        <v>225</v>
      </c>
      <c r="DL5" t="s">
        <v>225</v>
      </c>
      <c r="DM5" t="s">
        <v>225</v>
      </c>
    </row>
    <row r="6" spans="1:117" x14ac:dyDescent="0.25">
      <c r="A6" s="1" t="s">
        <v>227</v>
      </c>
      <c r="B6">
        <v>298.14999999999998</v>
      </c>
      <c r="C6">
        <v>298.14999999999998</v>
      </c>
      <c r="D6">
        <v>298.14999999999998</v>
      </c>
      <c r="E6">
        <v>298.14999999999998</v>
      </c>
      <c r="F6">
        <v>298.14999999999998</v>
      </c>
      <c r="G6">
        <v>298.14999999999998</v>
      </c>
      <c r="H6">
        <v>298.14999999999998</v>
      </c>
      <c r="I6">
        <v>298.14999999999998</v>
      </c>
      <c r="J6">
        <v>307.68624886002709</v>
      </c>
      <c r="K6">
        <v>298.14999999999998</v>
      </c>
      <c r="L6">
        <v>298.14999999999998</v>
      </c>
      <c r="M6">
        <v>298.14999999999998</v>
      </c>
      <c r="N6">
        <v>298.14999999999998</v>
      </c>
      <c r="O6">
        <v>368.15</v>
      </c>
      <c r="P6">
        <v>298.14999999999998</v>
      </c>
      <c r="Q6">
        <v>304.68098748638272</v>
      </c>
      <c r="R6">
        <v>307.65176852321571</v>
      </c>
      <c r="S6">
        <v>298.14999999999998</v>
      </c>
      <c r="T6">
        <v>298.14999999999998</v>
      </c>
      <c r="U6">
        <v>307.68624886002709</v>
      </c>
      <c r="V6">
        <v>298.14999999999998</v>
      </c>
      <c r="W6">
        <v>298.14999999999998</v>
      </c>
      <c r="X6">
        <v>298.14999999999998</v>
      </c>
      <c r="Y6">
        <v>397.76607900615392</v>
      </c>
      <c r="Z6">
        <v>339.26084980367932</v>
      </c>
      <c r="AA6">
        <v>298.14999999999998</v>
      </c>
      <c r="AB6">
        <v>298.14999999999998</v>
      </c>
      <c r="AC6">
        <v>307.65176852321571</v>
      </c>
      <c r="AD6">
        <v>298.14999999999998</v>
      </c>
      <c r="AE6">
        <v>298.14999999999998</v>
      </c>
      <c r="AF6">
        <v>298.14999999999998</v>
      </c>
      <c r="AG6">
        <v>288.70555555555558</v>
      </c>
      <c r="AH6">
        <v>298.14999999999998</v>
      </c>
      <c r="AI6">
        <v>374.47896470067872</v>
      </c>
      <c r="AJ6">
        <v>541.15</v>
      </c>
      <c r="AK6">
        <v>373.15</v>
      </c>
      <c r="AL6">
        <v>386.84602910016997</v>
      </c>
      <c r="AM6">
        <v>298.14999999999998</v>
      </c>
      <c r="AN6">
        <v>307.80336661945938</v>
      </c>
      <c r="AO6">
        <v>321.14999999999998</v>
      </c>
      <c r="AP6">
        <v>314.68098748638272</v>
      </c>
      <c r="AQ6">
        <v>298.14999999999998</v>
      </c>
      <c r="AR6">
        <v>294.14999999999998</v>
      </c>
      <c r="AS6">
        <v>313.1176308853037</v>
      </c>
      <c r="AT6">
        <v>304.50268165113289</v>
      </c>
      <c r="AU6">
        <v>368.15</v>
      </c>
      <c r="AV6">
        <v>368.15</v>
      </c>
      <c r="AW6">
        <v>298.14999999999998</v>
      </c>
      <c r="AX6">
        <v>294.14999999999998</v>
      </c>
      <c r="AY6">
        <v>294.14999999999998</v>
      </c>
      <c r="AZ6">
        <v>366.42720760749381</v>
      </c>
      <c r="BA6">
        <v>431.14999851345578</v>
      </c>
      <c r="BB6">
        <v>403.15</v>
      </c>
      <c r="BC6">
        <v>403.15</v>
      </c>
      <c r="BD6">
        <v>403.15</v>
      </c>
      <c r="BE6">
        <v>403.15</v>
      </c>
      <c r="BF6">
        <v>373.26523749062352</v>
      </c>
      <c r="BG6">
        <v>373.26523749062352</v>
      </c>
      <c r="BH6">
        <v>387.9577690941241</v>
      </c>
      <c r="BI6">
        <v>298.14999999999998</v>
      </c>
      <c r="BJ6">
        <v>367.62320512815228</v>
      </c>
      <c r="BK6">
        <v>374.47896470067872</v>
      </c>
      <c r="BL6">
        <v>364.02210725427892</v>
      </c>
      <c r="BM6">
        <v>321.14999999999998</v>
      </c>
      <c r="BN6">
        <v>298.14999999999998</v>
      </c>
      <c r="BO6">
        <v>298.14999999999998</v>
      </c>
      <c r="BP6">
        <v>305.14999999999998</v>
      </c>
      <c r="BQ6">
        <v>298.14999999999998</v>
      </c>
      <c r="BR6">
        <v>305.14999999999998</v>
      </c>
      <c r="BS6">
        <v>305.14999999999998</v>
      </c>
      <c r="BT6">
        <v>305.14999999999998</v>
      </c>
      <c r="BU6">
        <v>305.14999999999998</v>
      </c>
      <c r="BV6">
        <v>304.68098748638272</v>
      </c>
      <c r="BW6">
        <v>304.50268165113289</v>
      </c>
      <c r="BX6">
        <v>298.14999999999998</v>
      </c>
      <c r="BY6">
        <v>386.14240085991969</v>
      </c>
      <c r="BZ6">
        <v>304.68098748638272</v>
      </c>
      <c r="CA6">
        <v>395.32172182111702</v>
      </c>
      <c r="CB6">
        <v>395.32172182111702</v>
      </c>
      <c r="CC6">
        <v>378.33378923189701</v>
      </c>
      <c r="CD6">
        <v>386.39736176110563</v>
      </c>
      <c r="CE6">
        <v>363.91612563154399</v>
      </c>
      <c r="CF6">
        <v>386.84602910016997</v>
      </c>
      <c r="CG6">
        <v>388.15</v>
      </c>
      <c r="CH6">
        <v>388.15</v>
      </c>
      <c r="CI6">
        <v>388.15</v>
      </c>
      <c r="CJ6">
        <v>340</v>
      </c>
      <c r="CK6">
        <v>340</v>
      </c>
      <c r="CL6">
        <v>340</v>
      </c>
      <c r="CM6">
        <v>298.14999999999998</v>
      </c>
      <c r="CN6">
        <v>298.14999999999998</v>
      </c>
      <c r="CO6">
        <v>339.26084980367932</v>
      </c>
      <c r="CP6">
        <v>320.14999999999998</v>
      </c>
      <c r="CQ6">
        <v>314.68100244909419</v>
      </c>
      <c r="CR6">
        <v>314.68100244909419</v>
      </c>
      <c r="CS6">
        <v>319.03452124462751</v>
      </c>
      <c r="CT6">
        <v>319.03452124462751</v>
      </c>
      <c r="CU6">
        <v>307.65176852321571</v>
      </c>
      <c r="CV6">
        <v>308.14999999999998</v>
      </c>
      <c r="CW6">
        <v>307.69207254313949</v>
      </c>
      <c r="CX6">
        <v>307.68624886002709</v>
      </c>
      <c r="CY6">
        <v>307.68624886002709</v>
      </c>
      <c r="CZ6">
        <v>307.68624886002709</v>
      </c>
      <c r="DA6">
        <v>307.68624886002709</v>
      </c>
      <c r="DB6">
        <v>307.68624886002709</v>
      </c>
      <c r="DC6">
        <v>307.68624886002709</v>
      </c>
      <c r="DD6">
        <v>307.80336661945938</v>
      </c>
      <c r="DE6">
        <v>307.80336661945938</v>
      </c>
      <c r="DF6">
        <v>298.14999999999998</v>
      </c>
      <c r="DG6">
        <v>298.14999999999998</v>
      </c>
      <c r="DH6">
        <v>298.14999999999998</v>
      </c>
      <c r="DI6">
        <v>386.84602910016997</v>
      </c>
      <c r="DJ6">
        <v>307.68624886002709</v>
      </c>
      <c r="DK6">
        <v>298.14999999999998</v>
      </c>
      <c r="DL6">
        <v>298.14999999999998</v>
      </c>
      <c r="DM6">
        <v>298.14999999999998</v>
      </c>
    </row>
    <row r="7" spans="1:117" x14ac:dyDescent="0.25">
      <c r="A7" s="1" t="s">
        <v>228</v>
      </c>
      <c r="B7">
        <v>126.11728359999999</v>
      </c>
      <c r="C7">
        <v>1290.7001564526161</v>
      </c>
      <c r="D7">
        <v>215.11669274210271</v>
      </c>
      <c r="E7">
        <v>1075.583463710514</v>
      </c>
      <c r="F7">
        <v>158.86522341032929</v>
      </c>
      <c r="G7">
        <v>25.173948784239581</v>
      </c>
      <c r="H7">
        <v>133.6912746329572</v>
      </c>
      <c r="I7">
        <v>363.24939367694748</v>
      </c>
      <c r="J7">
        <v>326567.17441705673</v>
      </c>
      <c r="K7">
        <v>104229.16</v>
      </c>
      <c r="L7">
        <v>1275408.825888268</v>
      </c>
      <c r="M7">
        <v>10057.75282412631</v>
      </c>
      <c r="N7">
        <v>1300.7129170990529</v>
      </c>
      <c r="O7">
        <v>89212.882752696591</v>
      </c>
      <c r="P7">
        <v>5736.4247353771416</v>
      </c>
      <c r="Q7">
        <v>437719.81288738019</v>
      </c>
      <c r="R7">
        <v>21157.182227639809</v>
      </c>
      <c r="S7">
        <v>7689.1822142763122</v>
      </c>
      <c r="T7">
        <v>0.4958240997839175</v>
      </c>
      <c r="U7">
        <v>9523.0306492830077</v>
      </c>
      <c r="V7">
        <v>4133.089874714623</v>
      </c>
      <c r="W7">
        <v>12672.616550265209</v>
      </c>
      <c r="X7">
        <v>473.10114720846872</v>
      </c>
      <c r="Y7">
        <v>1333842.1533397541</v>
      </c>
      <c r="Z7">
        <v>21978.353890456579</v>
      </c>
      <c r="AA7">
        <v>36736.642840247143</v>
      </c>
      <c r="AB7">
        <v>8338.3327999999983</v>
      </c>
      <c r="AC7">
        <v>21157.182227639809</v>
      </c>
      <c r="AD7">
        <v>0</v>
      </c>
      <c r="AE7">
        <v>73288.396236736051</v>
      </c>
      <c r="AF7">
        <v>7689.1822142763122</v>
      </c>
      <c r="AG7">
        <v>0</v>
      </c>
      <c r="AH7">
        <v>83383.32799999998</v>
      </c>
      <c r="AI7">
        <v>378390.45106660988</v>
      </c>
      <c r="AJ7">
        <v>32610.97772694836</v>
      </c>
      <c r="AK7">
        <v>27849.012510703749</v>
      </c>
      <c r="AL7">
        <v>21256.472187845458</v>
      </c>
      <c r="AM7">
        <v>39170.317867330101</v>
      </c>
      <c r="AN7">
        <v>6703.432842238788</v>
      </c>
      <c r="AO7">
        <v>430233.38548420521</v>
      </c>
      <c r="AP7">
        <v>394958.08795960073</v>
      </c>
      <c r="AQ7">
        <v>26378.528538108421</v>
      </c>
      <c r="AR7">
        <v>1925.972769432721</v>
      </c>
      <c r="AS7">
        <v>42870.892999229567</v>
      </c>
      <c r="AT7">
        <v>20378.77957812131</v>
      </c>
      <c r="AU7">
        <v>23450.963772885469</v>
      </c>
      <c r="AV7">
        <v>153579.53691370771</v>
      </c>
      <c r="AW7">
        <v>104229.16</v>
      </c>
      <c r="AX7">
        <v>1925.972769432721</v>
      </c>
      <c r="AY7">
        <v>1925.972769432721</v>
      </c>
      <c r="AZ7">
        <v>25376.936542318192</v>
      </c>
      <c r="BA7">
        <v>315796.61118297419</v>
      </c>
      <c r="BB7">
        <v>13666.128483249629</v>
      </c>
      <c r="BC7">
        <v>302059.73942426872</v>
      </c>
      <c r="BD7">
        <v>302059.73942426872</v>
      </c>
      <c r="BE7">
        <v>302059.73942426872</v>
      </c>
      <c r="BF7">
        <v>14182.884027454111</v>
      </c>
      <c r="BG7">
        <v>287876.85539681453</v>
      </c>
      <c r="BH7">
        <v>27849.012510703749</v>
      </c>
      <c r="BI7">
        <v>1300.7129170990529</v>
      </c>
      <c r="BJ7">
        <v>90513.595669795643</v>
      </c>
      <c r="BK7">
        <v>378390.45106660988</v>
      </c>
      <c r="BL7">
        <v>430233.38548420521</v>
      </c>
      <c r="BM7">
        <v>430233.38548420521</v>
      </c>
      <c r="BN7">
        <v>158.86522341032929</v>
      </c>
      <c r="BO7">
        <v>1290.7001564526161</v>
      </c>
      <c r="BP7">
        <v>43023.338548420543</v>
      </c>
      <c r="BQ7">
        <v>1977.3728773631969</v>
      </c>
      <c r="BR7">
        <v>41293.233865979098</v>
      </c>
      <c r="BS7">
        <v>41293.233865979098</v>
      </c>
      <c r="BT7">
        <v>18863.680169606931</v>
      </c>
      <c r="BU7">
        <v>410879.01088042301</v>
      </c>
      <c r="BV7">
        <v>437719.81288738019</v>
      </c>
      <c r="BW7">
        <v>20841.05304697013</v>
      </c>
      <c r="BX7">
        <v>26840.802006957241</v>
      </c>
      <c r="BY7">
        <v>42761.724931090728</v>
      </c>
      <c r="BZ7">
        <v>437719.81288738019</v>
      </c>
      <c r="CA7">
        <v>394958.08795628953</v>
      </c>
      <c r="CB7">
        <v>394958.08795628953</v>
      </c>
      <c r="CC7">
        <v>437719.81288738019</v>
      </c>
      <c r="CD7">
        <v>49071.36321739672</v>
      </c>
      <c r="CE7">
        <v>27814.891029551251</v>
      </c>
      <c r="CF7">
        <v>21256.472187845458</v>
      </c>
      <c r="CG7">
        <v>27814.891029551251</v>
      </c>
      <c r="CH7">
        <v>6309.6382863031358</v>
      </c>
      <c r="CI7">
        <v>21505.252743248111</v>
      </c>
      <c r="CJ7">
        <v>21505.252743248111</v>
      </c>
      <c r="CK7">
        <v>21505.252743248111</v>
      </c>
      <c r="CL7">
        <v>21505.252743248111</v>
      </c>
      <c r="CM7">
        <v>473.10114720846872</v>
      </c>
      <c r="CN7">
        <v>473.10114720846872</v>
      </c>
      <c r="CO7">
        <v>21978.353890456579</v>
      </c>
      <c r="CP7">
        <v>1</v>
      </c>
      <c r="CQ7">
        <v>36167.460156990783</v>
      </c>
      <c r="CR7">
        <v>358791.62780261022</v>
      </c>
      <c r="CS7">
        <v>386640.64031331392</v>
      </c>
      <c r="CT7">
        <v>386640.64031331392</v>
      </c>
      <c r="CU7">
        <v>338498.56672289892</v>
      </c>
      <c r="CV7">
        <v>26984.891362775081</v>
      </c>
      <c r="CW7">
        <v>1996420.0317600139</v>
      </c>
      <c r="CX7">
        <v>2334774.5784472218</v>
      </c>
      <c r="CY7">
        <v>2312228.7783058169</v>
      </c>
      <c r="CZ7">
        <v>336090.20506633969</v>
      </c>
      <c r="DA7">
        <v>1976138.573239478</v>
      </c>
      <c r="DB7">
        <v>1897093.0303098981</v>
      </c>
      <c r="DC7">
        <v>79045.542929579155</v>
      </c>
      <c r="DD7">
        <v>106030.4342923542</v>
      </c>
      <c r="DE7">
        <v>99327.001450115466</v>
      </c>
      <c r="DF7">
        <v>126.11728359999999</v>
      </c>
      <c r="DG7">
        <v>83383.32799999998</v>
      </c>
      <c r="DH7">
        <v>8338.3327999999983</v>
      </c>
      <c r="DI7">
        <v>21256.472187845458</v>
      </c>
      <c r="DJ7">
        <v>326567.17441705673</v>
      </c>
      <c r="DK7">
        <v>48243.172620053258</v>
      </c>
      <c r="DL7">
        <v>372868.65765527682</v>
      </c>
      <c r="DM7">
        <v>0</v>
      </c>
    </row>
    <row r="8" spans="1:117" x14ac:dyDescent="0.25">
      <c r="A8" s="1" t="s">
        <v>229</v>
      </c>
    </row>
    <row r="9" spans="1:117" x14ac:dyDescent="0.25">
      <c r="A9" s="1" t="s">
        <v>230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49.304992412102862</v>
      </c>
      <c r="J9">
        <v>100</v>
      </c>
      <c r="K9">
        <v>20.21479785202148</v>
      </c>
      <c r="L9">
        <v>0</v>
      </c>
      <c r="M9">
        <v>0</v>
      </c>
      <c r="N9">
        <v>0</v>
      </c>
      <c r="O9">
        <v>100</v>
      </c>
      <c r="P9">
        <v>23.07692307692308</v>
      </c>
      <c r="Q9">
        <v>83.791981965158257</v>
      </c>
      <c r="R9">
        <v>3.1577538200651292</v>
      </c>
      <c r="S9">
        <v>100</v>
      </c>
      <c r="T9">
        <v>0</v>
      </c>
      <c r="U9">
        <v>45.167239257372891</v>
      </c>
      <c r="V9">
        <v>50</v>
      </c>
      <c r="W9">
        <v>95</v>
      </c>
      <c r="X9">
        <v>0</v>
      </c>
      <c r="Y9">
        <v>3.0639297642722321</v>
      </c>
      <c r="Z9">
        <v>0.80639541158274863</v>
      </c>
      <c r="AA9">
        <v>70.795460772954044</v>
      </c>
      <c r="AB9">
        <v>100</v>
      </c>
      <c r="AC9">
        <v>3.1577538200651292</v>
      </c>
      <c r="AD9">
        <v>0</v>
      </c>
      <c r="AE9">
        <v>100</v>
      </c>
      <c r="AF9">
        <v>100</v>
      </c>
      <c r="AG9">
        <v>0</v>
      </c>
      <c r="AH9">
        <v>0</v>
      </c>
      <c r="AI9">
        <v>76.928228451866573</v>
      </c>
      <c r="AJ9">
        <v>99.999999999999986</v>
      </c>
      <c r="AK9">
        <v>97.953952047268743</v>
      </c>
      <c r="AL9">
        <v>99.998999992537392</v>
      </c>
      <c r="AM9">
        <v>100</v>
      </c>
      <c r="AN9">
        <v>79</v>
      </c>
      <c r="AO9">
        <v>79.56109074181056</v>
      </c>
      <c r="AP9">
        <v>87.437281066401795</v>
      </c>
      <c r="AQ9">
        <v>99.999999999999986</v>
      </c>
      <c r="AR9">
        <v>6.7357512953367884</v>
      </c>
      <c r="AS9">
        <v>41.87998370045166</v>
      </c>
      <c r="AT9">
        <v>0</v>
      </c>
      <c r="AU9">
        <v>100</v>
      </c>
      <c r="AV9">
        <v>100</v>
      </c>
      <c r="AW9">
        <v>20.21479785202148</v>
      </c>
      <c r="AX9">
        <v>6.7357512953367884</v>
      </c>
      <c r="AY9">
        <v>6.7357512953367884</v>
      </c>
      <c r="AZ9">
        <v>92.921745969327574</v>
      </c>
      <c r="BA9">
        <v>73.097972863431394</v>
      </c>
      <c r="BB9">
        <v>97.914716124955035</v>
      </c>
      <c r="BC9">
        <v>71.215836080142623</v>
      </c>
      <c r="BD9">
        <v>71.215836080142623</v>
      </c>
      <c r="BE9">
        <v>71.215836080142623</v>
      </c>
      <c r="BF9">
        <v>97.991758402764631</v>
      </c>
      <c r="BG9">
        <v>69.896661600115749</v>
      </c>
      <c r="BH9">
        <v>97.953952047268743</v>
      </c>
      <c r="BI9">
        <v>0</v>
      </c>
      <c r="BJ9">
        <v>98.562964041507968</v>
      </c>
      <c r="BK9">
        <v>76.928228451866573</v>
      </c>
      <c r="BL9">
        <v>79.56109074181056</v>
      </c>
      <c r="BM9">
        <v>79.56109074181056</v>
      </c>
      <c r="BN9">
        <v>0</v>
      </c>
      <c r="BO9">
        <v>0</v>
      </c>
      <c r="BP9">
        <v>78.94336117732098</v>
      </c>
      <c r="BQ9">
        <v>0</v>
      </c>
      <c r="BR9">
        <v>82.329020433080757</v>
      </c>
      <c r="BS9">
        <v>82.329020433080757</v>
      </c>
      <c r="BT9">
        <v>1.4627356918715739</v>
      </c>
      <c r="BU9">
        <v>82.778541455054366</v>
      </c>
      <c r="BV9">
        <v>83.791981965158257</v>
      </c>
      <c r="BW9">
        <v>1.3239531707897789</v>
      </c>
      <c r="BX9">
        <v>99.305729813292544</v>
      </c>
      <c r="BY9">
        <v>50.123076403933233</v>
      </c>
      <c r="BZ9">
        <v>83.791981965158257</v>
      </c>
      <c r="CA9">
        <v>87.437281358291088</v>
      </c>
      <c r="CB9">
        <v>87.437281358291088</v>
      </c>
      <c r="CC9">
        <v>83.791981965158257</v>
      </c>
      <c r="CD9">
        <v>48.132614985616662</v>
      </c>
      <c r="CE9">
        <v>8.4957036199609277</v>
      </c>
      <c r="CF9">
        <v>99.998999992537392</v>
      </c>
      <c r="CG9">
        <v>8.4957036199609277</v>
      </c>
      <c r="CH9">
        <v>34.64284587464698</v>
      </c>
      <c r="CI9">
        <v>0.82413557017926742</v>
      </c>
      <c r="CJ9">
        <v>0.82413557017926742</v>
      </c>
      <c r="CK9">
        <v>0.82413557017926742</v>
      </c>
      <c r="CL9">
        <v>0.82413557017926742</v>
      </c>
      <c r="CM9">
        <v>0</v>
      </c>
      <c r="CN9">
        <v>0</v>
      </c>
      <c r="CO9">
        <v>0.80639541158274863</v>
      </c>
      <c r="CP9">
        <v>100</v>
      </c>
      <c r="CQ9">
        <v>35.000000000000007</v>
      </c>
      <c r="CR9">
        <v>92.723178755944062</v>
      </c>
      <c r="CS9">
        <v>93.099941712659415</v>
      </c>
      <c r="CT9">
        <v>93.099941712659415</v>
      </c>
      <c r="CU9">
        <v>98.614884426792358</v>
      </c>
      <c r="CV9">
        <v>94.438581710046591</v>
      </c>
      <c r="CW9">
        <v>98.420872081557363</v>
      </c>
      <c r="CX9">
        <v>98.448773228477748</v>
      </c>
      <c r="CY9">
        <v>98.414744022768133</v>
      </c>
      <c r="CZ9">
        <v>98.446327642801222</v>
      </c>
      <c r="DA9">
        <v>98.409372463568062</v>
      </c>
      <c r="DB9">
        <v>98.40937246356809</v>
      </c>
      <c r="DC9">
        <v>98.409372463568118</v>
      </c>
      <c r="DD9">
        <v>97.39880075532966</v>
      </c>
      <c r="DE9">
        <v>98.640508684094883</v>
      </c>
      <c r="DF9">
        <v>100</v>
      </c>
      <c r="DG9">
        <v>0</v>
      </c>
      <c r="DH9">
        <v>100</v>
      </c>
      <c r="DI9">
        <v>99.998999992537392</v>
      </c>
      <c r="DJ9">
        <v>100</v>
      </c>
      <c r="DK9">
        <v>100</v>
      </c>
      <c r="DL9">
        <v>100</v>
      </c>
      <c r="DM9">
        <v>0</v>
      </c>
    </row>
    <row r="10" spans="1:117" x14ac:dyDescent="0.25">
      <c r="A10" s="1" t="s">
        <v>231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4.8702932716052691</v>
      </c>
      <c r="R10">
        <v>3.2035968850624633E-5</v>
      </c>
      <c r="S10">
        <v>0</v>
      </c>
      <c r="T10">
        <v>0</v>
      </c>
      <c r="U10">
        <v>1.5840589415572991E-5</v>
      </c>
      <c r="V10">
        <v>0</v>
      </c>
      <c r="W10">
        <v>0</v>
      </c>
      <c r="X10">
        <v>0</v>
      </c>
      <c r="Y10">
        <v>0</v>
      </c>
      <c r="Z10">
        <v>96.979840569560011</v>
      </c>
      <c r="AA10">
        <v>0</v>
      </c>
      <c r="AB10">
        <v>0</v>
      </c>
      <c r="AC10">
        <v>3.2035968850624633E-5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1.0000074625946421E-3</v>
      </c>
      <c r="AM10">
        <v>0</v>
      </c>
      <c r="AN10">
        <v>2.012710044755399E-5</v>
      </c>
      <c r="AO10">
        <v>0</v>
      </c>
      <c r="AP10">
        <v>8.7438807970887289E-4</v>
      </c>
      <c r="AQ10">
        <v>0</v>
      </c>
      <c r="AR10">
        <v>0</v>
      </c>
      <c r="AS10">
        <v>3.0232855257144963E-4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5.010176799692335</v>
      </c>
      <c r="BS10">
        <v>5.010176799692335</v>
      </c>
      <c r="BT10">
        <v>0.96919271446150623</v>
      </c>
      <c r="BU10">
        <v>5.1439505601334012</v>
      </c>
      <c r="BV10">
        <v>4.8702932716052691</v>
      </c>
      <c r="BW10">
        <v>0.87723692978042422</v>
      </c>
      <c r="BX10">
        <v>0.68114735854674258</v>
      </c>
      <c r="BY10">
        <v>49.845475512114973</v>
      </c>
      <c r="BZ10">
        <v>4.8702932716052691</v>
      </c>
      <c r="CA10">
        <v>8.7438808262756498E-4</v>
      </c>
      <c r="CB10">
        <v>8.7438808262756498E-4</v>
      </c>
      <c r="CC10">
        <v>4.8702932716052691</v>
      </c>
      <c r="CD10">
        <v>51.839980552241137</v>
      </c>
      <c r="CE10">
        <v>91.455949100370489</v>
      </c>
      <c r="CF10">
        <v>1.0000074625946421E-3</v>
      </c>
      <c r="CG10">
        <v>91.455949100370489</v>
      </c>
      <c r="CH10">
        <v>65.35715412535302</v>
      </c>
      <c r="CI10">
        <v>99.113332064746373</v>
      </c>
      <c r="CJ10">
        <v>99.113332064746373</v>
      </c>
      <c r="CK10">
        <v>99.113332064746373</v>
      </c>
      <c r="CL10">
        <v>99.113332064746373</v>
      </c>
      <c r="CM10">
        <v>0</v>
      </c>
      <c r="CN10">
        <v>0</v>
      </c>
      <c r="CO10">
        <v>96.979840569560011</v>
      </c>
      <c r="CP10">
        <v>0</v>
      </c>
      <c r="CQ10">
        <v>3.5463298517698748E-4</v>
      </c>
      <c r="CR10">
        <v>9.2677878737370276E-4</v>
      </c>
      <c r="CS10">
        <v>8.6002461992945795E-4</v>
      </c>
      <c r="CT10">
        <v>8.6002461992945795E-4</v>
      </c>
      <c r="CU10">
        <v>8.0950547718644557E-5</v>
      </c>
      <c r="CV10">
        <v>6.84607932003225E-5</v>
      </c>
      <c r="CW10">
        <v>1.386701839527623E-6</v>
      </c>
      <c r="CX10">
        <v>1.292205422311348E-5</v>
      </c>
      <c r="CY10">
        <v>5.219221209338585E-7</v>
      </c>
      <c r="CZ10">
        <v>4.488390802029881E-7</v>
      </c>
      <c r="DA10">
        <v>5.3435166129035496E-7</v>
      </c>
      <c r="DB10">
        <v>5.3435166129035507E-7</v>
      </c>
      <c r="DC10">
        <v>5.343516612903557E-7</v>
      </c>
      <c r="DD10">
        <v>1.7821724459713859E-5</v>
      </c>
      <c r="DE10">
        <v>1.7666138034220501E-5</v>
      </c>
      <c r="DF10">
        <v>0</v>
      </c>
      <c r="DG10">
        <v>0</v>
      </c>
      <c r="DH10">
        <v>0</v>
      </c>
      <c r="DI10">
        <v>1.0000074625946421E-3</v>
      </c>
      <c r="DJ10">
        <v>0</v>
      </c>
      <c r="DK10">
        <v>0</v>
      </c>
      <c r="DL10">
        <v>0</v>
      </c>
      <c r="DM10">
        <v>0</v>
      </c>
    </row>
    <row r="11" spans="1:117" x14ac:dyDescent="0.25">
      <c r="A11" s="1" t="s">
        <v>232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0.28583834195744462</v>
      </c>
      <c r="R11">
        <v>2.4881490210825769E-3</v>
      </c>
      <c r="S11">
        <v>0</v>
      </c>
      <c r="T11">
        <v>0</v>
      </c>
      <c r="U11">
        <v>7.1784811553809169E-3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2.4881490210825769E-3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0.33065606699219019</v>
      </c>
      <c r="AJ11">
        <v>0</v>
      </c>
      <c r="AK11">
        <v>0.98649336283329225</v>
      </c>
      <c r="AL11">
        <v>0</v>
      </c>
      <c r="AM11">
        <v>0</v>
      </c>
      <c r="AN11">
        <v>1.023219563293884E-2</v>
      </c>
      <c r="AO11">
        <v>0.29081215581694858</v>
      </c>
      <c r="AP11">
        <v>0.31678594351393552</v>
      </c>
      <c r="AQ11">
        <v>0</v>
      </c>
      <c r="AR11">
        <v>0</v>
      </c>
      <c r="AS11">
        <v>0.1099917034687436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0.93345554536907993</v>
      </c>
      <c r="BC11">
        <v>0.46293240267791258</v>
      </c>
      <c r="BD11">
        <v>0.46293240267791258</v>
      </c>
      <c r="BE11">
        <v>0.46293240267791258</v>
      </c>
      <c r="BF11">
        <v>1.0375987393232939</v>
      </c>
      <c r="BG11">
        <v>0.43462020649288552</v>
      </c>
      <c r="BH11">
        <v>0.98649336283329225</v>
      </c>
      <c r="BI11">
        <v>0</v>
      </c>
      <c r="BJ11">
        <v>0</v>
      </c>
      <c r="BK11">
        <v>0.33065606699219019</v>
      </c>
      <c r="BL11">
        <v>0.29081215581694858</v>
      </c>
      <c r="BM11">
        <v>0.29081215581694858</v>
      </c>
      <c r="BN11">
        <v>0</v>
      </c>
      <c r="BO11">
        <v>0</v>
      </c>
      <c r="BP11">
        <v>0.29081215581694858</v>
      </c>
      <c r="BQ11">
        <v>0</v>
      </c>
      <c r="BR11">
        <v>0.30299660894364638</v>
      </c>
      <c r="BS11">
        <v>0.30299660894364638</v>
      </c>
      <c r="BT11">
        <v>1.0429770936776991E-2</v>
      </c>
      <c r="BU11">
        <v>0.30403198602620568</v>
      </c>
      <c r="BV11">
        <v>0.28583834195744462</v>
      </c>
      <c r="BW11">
        <v>9.4402073997995727E-3</v>
      </c>
      <c r="BX11">
        <v>7.3300292272423916E-3</v>
      </c>
      <c r="BY11">
        <v>0</v>
      </c>
      <c r="BZ11">
        <v>0.28583834195744462</v>
      </c>
      <c r="CA11">
        <v>0.31678577897991672</v>
      </c>
      <c r="CB11">
        <v>0.31678577897991672</v>
      </c>
      <c r="CC11">
        <v>0.28583834195744462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0.12848156032486169</v>
      </c>
      <c r="CR11">
        <v>0.33576680583823859</v>
      </c>
      <c r="CS11">
        <v>0.38263744005847289</v>
      </c>
      <c r="CT11">
        <v>0.38263744005847289</v>
      </c>
      <c r="CU11">
        <v>3.6398173300609182E-2</v>
      </c>
      <c r="CV11">
        <v>3.4890446894564768E-2</v>
      </c>
      <c r="CW11">
        <v>6.7693688387256926E-4</v>
      </c>
      <c r="CX11">
        <v>5.8558883319225954E-3</v>
      </c>
      <c r="CY11">
        <v>2.365194887266523E-4</v>
      </c>
      <c r="CZ11">
        <v>2.034004413919157E-4</v>
      </c>
      <c r="DA11">
        <v>2.4215218451077749E-4</v>
      </c>
      <c r="DB11">
        <v>2.421521845107777E-4</v>
      </c>
      <c r="DC11">
        <v>2.421521845107773E-4</v>
      </c>
      <c r="DD11">
        <v>9.060190843847309E-3</v>
      </c>
      <c r="DE11">
        <v>8.9810939690825632E-3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</row>
    <row r="12" spans="1:117" x14ac:dyDescent="0.25">
      <c r="A12" s="1" t="s">
        <v>233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7.0960472069352146E-2</v>
      </c>
      <c r="R12">
        <v>3.8562982676626722E-3</v>
      </c>
      <c r="S12">
        <v>0</v>
      </c>
      <c r="T12">
        <v>0</v>
      </c>
      <c r="U12">
        <v>2.8671920075452159E-3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3.8562982676626722E-3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8.208663531329273E-2</v>
      </c>
      <c r="AJ12">
        <v>0</v>
      </c>
      <c r="AK12">
        <v>1.0595545898979439</v>
      </c>
      <c r="AL12">
        <v>0</v>
      </c>
      <c r="AM12">
        <v>0</v>
      </c>
      <c r="AN12">
        <v>0</v>
      </c>
      <c r="AO12">
        <v>7.2195231729355061E-2</v>
      </c>
      <c r="AP12">
        <v>7.8643420272261247E-2</v>
      </c>
      <c r="AQ12">
        <v>0</v>
      </c>
      <c r="AR12">
        <v>0</v>
      </c>
      <c r="AS12">
        <v>2.587263877490556E-2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1.151828329675908</v>
      </c>
      <c r="BC12">
        <v>0.14840545825147849</v>
      </c>
      <c r="BD12">
        <v>0.14840545825147849</v>
      </c>
      <c r="BE12">
        <v>0.14840545825147849</v>
      </c>
      <c r="BF12">
        <v>0.97064285791207994</v>
      </c>
      <c r="BG12">
        <v>0.1078961312118072</v>
      </c>
      <c r="BH12">
        <v>1.0595545898979439</v>
      </c>
      <c r="BI12">
        <v>0</v>
      </c>
      <c r="BJ12">
        <v>0</v>
      </c>
      <c r="BK12">
        <v>8.208663531329273E-2</v>
      </c>
      <c r="BL12">
        <v>7.2195231729355061E-2</v>
      </c>
      <c r="BM12">
        <v>7.2195231729355061E-2</v>
      </c>
      <c r="BN12">
        <v>0</v>
      </c>
      <c r="BO12">
        <v>0</v>
      </c>
      <c r="BP12">
        <v>7.2195231729355033E-2</v>
      </c>
      <c r="BQ12">
        <v>0</v>
      </c>
      <c r="BR12">
        <v>7.5220068894453165E-2</v>
      </c>
      <c r="BS12">
        <v>7.5220068894453165E-2</v>
      </c>
      <c r="BT12">
        <v>8.2379051088783788E-3</v>
      </c>
      <c r="BU12">
        <v>7.5217780735823109E-2</v>
      </c>
      <c r="BV12">
        <v>7.0960472069352146E-2</v>
      </c>
      <c r="BW12">
        <v>7.4563030424244494E-3</v>
      </c>
      <c r="BX12">
        <v>5.7895888208248456E-3</v>
      </c>
      <c r="BY12">
        <v>0</v>
      </c>
      <c r="BZ12">
        <v>7.0960472069352146E-2</v>
      </c>
      <c r="CA12">
        <v>7.8643292804360845E-2</v>
      </c>
      <c r="CB12">
        <v>7.8643292804360845E-2</v>
      </c>
      <c r="CC12">
        <v>7.0960472069352146E-2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3.066798508139924E-2</v>
      </c>
      <c r="CR12">
        <v>8.3479293974180677E-2</v>
      </c>
      <c r="CS12">
        <v>0.15378419804619509</v>
      </c>
      <c r="CT12">
        <v>0.15378419804619509</v>
      </c>
      <c r="CU12">
        <v>1.4523146518404081E-2</v>
      </c>
      <c r="CV12">
        <v>1.310648916552282E-2</v>
      </c>
      <c r="CW12">
        <v>2.7289231683142048E-4</v>
      </c>
      <c r="CX12">
        <v>2.3389287871543899E-3</v>
      </c>
      <c r="CY12">
        <v>9.4469397220247139E-5</v>
      </c>
      <c r="CZ12">
        <v>8.1241157741692772E-5</v>
      </c>
      <c r="DA12">
        <v>9.671917958835598E-5</v>
      </c>
      <c r="DB12">
        <v>9.6719179588356007E-5</v>
      </c>
      <c r="DC12">
        <v>9.6719179588356061E-5</v>
      </c>
      <c r="DD12">
        <v>3.4077235347827078E-3</v>
      </c>
      <c r="DE12">
        <v>3.637705770497384E-3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</row>
    <row r="13" spans="1:117" x14ac:dyDescent="0.25">
      <c r="A13" s="1" t="s">
        <v>234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3.8987213831710887E-2</v>
      </c>
      <c r="R13">
        <v>1.8587331998251039E-8</v>
      </c>
      <c r="S13">
        <v>0</v>
      </c>
      <c r="T13">
        <v>0</v>
      </c>
      <c r="U13">
        <v>7.9789800699018665E-4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1.8587331998251039E-8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1.8433535726233661E-3</v>
      </c>
      <c r="AO13">
        <v>0</v>
      </c>
      <c r="AP13">
        <v>4.3208321246385899E-2</v>
      </c>
      <c r="AQ13">
        <v>0</v>
      </c>
      <c r="AR13">
        <v>0</v>
      </c>
      <c r="AS13">
        <v>1.507243092483967E-2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4.2199195613771057E-2</v>
      </c>
      <c r="BS13">
        <v>4.2199195613771057E-2</v>
      </c>
      <c r="BT13">
        <v>7.4257183422045591E-8</v>
      </c>
      <c r="BU13">
        <v>4.153406256037627E-2</v>
      </c>
      <c r="BV13">
        <v>3.8987213831710887E-2</v>
      </c>
      <c r="BW13">
        <v>6.7211755337523563E-8</v>
      </c>
      <c r="BX13">
        <v>5.2187850348369731E-8</v>
      </c>
      <c r="BY13">
        <v>0</v>
      </c>
      <c r="BZ13">
        <v>3.8987213831710887E-2</v>
      </c>
      <c r="CA13">
        <v>4.3208321246748137E-2</v>
      </c>
      <c r="CB13">
        <v>4.3208321246748137E-2</v>
      </c>
      <c r="CC13">
        <v>3.8987213831710887E-2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1.7524365100212599E-2</v>
      </c>
      <c r="CR13">
        <v>4.5797234086850477E-2</v>
      </c>
      <c r="CS13">
        <v>4.2498543747400391E-2</v>
      </c>
      <c r="CT13">
        <v>4.2498543747400391E-2</v>
      </c>
      <c r="CU13">
        <v>4.0465596498589929E-3</v>
      </c>
      <c r="CV13">
        <v>4.0428082018511471E-3</v>
      </c>
      <c r="CW13">
        <v>7.5097820645347863E-5</v>
      </c>
      <c r="CX13">
        <v>6.5089000417529043E-4</v>
      </c>
      <c r="CY13">
        <v>2.628946494174083E-5</v>
      </c>
      <c r="CZ13">
        <v>2.260823749406667E-5</v>
      </c>
      <c r="DA13">
        <v>2.6915546788701819E-5</v>
      </c>
      <c r="DB13">
        <v>2.6915546788701829E-5</v>
      </c>
      <c r="DC13">
        <v>2.691554678870184E-5</v>
      </c>
      <c r="DD13">
        <v>1.0489657510029541E-3</v>
      </c>
      <c r="DE13">
        <v>9.9535368847029795E-4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</row>
    <row r="14" spans="1:117" x14ac:dyDescent="0.25">
      <c r="A14" s="1" t="s">
        <v>235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93.264248704663217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93.264248704663217</v>
      </c>
      <c r="AY14">
        <v>93.264248704663217</v>
      </c>
      <c r="AZ14">
        <v>7.0782540306724329</v>
      </c>
      <c r="BA14">
        <v>0.56879775464945359</v>
      </c>
      <c r="BB14">
        <v>0</v>
      </c>
      <c r="BC14">
        <v>0.59466516030620187</v>
      </c>
      <c r="BD14">
        <v>0.59466516030620187</v>
      </c>
      <c r="BE14">
        <v>0.59466516030620187</v>
      </c>
      <c r="BF14">
        <v>0</v>
      </c>
      <c r="BG14">
        <v>0.62396264235686771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</row>
    <row r="15" spans="1:117" x14ac:dyDescent="0.25">
      <c r="A15" s="1" t="s">
        <v>236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1.309321970752988</v>
      </c>
      <c r="O15">
        <v>0</v>
      </c>
      <c r="P15">
        <v>0</v>
      </c>
      <c r="Q15">
        <v>3.072226287145098E-3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6.1186307321258002E-2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4.5007795392283927E-3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3.9584375770450814E-3</v>
      </c>
      <c r="AP15">
        <v>0</v>
      </c>
      <c r="AQ15">
        <v>0</v>
      </c>
      <c r="AR15">
        <v>0</v>
      </c>
      <c r="AS15">
        <v>0</v>
      </c>
      <c r="AT15">
        <v>1.758091955750896E-2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1.309321970752988</v>
      </c>
      <c r="BJ15">
        <v>1.8815427532157009E-2</v>
      </c>
      <c r="BK15">
        <v>4.5007795392283927E-3</v>
      </c>
      <c r="BL15">
        <v>3.9584375770450814E-3</v>
      </c>
      <c r="BM15">
        <v>3.9584375770450814E-3</v>
      </c>
      <c r="BN15">
        <v>0</v>
      </c>
      <c r="BO15">
        <v>0</v>
      </c>
      <c r="BP15">
        <v>3.9584375770450814E-3</v>
      </c>
      <c r="BQ15">
        <v>0</v>
      </c>
      <c r="BR15">
        <v>4.1242882684543632E-3</v>
      </c>
      <c r="BS15">
        <v>4.1242882684543632E-3</v>
      </c>
      <c r="BT15">
        <v>1.8992989767734308E-2</v>
      </c>
      <c r="BU15">
        <v>3.2729204460341952E-3</v>
      </c>
      <c r="BV15">
        <v>3.072226287145098E-3</v>
      </c>
      <c r="BW15">
        <v>1.7190958807872879E-2</v>
      </c>
      <c r="BX15">
        <v>0</v>
      </c>
      <c r="BY15">
        <v>3.1448083951802867E-2</v>
      </c>
      <c r="BZ15">
        <v>3.072226287145098E-3</v>
      </c>
      <c r="CA15">
        <v>0</v>
      </c>
      <c r="CB15">
        <v>0</v>
      </c>
      <c r="CC15">
        <v>3.072226287145098E-3</v>
      </c>
      <c r="CD15">
        <v>2.7404462142190809E-2</v>
      </c>
      <c r="CE15">
        <v>4.834727966858185E-2</v>
      </c>
      <c r="CF15">
        <v>0</v>
      </c>
      <c r="CG15">
        <v>4.834727966858185E-2</v>
      </c>
      <c r="CH15">
        <v>0</v>
      </c>
      <c r="CI15">
        <v>6.2532365074344648E-2</v>
      </c>
      <c r="CJ15">
        <v>6.2532365074344648E-2</v>
      </c>
      <c r="CK15">
        <v>6.2532365074344648E-2</v>
      </c>
      <c r="CL15">
        <v>6.2532365074344648E-2</v>
      </c>
      <c r="CM15">
        <v>0</v>
      </c>
      <c r="CN15">
        <v>0</v>
      </c>
      <c r="CO15">
        <v>6.1186307321258002E-2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</row>
    <row r="16" spans="1:117" x14ac:dyDescent="0.25">
      <c r="A16" s="1" t="s">
        <v>237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0.37821793113982832</v>
      </c>
      <c r="R16">
        <v>1.071984177123203E-6</v>
      </c>
      <c r="S16">
        <v>0</v>
      </c>
      <c r="T16">
        <v>0</v>
      </c>
      <c r="U16">
        <v>9.0033866664458641E-3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1.071984177123203E-6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1.0049346234418961E-2</v>
      </c>
      <c r="AO16">
        <v>0</v>
      </c>
      <c r="AP16">
        <v>0.41916721570242083</v>
      </c>
      <c r="AQ16">
        <v>0</v>
      </c>
      <c r="AR16">
        <v>0</v>
      </c>
      <c r="AS16">
        <v>0.14549599873452079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4.4778945281240374E-6</v>
      </c>
      <c r="BU16">
        <v>0.40292493214696717</v>
      </c>
      <c r="BV16">
        <v>0.37821793113982832</v>
      </c>
      <c r="BW16">
        <v>4.053037532287506E-6</v>
      </c>
      <c r="BX16">
        <v>3.147058355032386E-6</v>
      </c>
      <c r="BY16">
        <v>0</v>
      </c>
      <c r="BZ16">
        <v>0.37821793113982832</v>
      </c>
      <c r="CA16">
        <v>0.41916721570593501</v>
      </c>
      <c r="CB16">
        <v>0.41916721570593501</v>
      </c>
      <c r="CC16">
        <v>0.37821793113982832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0.17060026469069661</v>
      </c>
      <c r="CR16">
        <v>0.44422247182671099</v>
      </c>
      <c r="CS16">
        <v>0.41222594615001862</v>
      </c>
      <c r="CT16">
        <v>0.41222594615001862</v>
      </c>
      <c r="CU16">
        <v>3.93747928277971E-2</v>
      </c>
      <c r="CV16">
        <v>3.7656765355936483E-2</v>
      </c>
      <c r="CW16">
        <v>7.2848706096320529E-4</v>
      </c>
      <c r="CX16">
        <v>6.3315222099242533E-3</v>
      </c>
      <c r="CY16">
        <v>2.5573035397364978E-4</v>
      </c>
      <c r="CZ16">
        <v>2.5510867582405772E-4</v>
      </c>
      <c r="DA16">
        <v>2.5583608539330382E-4</v>
      </c>
      <c r="DB16">
        <v>2.5583608539330382E-4</v>
      </c>
      <c r="DC16">
        <v>2.5583608539330371E-4</v>
      </c>
      <c r="DD16">
        <v>9.7744240263767639E-3</v>
      </c>
      <c r="DE16">
        <v>9.7558699320061983E-3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</row>
    <row r="17" spans="1:117" x14ac:dyDescent="0.25">
      <c r="A17" s="1" t="s">
        <v>238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9.7281158041719828E-2</v>
      </c>
      <c r="R17">
        <v>3.7400776431242198E-9</v>
      </c>
      <c r="S17">
        <v>0</v>
      </c>
      <c r="T17">
        <v>0</v>
      </c>
      <c r="U17">
        <v>1.990920960547881E-3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3.7400776431242198E-9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4.5995485391063197E-3</v>
      </c>
      <c r="AO17">
        <v>0</v>
      </c>
      <c r="AP17">
        <v>0.1078136936389181</v>
      </c>
      <c r="AQ17">
        <v>0</v>
      </c>
      <c r="AR17">
        <v>0</v>
      </c>
      <c r="AS17">
        <v>3.7608831015952082E-2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0.105208566901746</v>
      </c>
      <c r="BS17">
        <v>0.105208566901746</v>
      </c>
      <c r="BT17">
        <v>1.5461659441589209E-8</v>
      </c>
      <c r="BU17">
        <v>0.10363607990727459</v>
      </c>
      <c r="BV17">
        <v>9.7281158041719828E-2</v>
      </c>
      <c r="BW17">
        <v>1.399467665766171E-8</v>
      </c>
      <c r="BX17">
        <v>1.086643381676605E-8</v>
      </c>
      <c r="BY17">
        <v>0</v>
      </c>
      <c r="BZ17">
        <v>9.7281158041719828E-2</v>
      </c>
      <c r="CA17">
        <v>0.107813693639822</v>
      </c>
      <c r="CB17">
        <v>0.107813693639822</v>
      </c>
      <c r="CC17">
        <v>9.7281158041719828E-2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4.3726913604376673E-2</v>
      </c>
      <c r="CR17">
        <v>0.1142735663622319</v>
      </c>
      <c r="CS17">
        <v>0.1060426520520196</v>
      </c>
      <c r="CT17">
        <v>0.1060426520520196</v>
      </c>
      <c r="CU17">
        <v>1.0097005454207161E-2</v>
      </c>
      <c r="CV17">
        <v>1.008764285395362E-2</v>
      </c>
      <c r="CW17">
        <v>1.873846110165898E-4</v>
      </c>
      <c r="CX17">
        <v>1.6241055134501969E-3</v>
      </c>
      <c r="CY17">
        <v>6.5597665786304224E-5</v>
      </c>
      <c r="CZ17">
        <v>5.6412240052800908E-5</v>
      </c>
      <c r="DA17">
        <v>6.7159869803876723E-5</v>
      </c>
      <c r="DB17">
        <v>6.715986980387675E-5</v>
      </c>
      <c r="DC17">
        <v>6.7159869803876763E-5</v>
      </c>
      <c r="DD17">
        <v>2.6173865715473361E-3</v>
      </c>
      <c r="DE17">
        <v>2.4836133836126859E-3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</row>
    <row r="18" spans="1:117" x14ac:dyDescent="0.25">
      <c r="A18" s="1" t="s">
        <v>239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3.2881539900603903E-4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</row>
    <row r="19" spans="1:117" x14ac:dyDescent="0.25">
      <c r="A19" s="1" t="s">
        <v>240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50.69500758789713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</row>
    <row r="20" spans="1:117" x14ac:dyDescent="0.25">
      <c r="A20" s="1" t="s">
        <v>241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</row>
    <row r="21" spans="1:117" x14ac:dyDescent="0.25">
      <c r="A21" s="1" t="s">
        <v>242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98.69067802924701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98.69067802924701</v>
      </c>
      <c r="BJ21">
        <v>1.418220530959879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</row>
    <row r="22" spans="1:117" x14ac:dyDescent="0.25">
      <c r="A22" s="1" t="s">
        <v>243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100</v>
      </c>
      <c r="Y22">
        <v>0</v>
      </c>
      <c r="Z22">
        <v>2.1525777115359772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100</v>
      </c>
      <c r="CN22">
        <v>100</v>
      </c>
      <c r="CO22">
        <v>2.1525777115359772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</row>
    <row r="23" spans="1:117" x14ac:dyDescent="0.25">
      <c r="A23" s="1" t="s">
        <v>88</v>
      </c>
      <c r="B23">
        <v>0</v>
      </c>
      <c r="C23">
        <v>0</v>
      </c>
      <c r="D23">
        <v>0</v>
      </c>
      <c r="E23">
        <v>0</v>
      </c>
      <c r="F23">
        <v>100</v>
      </c>
      <c r="G23">
        <v>100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3.3291329906012579E-2</v>
      </c>
      <c r="R23">
        <v>0</v>
      </c>
      <c r="S23">
        <v>0</v>
      </c>
      <c r="T23">
        <v>0</v>
      </c>
      <c r="U23">
        <v>1.4445197477490519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4.0958586699928072E-2</v>
      </c>
      <c r="AO23">
        <v>0</v>
      </c>
      <c r="AP23">
        <v>3.6895749545181732E-2</v>
      </c>
      <c r="AQ23">
        <v>0</v>
      </c>
      <c r="AR23">
        <v>0</v>
      </c>
      <c r="AS23">
        <v>1.9035499514954542E-2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100</v>
      </c>
      <c r="BO23">
        <v>0</v>
      </c>
      <c r="BP23">
        <v>0</v>
      </c>
      <c r="BQ23">
        <v>0</v>
      </c>
      <c r="BR23">
        <v>5.4980147936780868E-2</v>
      </c>
      <c r="BS23">
        <v>5.4980147936780868E-2</v>
      </c>
      <c r="BT23">
        <v>0</v>
      </c>
      <c r="BU23">
        <v>3.5466096615659942E-2</v>
      </c>
      <c r="BV23">
        <v>3.3291329906012579E-2</v>
      </c>
      <c r="BW23">
        <v>0</v>
      </c>
      <c r="BX23">
        <v>0</v>
      </c>
      <c r="BY23">
        <v>0</v>
      </c>
      <c r="BZ23">
        <v>3.3291329906012579E-2</v>
      </c>
      <c r="CA23">
        <v>3.6895749553164242E-2</v>
      </c>
      <c r="CB23">
        <v>3.6895749553164242E-2</v>
      </c>
      <c r="CC23">
        <v>3.3291329906012579E-2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1.497218011123882E-2</v>
      </c>
      <c r="CR23">
        <v>3.9105619750647629E-2</v>
      </c>
      <c r="CS23">
        <v>3.6288914055167473E-2</v>
      </c>
      <c r="CT23">
        <v>3.6288914055167473E-2</v>
      </c>
      <c r="CU23">
        <v>3.8639699296980433E-2</v>
      </c>
      <c r="CV23">
        <v>3.5252546439574123E-2</v>
      </c>
      <c r="CW23">
        <v>4.0838054860802747E-2</v>
      </c>
      <c r="CX23">
        <v>4.0521853581159922E-2</v>
      </c>
      <c r="CY23">
        <v>4.0916969160021237E-2</v>
      </c>
      <c r="CZ23">
        <v>4.0930100383596402E-2</v>
      </c>
      <c r="DA23">
        <v>4.0914735877556167E-2</v>
      </c>
      <c r="DB23">
        <v>4.0914735877556167E-2</v>
      </c>
      <c r="DC23">
        <v>4.0914735877556237E-2</v>
      </c>
      <c r="DD23">
        <v>3.947370087775507E-2</v>
      </c>
      <c r="DE23">
        <v>3.9373488123498827E-2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</row>
    <row r="24" spans="1:117" x14ac:dyDescent="0.25">
      <c r="A24" s="1" t="s">
        <v>244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</row>
    <row r="25" spans="1:117" x14ac:dyDescent="0.25">
      <c r="A25" s="1" t="s">
        <v>245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0.55287650168169022</v>
      </c>
      <c r="R25">
        <v>0</v>
      </c>
      <c r="S25">
        <v>0</v>
      </c>
      <c r="T25">
        <v>0</v>
      </c>
      <c r="U25">
        <v>23.989459933454611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0.6395642336739028</v>
      </c>
      <c r="AJ25">
        <v>0</v>
      </c>
      <c r="AK25">
        <v>0</v>
      </c>
      <c r="AL25">
        <v>0</v>
      </c>
      <c r="AM25">
        <v>0</v>
      </c>
      <c r="AN25">
        <v>0.68020833643843426</v>
      </c>
      <c r="AO25">
        <v>0.56249702378065047</v>
      </c>
      <c r="AP25">
        <v>0.61273589842447507</v>
      </c>
      <c r="AQ25">
        <v>0</v>
      </c>
      <c r="AR25">
        <v>0</v>
      </c>
      <c r="AS25">
        <v>0.31612676367968001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0.6395642336739028</v>
      </c>
      <c r="BL25">
        <v>0.56249702378065047</v>
      </c>
      <c r="BM25">
        <v>0.56249702378065047</v>
      </c>
      <c r="BN25">
        <v>0</v>
      </c>
      <c r="BO25">
        <v>0</v>
      </c>
      <c r="BP25">
        <v>0.56249702378065025</v>
      </c>
      <c r="BQ25">
        <v>0</v>
      </c>
      <c r="BR25">
        <v>0.58606453457093655</v>
      </c>
      <c r="BS25">
        <v>0.58606453457093655</v>
      </c>
      <c r="BT25">
        <v>0</v>
      </c>
      <c r="BU25">
        <v>0.58899333491719486</v>
      </c>
      <c r="BV25">
        <v>0.55287650168169022</v>
      </c>
      <c r="BW25">
        <v>0</v>
      </c>
      <c r="BX25">
        <v>0</v>
      </c>
      <c r="BY25">
        <v>0</v>
      </c>
      <c r="BZ25">
        <v>0.55287650168169022</v>
      </c>
      <c r="CA25">
        <v>0.61273589842961185</v>
      </c>
      <c r="CB25">
        <v>0.61273589842961185</v>
      </c>
      <c r="CC25">
        <v>0.55287650168169022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0.2486463168500942</v>
      </c>
      <c r="CR25">
        <v>0.64943570321064592</v>
      </c>
      <c r="CS25">
        <v>0.60265804680868351</v>
      </c>
      <c r="CT25">
        <v>0.60265804680868351</v>
      </c>
      <c r="CU25">
        <v>0.64169805886702003</v>
      </c>
      <c r="CV25">
        <v>0.5854468598869762</v>
      </c>
      <c r="CW25">
        <v>0.67820663744476772</v>
      </c>
      <c r="CX25">
        <v>0.67295541264100911</v>
      </c>
      <c r="CY25">
        <v>0.67951718471989397</v>
      </c>
      <c r="CZ25">
        <v>0.67973525786311306</v>
      </c>
      <c r="DA25">
        <v>0.67948009610251825</v>
      </c>
      <c r="DB25">
        <v>0.67948009610251847</v>
      </c>
      <c r="DC25">
        <v>0.67948009610251869</v>
      </c>
      <c r="DD25">
        <v>0.65554850815136423</v>
      </c>
      <c r="DE25">
        <v>0.65388425270812978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</row>
    <row r="26" spans="1:117" x14ac:dyDescent="0.25">
      <c r="A26" s="1" t="s">
        <v>246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</row>
    <row r="27" spans="1:117" x14ac:dyDescent="0.25">
      <c r="A27" s="1" t="s">
        <v>247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</row>
    <row r="28" spans="1:117" x14ac:dyDescent="0.25">
      <c r="A28" s="1" t="s">
        <v>248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7.071296719975316E-2</v>
      </c>
      <c r="R28">
        <v>0</v>
      </c>
      <c r="S28">
        <v>0</v>
      </c>
      <c r="T28">
        <v>0</v>
      </c>
      <c r="U28">
        <v>1.461547543721059E-3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8.1800337942298379E-2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7.1943433066106705E-2</v>
      </c>
      <c r="AP28">
        <v>7.8368990824549095E-2</v>
      </c>
      <c r="AQ28">
        <v>0</v>
      </c>
      <c r="AR28">
        <v>0</v>
      </c>
      <c r="AS28">
        <v>2.5782355138394431E-2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0.1024713416967894</v>
      </c>
      <c r="BD28">
        <v>0.1024713416967894</v>
      </c>
      <c r="BE28">
        <v>0.1024713416967894</v>
      </c>
      <c r="BF28">
        <v>0</v>
      </c>
      <c r="BG28">
        <v>0.1075198168630889</v>
      </c>
      <c r="BH28">
        <v>0</v>
      </c>
      <c r="BI28">
        <v>0</v>
      </c>
      <c r="BJ28">
        <v>0</v>
      </c>
      <c r="BK28">
        <v>8.1800337942298379E-2</v>
      </c>
      <c r="BL28">
        <v>7.1943433066106705E-2</v>
      </c>
      <c r="BM28">
        <v>7.1943433066106705E-2</v>
      </c>
      <c r="BN28">
        <v>0</v>
      </c>
      <c r="BO28">
        <v>0</v>
      </c>
      <c r="BP28">
        <v>7.1943433066106705E-2</v>
      </c>
      <c r="BQ28">
        <v>0</v>
      </c>
      <c r="BR28">
        <v>7.4957720366117184E-2</v>
      </c>
      <c r="BS28">
        <v>7.4957720366117184E-2</v>
      </c>
      <c r="BT28">
        <v>0</v>
      </c>
      <c r="BU28">
        <v>7.5332314262203617E-2</v>
      </c>
      <c r="BV28">
        <v>7.071296719975316E-2</v>
      </c>
      <c r="BW28">
        <v>0</v>
      </c>
      <c r="BX28">
        <v>0</v>
      </c>
      <c r="BY28">
        <v>0</v>
      </c>
      <c r="BZ28">
        <v>7.071296719975316E-2</v>
      </c>
      <c r="CA28">
        <v>7.8368990825206125E-2</v>
      </c>
      <c r="CB28">
        <v>7.8368990825206125E-2</v>
      </c>
      <c r="CC28">
        <v>7.071296719975316E-2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3.0560967886836789E-2</v>
      </c>
      <c r="CR28">
        <v>8.3187989546404967E-2</v>
      </c>
      <c r="CS28">
        <v>7.7196112024836672E-2</v>
      </c>
      <c r="CT28">
        <v>7.7196112024836672E-2</v>
      </c>
      <c r="CU28">
        <v>7.406684233545258E-3</v>
      </c>
      <c r="CV28">
        <v>6.6367463495218713E-3</v>
      </c>
      <c r="CW28">
        <v>1.3850813417256951E-4</v>
      </c>
      <c r="CX28">
        <v>1.1922660271122649E-3</v>
      </c>
      <c r="CY28">
        <v>4.8155657207719759E-5</v>
      </c>
      <c r="CZ28">
        <v>4.1412578660222037E-5</v>
      </c>
      <c r="DA28">
        <v>4.9302480959098587E-5</v>
      </c>
      <c r="DB28">
        <v>4.9302480959098608E-5</v>
      </c>
      <c r="DC28">
        <v>4.9302480959098621E-5</v>
      </c>
      <c r="DD28">
        <v>1.7258160059476829E-3</v>
      </c>
      <c r="DE28">
        <v>1.842288782987482E-3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</row>
    <row r="29" spans="1:117" x14ac:dyDescent="0.25">
      <c r="A29" s="1" t="s">
        <v>249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79</v>
      </c>
      <c r="M29">
        <v>78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75.597465052988753</v>
      </c>
      <c r="Z29">
        <v>0</v>
      </c>
      <c r="AA29">
        <v>21.371474250875639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100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100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</row>
    <row r="30" spans="1:117" x14ac:dyDescent="0.25">
      <c r="A30" s="1" t="s">
        <v>250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21</v>
      </c>
      <c r="M30">
        <v>22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15.81441102206114</v>
      </c>
      <c r="Z30">
        <v>0</v>
      </c>
      <c r="AA30">
        <v>1.003859475732878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0.82650453777244626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0.86800122740606922</v>
      </c>
      <c r="BR30">
        <v>0</v>
      </c>
      <c r="BS30">
        <v>0</v>
      </c>
      <c r="BT30">
        <v>0.80190034897661211</v>
      </c>
      <c r="BU30">
        <v>0</v>
      </c>
      <c r="BV30">
        <v>0</v>
      </c>
      <c r="BW30">
        <v>0.80817191711099157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</row>
    <row r="31" spans="1:117" x14ac:dyDescent="0.25">
      <c r="A31" s="1" t="s">
        <v>251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26.634484762961659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26.634484762961659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</row>
    <row r="32" spans="1:117" x14ac:dyDescent="0.25">
      <c r="A32" s="1" t="s">
        <v>252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</row>
    <row r="33" spans="1:117" x14ac:dyDescent="0.25">
      <c r="A33" s="1" t="s">
        <v>253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1.1817020012970631E-2</v>
      </c>
      <c r="V33">
        <v>0</v>
      </c>
      <c r="W33">
        <v>0</v>
      </c>
      <c r="X33">
        <v>0</v>
      </c>
      <c r="Y33">
        <v>7.9581438455429427E-4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2.3059302813322109E-4</v>
      </c>
      <c r="AO33">
        <v>0</v>
      </c>
      <c r="AP33">
        <v>0</v>
      </c>
      <c r="AQ33">
        <v>0</v>
      </c>
      <c r="AR33">
        <v>0</v>
      </c>
      <c r="AS33">
        <v>3.6056278977144373E-5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3.1864337481421359E-4</v>
      </c>
      <c r="CX33">
        <v>2.724657113963393E-4</v>
      </c>
      <c r="CY33">
        <v>3.2445994624333611E-4</v>
      </c>
      <c r="CZ33">
        <v>3.3483226250076919E-4</v>
      </c>
      <c r="DA33">
        <v>3.2269588275852742E-4</v>
      </c>
      <c r="DB33">
        <v>3.2269588275852742E-4</v>
      </c>
      <c r="DC33">
        <v>3.2269588275852731E-4</v>
      </c>
      <c r="DD33">
        <v>2.4056933675718181E-4</v>
      </c>
      <c r="DE33">
        <v>2.4124262311333699E-4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</row>
    <row r="34" spans="1:117" x14ac:dyDescent="0.25">
      <c r="A34" s="1" t="s">
        <v>254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70.201383839404002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5.5230695308943156</v>
      </c>
      <c r="Z34">
        <v>0</v>
      </c>
      <c r="AA34">
        <v>6.8292055004374541</v>
      </c>
      <c r="AB34">
        <v>0</v>
      </c>
      <c r="AC34">
        <v>70.201383839404002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99.155914542670033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99.131998772593931</v>
      </c>
      <c r="BR34">
        <v>0</v>
      </c>
      <c r="BS34">
        <v>0</v>
      </c>
      <c r="BT34">
        <v>96.728506011263534</v>
      </c>
      <c r="BU34">
        <v>0</v>
      </c>
      <c r="BV34">
        <v>0</v>
      </c>
      <c r="BW34">
        <v>96.95654637882474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</row>
    <row r="35" spans="1:117" x14ac:dyDescent="0.25">
      <c r="A35" s="1" t="s">
        <v>255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</row>
    <row r="36" spans="1:117" x14ac:dyDescent="0.25">
      <c r="A36" s="1" t="s">
        <v>256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</row>
    <row r="37" spans="1:117" x14ac:dyDescent="0.25">
      <c r="A37" s="1" t="s">
        <v>257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</row>
    <row r="38" spans="1:117" x14ac:dyDescent="0.25">
      <c r="A38" s="1" t="s">
        <v>258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0.12028161355256869</v>
      </c>
      <c r="R38">
        <v>0</v>
      </c>
      <c r="S38">
        <v>0</v>
      </c>
      <c r="T38">
        <v>0</v>
      </c>
      <c r="U38">
        <v>2.4841093522237818E-3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0.94785759980389661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0.83364117438970298</v>
      </c>
      <c r="AP38">
        <v>0.13330438591602639</v>
      </c>
      <c r="AQ38">
        <v>0</v>
      </c>
      <c r="AR38">
        <v>0</v>
      </c>
      <c r="AS38">
        <v>4.4788723364614487E-2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1.1873818914772409</v>
      </c>
      <c r="BD38">
        <v>1.1873818914772409</v>
      </c>
      <c r="BE38">
        <v>1.1873818914772409</v>
      </c>
      <c r="BF38">
        <v>0</v>
      </c>
      <c r="BG38">
        <v>1.2458808619481661</v>
      </c>
      <c r="BH38">
        <v>0</v>
      </c>
      <c r="BI38">
        <v>0</v>
      </c>
      <c r="BJ38">
        <v>0</v>
      </c>
      <c r="BK38">
        <v>0.94785759980389661</v>
      </c>
      <c r="BL38">
        <v>0.83364117438970298</v>
      </c>
      <c r="BM38">
        <v>0.83364117438970298</v>
      </c>
      <c r="BN38">
        <v>0</v>
      </c>
      <c r="BO38">
        <v>0</v>
      </c>
      <c r="BP38">
        <v>6.970132487935218</v>
      </c>
      <c r="BQ38">
        <v>0</v>
      </c>
      <c r="BR38">
        <v>0.3631083614437462</v>
      </c>
      <c r="BS38">
        <v>0.3631083614437462</v>
      </c>
      <c r="BT38">
        <v>0</v>
      </c>
      <c r="BU38">
        <v>0.12813904819622199</v>
      </c>
      <c r="BV38">
        <v>0.12028161355256869</v>
      </c>
      <c r="BW38">
        <v>0</v>
      </c>
      <c r="BX38">
        <v>0</v>
      </c>
      <c r="BY38">
        <v>0</v>
      </c>
      <c r="BZ38">
        <v>0.12028161355256869</v>
      </c>
      <c r="CA38">
        <v>0.133304385917144</v>
      </c>
      <c r="CB38">
        <v>0.133304385917144</v>
      </c>
      <c r="CC38">
        <v>0.12028161355256869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5.309005826236711E-2</v>
      </c>
      <c r="CR38">
        <v>0.14138990121306549</v>
      </c>
      <c r="CS38">
        <v>0.1312058472952492</v>
      </c>
      <c r="CT38">
        <v>0.1312058472952492</v>
      </c>
      <c r="CU38">
        <v>1.2588720532946089E-2</v>
      </c>
      <c r="CV38">
        <v>1.1280100839696539E-2</v>
      </c>
      <c r="CW38">
        <v>2.3541440915507639E-4</v>
      </c>
      <c r="CX38">
        <v>2.026426852148662E-3</v>
      </c>
      <c r="CY38">
        <v>8.1847435580248076E-5</v>
      </c>
      <c r="CZ38">
        <v>7.0386607942734335E-5</v>
      </c>
      <c r="DA38">
        <v>8.3796626777203227E-5</v>
      </c>
      <c r="DB38">
        <v>8.3796626777203254E-5</v>
      </c>
      <c r="DC38">
        <v>8.3796626777203403E-5</v>
      </c>
      <c r="DD38">
        <v>2.9332714484793711E-3</v>
      </c>
      <c r="DE38">
        <v>3.131233612602619E-3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</row>
    <row r="39" spans="1:117" x14ac:dyDescent="0.25">
      <c r="A39" s="1" t="s">
        <v>259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0.2478027136725536</v>
      </c>
      <c r="R39">
        <v>0</v>
      </c>
      <c r="S39">
        <v>0</v>
      </c>
      <c r="T39">
        <v>0</v>
      </c>
      <c r="U39">
        <v>1.017012741053985E-2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4.4476506688074924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3.911710712228214</v>
      </c>
      <c r="AP39">
        <v>0.27463207051182131</v>
      </c>
      <c r="AQ39">
        <v>0</v>
      </c>
      <c r="AR39">
        <v>0</v>
      </c>
      <c r="AS39">
        <v>9.5284014962841043E-2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5.571575165775176</v>
      </c>
      <c r="BD39">
        <v>5.571575165775176</v>
      </c>
      <c r="BE39">
        <v>5.571575165775176</v>
      </c>
      <c r="BF39">
        <v>0</v>
      </c>
      <c r="BG39">
        <v>5.8460710237958189</v>
      </c>
      <c r="BH39">
        <v>0</v>
      </c>
      <c r="BI39">
        <v>0</v>
      </c>
      <c r="BJ39">
        <v>0</v>
      </c>
      <c r="BK39">
        <v>4.4476506688074924</v>
      </c>
      <c r="BL39">
        <v>3.911710712228214</v>
      </c>
      <c r="BM39">
        <v>3.911710712228214</v>
      </c>
      <c r="BN39">
        <v>0</v>
      </c>
      <c r="BO39">
        <v>0</v>
      </c>
      <c r="BP39">
        <v>3.9117107122282131</v>
      </c>
      <c r="BQ39">
        <v>0</v>
      </c>
      <c r="BR39">
        <v>0.41571157133958397</v>
      </c>
      <c r="BS39">
        <v>0.41571157133958397</v>
      </c>
      <c r="BT39">
        <v>0</v>
      </c>
      <c r="BU39">
        <v>0.26399050472135799</v>
      </c>
      <c r="BV39">
        <v>0.2478027136725536</v>
      </c>
      <c r="BW39">
        <v>0</v>
      </c>
      <c r="BX39">
        <v>0</v>
      </c>
      <c r="BY39">
        <v>0</v>
      </c>
      <c r="BZ39">
        <v>0.2478027136725536</v>
      </c>
      <c r="CA39">
        <v>0.27463207051412369</v>
      </c>
      <c r="CB39">
        <v>0.27463207051412369</v>
      </c>
      <c r="CC39">
        <v>0.2478027136725536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0.1129443646935042</v>
      </c>
      <c r="CR39">
        <v>0.29092999547122328</v>
      </c>
      <c r="CS39">
        <v>0.26997484425625662</v>
      </c>
      <c r="CT39">
        <v>0.26997484425625662</v>
      </c>
      <c r="CU39">
        <v>2.564166038069227E-2</v>
      </c>
      <c r="CV39">
        <v>2.6489893984964138E-2</v>
      </c>
      <c r="CW39">
        <v>5.035905273012176E-4</v>
      </c>
      <c r="CX39">
        <v>4.1481707027192314E-3</v>
      </c>
      <c r="CY39">
        <v>1.6754472731482411E-4</v>
      </c>
      <c r="CZ39">
        <v>2.8816797864896811E-4</v>
      </c>
      <c r="DA39">
        <v>1.470298232359044E-4</v>
      </c>
      <c r="DB39">
        <v>1.4702982323590451E-4</v>
      </c>
      <c r="DC39">
        <v>1.470298232359043E-4</v>
      </c>
      <c r="DD39">
        <v>6.8513249846472819E-3</v>
      </c>
      <c r="DE39">
        <v>7.3137108036534226E-3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</row>
    <row r="40" spans="1:117" x14ac:dyDescent="0.25">
      <c r="A40" s="1" t="s">
        <v>260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0.62299377006229939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0.62299377006229939</v>
      </c>
      <c r="AX40">
        <v>0</v>
      </c>
      <c r="AY40">
        <v>0</v>
      </c>
      <c r="AZ40">
        <v>0</v>
      </c>
      <c r="BA40">
        <v>0.2056200574654154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</row>
    <row r="41" spans="1:117" x14ac:dyDescent="0.25">
      <c r="A41" s="1" t="s">
        <v>261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4.5221787861021969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</row>
    <row r="42" spans="1:117" x14ac:dyDescent="0.25">
      <c r="A42" s="1" t="s">
        <v>262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</row>
    <row r="43" spans="1:117" x14ac:dyDescent="0.25">
      <c r="A43" s="1" t="s">
        <v>263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</row>
    <row r="44" spans="1:117" x14ac:dyDescent="0.25">
      <c r="A44" s="1" t="s">
        <v>264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0.45472620535989061</v>
      </c>
      <c r="R44">
        <v>0</v>
      </c>
      <c r="S44">
        <v>0</v>
      </c>
      <c r="T44">
        <v>0</v>
      </c>
      <c r="U44">
        <v>9.3494001392437111E-3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0.54229335808553469</v>
      </c>
      <c r="AJ44">
        <v>0</v>
      </c>
      <c r="AK44">
        <v>0</v>
      </c>
      <c r="AL44">
        <v>0</v>
      </c>
      <c r="AM44">
        <v>0</v>
      </c>
      <c r="AN44">
        <v>1.298602476328866E-2</v>
      </c>
      <c r="AO44">
        <v>0.47694724607545669</v>
      </c>
      <c r="AP44">
        <v>0.50395896575608123</v>
      </c>
      <c r="AQ44">
        <v>0</v>
      </c>
      <c r="AR44">
        <v>0</v>
      </c>
      <c r="AS44">
        <v>0.1687084703593679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0.67933127654656789</v>
      </c>
      <c r="BD44">
        <v>0.67933127654656789</v>
      </c>
      <c r="BE44">
        <v>0.67933127654656789</v>
      </c>
      <c r="BF44">
        <v>0</v>
      </c>
      <c r="BG44">
        <v>0.71280002031967005</v>
      </c>
      <c r="BH44">
        <v>0</v>
      </c>
      <c r="BI44">
        <v>0</v>
      </c>
      <c r="BJ44">
        <v>0</v>
      </c>
      <c r="BK44">
        <v>0.54229335808553469</v>
      </c>
      <c r="BL44">
        <v>0.47694724607545669</v>
      </c>
      <c r="BM44">
        <v>0.47694724607545669</v>
      </c>
      <c r="BN44">
        <v>0</v>
      </c>
      <c r="BO44">
        <v>0</v>
      </c>
      <c r="BP44">
        <v>0.47694724607545669</v>
      </c>
      <c r="BQ44">
        <v>0</v>
      </c>
      <c r="BR44">
        <v>0.49693039068434969</v>
      </c>
      <c r="BS44">
        <v>0.49693039068434969</v>
      </c>
      <c r="BT44">
        <v>0</v>
      </c>
      <c r="BU44">
        <v>0.48443133928553628</v>
      </c>
      <c r="BV44">
        <v>0.45472620535989061</v>
      </c>
      <c r="BW44">
        <v>0</v>
      </c>
      <c r="BX44">
        <v>0</v>
      </c>
      <c r="BY44">
        <v>0</v>
      </c>
      <c r="BZ44">
        <v>0.45472620535989061</v>
      </c>
      <c r="CA44">
        <v>0.50395896576030619</v>
      </c>
      <c r="CB44">
        <v>0.50395896576030619</v>
      </c>
      <c r="CC44">
        <v>0.45472620535989061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0.1975707391377502</v>
      </c>
      <c r="CR44">
        <v>0.53484257384829614</v>
      </c>
      <c r="CS44">
        <v>0.49631884929029801</v>
      </c>
      <c r="CT44">
        <v>0.49631884929029801</v>
      </c>
      <c r="CU44">
        <v>4.7493442390635139E-2</v>
      </c>
      <c r="CV44">
        <v>4.4257032500267912E-2</v>
      </c>
      <c r="CW44">
        <v>8.6678284639011107E-4</v>
      </c>
      <c r="CX44">
        <v>7.6268282942880553E-3</v>
      </c>
      <c r="CY44">
        <v>3.0804780189152338E-4</v>
      </c>
      <c r="CZ44">
        <v>2.6491287974564581E-4</v>
      </c>
      <c r="DA44">
        <v>3.1538393966336152E-4</v>
      </c>
      <c r="DB44">
        <v>3.1538393966336158E-4</v>
      </c>
      <c r="DC44">
        <v>3.1538393966336098E-4</v>
      </c>
      <c r="DD44">
        <v>1.149859393614132E-2</v>
      </c>
      <c r="DE44">
        <v>1.13982094232527E-2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</row>
    <row r="45" spans="1:117" x14ac:dyDescent="0.25">
      <c r="A45" s="1" t="s">
        <v>265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</row>
    <row r="46" spans="1:117" x14ac:dyDescent="0.25">
      <c r="A46" s="1" t="s">
        <v>266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11.845881541184591</v>
      </c>
      <c r="L46">
        <v>0</v>
      </c>
      <c r="M46">
        <v>0</v>
      </c>
      <c r="N46">
        <v>0</v>
      </c>
      <c r="O46">
        <v>0</v>
      </c>
      <c r="P46">
        <v>0</v>
      </c>
      <c r="Q46">
        <v>2.8207228600247172</v>
      </c>
      <c r="R46">
        <v>0</v>
      </c>
      <c r="S46">
        <v>0</v>
      </c>
      <c r="T46">
        <v>0</v>
      </c>
      <c r="U46">
        <v>6.7146734150206153E-2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3.2629953504821061</v>
      </c>
      <c r="AJ46">
        <v>0</v>
      </c>
      <c r="AK46">
        <v>0</v>
      </c>
      <c r="AL46">
        <v>0</v>
      </c>
      <c r="AM46">
        <v>0</v>
      </c>
      <c r="AN46">
        <v>7.4947357150742952E-2</v>
      </c>
      <c r="AO46">
        <v>2.8698058406313591</v>
      </c>
      <c r="AP46">
        <v>3.1261197583665332</v>
      </c>
      <c r="AQ46">
        <v>0</v>
      </c>
      <c r="AR46">
        <v>0</v>
      </c>
      <c r="AS46">
        <v>1.0850989813734231</v>
      </c>
      <c r="AT46">
        <v>0</v>
      </c>
      <c r="AU46">
        <v>0</v>
      </c>
      <c r="AV46">
        <v>0</v>
      </c>
      <c r="AW46">
        <v>11.845881541184591</v>
      </c>
      <c r="AX46">
        <v>0</v>
      </c>
      <c r="AY46">
        <v>0</v>
      </c>
      <c r="AZ46">
        <v>0</v>
      </c>
      <c r="BA46">
        <v>3.909751526059889</v>
      </c>
      <c r="BB46">
        <v>0</v>
      </c>
      <c r="BC46">
        <v>4.0875566033742512</v>
      </c>
      <c r="BD46">
        <v>4.0875566033742512</v>
      </c>
      <c r="BE46">
        <v>4.0875566033742512</v>
      </c>
      <c r="BF46">
        <v>0</v>
      </c>
      <c r="BG46">
        <v>4.2889390353915804</v>
      </c>
      <c r="BH46">
        <v>0</v>
      </c>
      <c r="BI46">
        <v>0</v>
      </c>
      <c r="BJ46">
        <v>0</v>
      </c>
      <c r="BK46">
        <v>3.2629953504821061</v>
      </c>
      <c r="BL46">
        <v>2.8698058406313591</v>
      </c>
      <c r="BM46">
        <v>2.8698058406313591</v>
      </c>
      <c r="BN46">
        <v>0</v>
      </c>
      <c r="BO46">
        <v>0</v>
      </c>
      <c r="BP46">
        <v>2.8698058406313578</v>
      </c>
      <c r="BQ46">
        <v>0</v>
      </c>
      <c r="BR46">
        <v>2.9900450192505148</v>
      </c>
      <c r="BS46">
        <v>2.9900450192505148</v>
      </c>
      <c r="BT46">
        <v>0</v>
      </c>
      <c r="BU46">
        <v>3.0049874775825489</v>
      </c>
      <c r="BV46">
        <v>2.8207228600247172</v>
      </c>
      <c r="BW46">
        <v>0</v>
      </c>
      <c r="BX46">
        <v>0</v>
      </c>
      <c r="BY46">
        <v>0</v>
      </c>
      <c r="BZ46">
        <v>2.8207228600247172</v>
      </c>
      <c r="CA46">
        <v>3.1261197583927411</v>
      </c>
      <c r="CB46">
        <v>3.1261197583927411</v>
      </c>
      <c r="CC46">
        <v>2.8207228600247172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1.2723248342274089</v>
      </c>
      <c r="CR46">
        <v>3.3129801049941259</v>
      </c>
      <c r="CS46">
        <v>3.0743522558447758</v>
      </c>
      <c r="CT46">
        <v>3.0743522558447758</v>
      </c>
      <c r="CU46">
        <v>0.29365493853553282</v>
      </c>
      <c r="CV46">
        <v>0.2808416502443612</v>
      </c>
      <c r="CW46">
        <v>5.4330101433004508E-3</v>
      </c>
      <c r="CX46">
        <v>4.7220124420551783E-2</v>
      </c>
      <c r="CY46">
        <v>1.9072221074767309E-3</v>
      </c>
      <c r="CZ46">
        <v>1.9025856679918841E-3</v>
      </c>
      <c r="DA46">
        <v>1.9080106462555091E-3</v>
      </c>
      <c r="DB46">
        <v>1.90801064625551E-3</v>
      </c>
      <c r="DC46">
        <v>1.90801064625551E-3</v>
      </c>
      <c r="DD46">
        <v>7.2897005572225587E-2</v>
      </c>
      <c r="DE46">
        <v>7.2758630368012139E-2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</row>
    <row r="47" spans="1:117" x14ac:dyDescent="0.25">
      <c r="A47" s="1" t="s">
        <v>267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1.463985360146399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1.463985360146399</v>
      </c>
      <c r="AX47">
        <v>0</v>
      </c>
      <c r="AY47">
        <v>0</v>
      </c>
      <c r="AZ47">
        <v>0</v>
      </c>
      <c r="BA47">
        <v>0.48319063263140949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</row>
    <row r="48" spans="1:117" x14ac:dyDescent="0.25">
      <c r="A48" s="1" t="s">
        <v>268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</row>
    <row r="49" spans="1:117" x14ac:dyDescent="0.25">
      <c r="A49" s="1" t="s">
        <v>269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3.9859601403985958</v>
      </c>
      <c r="L49">
        <v>0</v>
      </c>
      <c r="M49">
        <v>0</v>
      </c>
      <c r="N49">
        <v>0</v>
      </c>
      <c r="O49">
        <v>0</v>
      </c>
      <c r="P49">
        <v>72.400898136974732</v>
      </c>
      <c r="Q49">
        <v>0.94913061962337675</v>
      </c>
      <c r="R49">
        <v>0</v>
      </c>
      <c r="S49">
        <v>0</v>
      </c>
      <c r="T49">
        <v>100</v>
      </c>
      <c r="U49">
        <v>0.20868587098986349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1.0979486296658509</v>
      </c>
      <c r="AJ49">
        <v>0</v>
      </c>
      <c r="AK49">
        <v>0</v>
      </c>
      <c r="AL49">
        <v>0</v>
      </c>
      <c r="AM49">
        <v>0</v>
      </c>
      <c r="AN49">
        <v>0.94925824969304706</v>
      </c>
      <c r="AO49">
        <v>0.96564630092491932</v>
      </c>
      <c r="AP49">
        <v>1.051892061189347</v>
      </c>
      <c r="AQ49">
        <v>0</v>
      </c>
      <c r="AR49">
        <v>0</v>
      </c>
      <c r="AS49">
        <v>9.6444446652685603</v>
      </c>
      <c r="AT49">
        <v>0</v>
      </c>
      <c r="AU49">
        <v>0</v>
      </c>
      <c r="AV49">
        <v>0</v>
      </c>
      <c r="AW49">
        <v>3.9859601403985958</v>
      </c>
      <c r="AX49">
        <v>0</v>
      </c>
      <c r="AY49">
        <v>0</v>
      </c>
      <c r="AZ49">
        <v>0</v>
      </c>
      <c r="BA49">
        <v>1.315572309883059</v>
      </c>
      <c r="BB49">
        <v>0</v>
      </c>
      <c r="BC49">
        <v>1.3754010316604559</v>
      </c>
      <c r="BD49">
        <v>1.3754010316604559</v>
      </c>
      <c r="BE49">
        <v>1.3754010316604559</v>
      </c>
      <c r="BF49">
        <v>0</v>
      </c>
      <c r="BG49">
        <v>1.44316317702776</v>
      </c>
      <c r="BH49">
        <v>0</v>
      </c>
      <c r="BI49">
        <v>0</v>
      </c>
      <c r="BJ49">
        <v>0</v>
      </c>
      <c r="BK49">
        <v>1.0979486296658509</v>
      </c>
      <c r="BL49">
        <v>0.96564630092491932</v>
      </c>
      <c r="BM49">
        <v>0.96564630092491932</v>
      </c>
      <c r="BN49">
        <v>0</v>
      </c>
      <c r="BO49">
        <v>0</v>
      </c>
      <c r="BP49">
        <v>0.9656463009249191</v>
      </c>
      <c r="BQ49">
        <v>0</v>
      </c>
      <c r="BR49">
        <v>1.006104967645834</v>
      </c>
      <c r="BS49">
        <v>1.006104967645834</v>
      </c>
      <c r="BT49">
        <v>0</v>
      </c>
      <c r="BU49">
        <v>1.0111328790852641</v>
      </c>
      <c r="BV49">
        <v>0.94913061962337675</v>
      </c>
      <c r="BW49">
        <v>0</v>
      </c>
      <c r="BX49">
        <v>0</v>
      </c>
      <c r="BY49">
        <v>0</v>
      </c>
      <c r="BZ49">
        <v>0.94913061962337675</v>
      </c>
      <c r="CA49">
        <v>1.051892061198165</v>
      </c>
      <c r="CB49">
        <v>1.051892061198165</v>
      </c>
      <c r="CC49">
        <v>0.94913061962337675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11.25604796653856</v>
      </c>
      <c r="CR49">
        <v>2.32742634587376E-2</v>
      </c>
      <c r="CS49">
        <v>2.1597861170259709E-2</v>
      </c>
      <c r="CT49">
        <v>2.1597861170259709E-2</v>
      </c>
      <c r="CU49">
        <v>6.2339979393454493E-3</v>
      </c>
      <c r="CV49">
        <v>0.23125575793326361</v>
      </c>
      <c r="CW49">
        <v>5.8081310735353933E-3</v>
      </c>
      <c r="CX49">
        <v>5.8702320627591212E-3</v>
      </c>
      <c r="CY49">
        <v>5.9274708101150859E-3</v>
      </c>
      <c r="CZ49">
        <v>5.9130611828348868E-3</v>
      </c>
      <c r="DA49">
        <v>5.9299215160792873E-3</v>
      </c>
      <c r="DB49">
        <v>5.929921516079289E-3</v>
      </c>
      <c r="DC49">
        <v>5.9299215160792838E-3</v>
      </c>
      <c r="DD49">
        <v>6.3275656799770388E-2</v>
      </c>
      <c r="DE49">
        <v>3.481998236187867E-3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</row>
    <row r="50" spans="1:117" x14ac:dyDescent="0.25">
      <c r="A50" s="1" t="s">
        <v>270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21.402190189217439</v>
      </c>
      <c r="V50">
        <v>50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0.46891967036288817</v>
      </c>
      <c r="AO50">
        <v>0</v>
      </c>
      <c r="AP50">
        <v>0</v>
      </c>
      <c r="AQ50">
        <v>0</v>
      </c>
      <c r="AR50">
        <v>0</v>
      </c>
      <c r="AS50">
        <v>7.3321811111769011E-2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0.59846516689078799</v>
      </c>
      <c r="CX50">
        <v>0.51186544921301802</v>
      </c>
      <c r="CY50">
        <v>0.60623107250261787</v>
      </c>
      <c r="CZ50">
        <v>0.60642562639834052</v>
      </c>
      <c r="DA50">
        <v>0.60619798390266055</v>
      </c>
      <c r="DB50">
        <v>0.60619798390266078</v>
      </c>
      <c r="DC50">
        <v>0.60619798390266</v>
      </c>
      <c r="DD50">
        <v>0.45191976322837069</v>
      </c>
      <c r="DE50">
        <v>0.45077246456701148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</row>
    <row r="51" spans="1:117" x14ac:dyDescent="0.25">
      <c r="A51" s="1" t="s">
        <v>271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12.74387256127439</v>
      </c>
      <c r="L51">
        <v>0</v>
      </c>
      <c r="M51">
        <v>0</v>
      </c>
      <c r="N51">
        <v>0</v>
      </c>
      <c r="O51">
        <v>0</v>
      </c>
      <c r="P51">
        <v>0</v>
      </c>
      <c r="Q51">
        <v>2.8828235287647521</v>
      </c>
      <c r="R51">
        <v>0</v>
      </c>
      <c r="S51">
        <v>0</v>
      </c>
      <c r="T51">
        <v>0</v>
      </c>
      <c r="U51">
        <v>0.63379797465003973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3.3348330330252209</v>
      </c>
      <c r="AJ51">
        <v>0</v>
      </c>
      <c r="AK51">
        <v>0</v>
      </c>
      <c r="AL51">
        <v>0</v>
      </c>
      <c r="AM51">
        <v>0</v>
      </c>
      <c r="AN51">
        <v>2.8644580211094071</v>
      </c>
      <c r="AO51">
        <v>2.932987113908132</v>
      </c>
      <c r="AP51">
        <v>3.1949440056214722</v>
      </c>
      <c r="AQ51">
        <v>0</v>
      </c>
      <c r="AR51">
        <v>0</v>
      </c>
      <c r="AS51">
        <v>29.293378565330251</v>
      </c>
      <c r="AT51">
        <v>0</v>
      </c>
      <c r="AU51">
        <v>0</v>
      </c>
      <c r="AV51">
        <v>0</v>
      </c>
      <c r="AW51">
        <v>12.74387256127439</v>
      </c>
      <c r="AX51">
        <v>0</v>
      </c>
      <c r="AY51">
        <v>0</v>
      </c>
      <c r="AZ51">
        <v>0</v>
      </c>
      <c r="BA51">
        <v>4.2061348512668602</v>
      </c>
      <c r="BB51">
        <v>0</v>
      </c>
      <c r="BC51">
        <v>4.1775477195451112</v>
      </c>
      <c r="BD51">
        <v>4.1775477195451112</v>
      </c>
      <c r="BE51">
        <v>4.1775477195451112</v>
      </c>
      <c r="BF51">
        <v>0</v>
      </c>
      <c r="BG51">
        <v>4.383363761073678</v>
      </c>
      <c r="BH51">
        <v>0</v>
      </c>
      <c r="BI51">
        <v>0</v>
      </c>
      <c r="BJ51">
        <v>0</v>
      </c>
      <c r="BK51">
        <v>3.3348330330252209</v>
      </c>
      <c r="BL51">
        <v>2.932987113908132</v>
      </c>
      <c r="BM51">
        <v>2.932987113908132</v>
      </c>
      <c r="BN51">
        <v>0</v>
      </c>
      <c r="BO51">
        <v>0</v>
      </c>
      <c r="BP51">
        <v>2.932987113908132</v>
      </c>
      <c r="BQ51">
        <v>0</v>
      </c>
      <c r="BR51">
        <v>3.0558734626930728</v>
      </c>
      <c r="BS51">
        <v>3.0558734626930728</v>
      </c>
      <c r="BT51">
        <v>0</v>
      </c>
      <c r="BU51">
        <v>3.071144892250246</v>
      </c>
      <c r="BV51">
        <v>2.8828235287647521</v>
      </c>
      <c r="BW51">
        <v>0</v>
      </c>
      <c r="BX51">
        <v>0</v>
      </c>
      <c r="BY51">
        <v>0</v>
      </c>
      <c r="BZ51">
        <v>2.8828235287647521</v>
      </c>
      <c r="CA51">
        <v>3.194944005648257</v>
      </c>
      <c r="CB51">
        <v>3.194944005648257</v>
      </c>
      <c r="CC51">
        <v>2.8828235287647521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34.191828530908111</v>
      </c>
      <c r="CR51">
        <v>7.033993425802379E-2</v>
      </c>
      <c r="CS51">
        <v>6.5273478472190255E-2</v>
      </c>
      <c r="CT51">
        <v>6.5273478472190255E-2</v>
      </c>
      <c r="CU51">
        <v>1.908654803951336E-2</v>
      </c>
      <c r="CV51">
        <v>0.69581937923988602</v>
      </c>
      <c r="CW51">
        <v>1.761382505528503E-2</v>
      </c>
      <c r="CX51">
        <v>1.7828428798052999E-2</v>
      </c>
      <c r="CY51">
        <v>1.800226808086423E-2</v>
      </c>
      <c r="CZ51">
        <v>1.7958504731949751E-2</v>
      </c>
      <c r="DA51">
        <v>1.8009711097821759E-2</v>
      </c>
      <c r="DB51">
        <v>1.8009711097821759E-2</v>
      </c>
      <c r="DC51">
        <v>1.8009711097821769E-2</v>
      </c>
      <c r="DD51">
        <v>0.1905132039065007</v>
      </c>
      <c r="DE51">
        <v>1.0052611677968089E-2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</row>
    <row r="52" spans="1:117" x14ac:dyDescent="0.25">
      <c r="A52" s="1" t="s">
        <v>272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0.15172755414551331</v>
      </c>
      <c r="R52">
        <v>0</v>
      </c>
      <c r="S52">
        <v>0</v>
      </c>
      <c r="T52">
        <v>0</v>
      </c>
      <c r="U52">
        <v>3.611843575933772E-3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0.17551752805395901</v>
      </c>
      <c r="AJ52">
        <v>0</v>
      </c>
      <c r="AK52">
        <v>0</v>
      </c>
      <c r="AL52">
        <v>0</v>
      </c>
      <c r="AM52">
        <v>0</v>
      </c>
      <c r="AN52">
        <v>4.0314414972525327E-3</v>
      </c>
      <c r="AO52">
        <v>0.15436774283727009</v>
      </c>
      <c r="AP52">
        <v>0.16815494766428801</v>
      </c>
      <c r="AQ52">
        <v>0</v>
      </c>
      <c r="AR52">
        <v>0</v>
      </c>
      <c r="AS52">
        <v>5.8367809465739058E-2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0.21987093260763749</v>
      </c>
      <c r="BD52">
        <v>0.21987093260763749</v>
      </c>
      <c r="BE52">
        <v>0.21987093260763749</v>
      </c>
      <c r="BF52">
        <v>0</v>
      </c>
      <c r="BG52">
        <v>0.23070335584598309</v>
      </c>
      <c r="BH52">
        <v>0</v>
      </c>
      <c r="BI52">
        <v>0</v>
      </c>
      <c r="BJ52">
        <v>0</v>
      </c>
      <c r="BK52">
        <v>0.17551752805395901</v>
      </c>
      <c r="BL52">
        <v>0.15436774283727009</v>
      </c>
      <c r="BM52">
        <v>0.15436774283727009</v>
      </c>
      <c r="BN52">
        <v>0</v>
      </c>
      <c r="BO52">
        <v>0</v>
      </c>
      <c r="BP52">
        <v>0.15436774283727009</v>
      </c>
      <c r="BQ52">
        <v>0</v>
      </c>
      <c r="BR52">
        <v>0.16083544540489861</v>
      </c>
      <c r="BS52">
        <v>0.16083544540489861</v>
      </c>
      <c r="BT52">
        <v>0</v>
      </c>
      <c r="BU52">
        <v>0.16163920485527611</v>
      </c>
      <c r="BV52">
        <v>0.15172755414551331</v>
      </c>
      <c r="BW52">
        <v>0</v>
      </c>
      <c r="BX52">
        <v>0</v>
      </c>
      <c r="BY52">
        <v>0</v>
      </c>
      <c r="BZ52">
        <v>0.15172755414551331</v>
      </c>
      <c r="CA52">
        <v>0.16815494766569769</v>
      </c>
      <c r="CB52">
        <v>0.16815494766569769</v>
      </c>
      <c r="CC52">
        <v>0.15172755414551331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6.8438745937000264E-2</v>
      </c>
      <c r="CR52">
        <v>0.17820622344270279</v>
      </c>
      <c r="CS52">
        <v>0.16537035770929359</v>
      </c>
      <c r="CT52">
        <v>0.16537035770929359</v>
      </c>
      <c r="CU52">
        <v>1.5795789872939531E-2</v>
      </c>
      <c r="CV52">
        <v>1.5106559136899121E-2</v>
      </c>
      <c r="CW52">
        <v>2.9224329421839029E-4</v>
      </c>
      <c r="CX52">
        <v>2.5399850819496552E-3</v>
      </c>
      <c r="CY52">
        <v>1.025900664261503E-4</v>
      </c>
      <c r="CZ52">
        <v>1.023406709137626E-4</v>
      </c>
      <c r="DA52">
        <v>1.026324821706917E-4</v>
      </c>
      <c r="DB52">
        <v>1.026324821706917E-4</v>
      </c>
      <c r="DC52">
        <v>1.026324821706916E-4</v>
      </c>
      <c r="DD52">
        <v>3.9211524523570969E-3</v>
      </c>
      <c r="DE52">
        <v>3.9137092073693531E-3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</row>
    <row r="53" spans="1:117" x14ac:dyDescent="0.25">
      <c r="A53" s="1" t="s">
        <v>273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0.26147943755828779</v>
      </c>
      <c r="R53">
        <v>0</v>
      </c>
      <c r="S53">
        <v>0</v>
      </c>
      <c r="T53">
        <v>0</v>
      </c>
      <c r="U53">
        <v>6.1192185206229996E-3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2.3387462707076961E-2</v>
      </c>
      <c r="AJ53">
        <v>0</v>
      </c>
      <c r="AK53">
        <v>0</v>
      </c>
      <c r="AL53">
        <v>0</v>
      </c>
      <c r="AM53">
        <v>0</v>
      </c>
      <c r="AN53">
        <v>1.077641256479657E-2</v>
      </c>
      <c r="AO53">
        <v>2.0569283699531159E-2</v>
      </c>
      <c r="AP53">
        <v>0.28978955988266392</v>
      </c>
      <c r="AQ53">
        <v>0</v>
      </c>
      <c r="AR53">
        <v>0</v>
      </c>
      <c r="AS53">
        <v>0.10105327235714361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2.9297491217802979E-2</v>
      </c>
      <c r="BD53">
        <v>2.9297491217802979E-2</v>
      </c>
      <c r="BE53">
        <v>2.9297491217802979E-2</v>
      </c>
      <c r="BF53">
        <v>0</v>
      </c>
      <c r="BG53">
        <v>3.074089631427972E-2</v>
      </c>
      <c r="BH53">
        <v>0</v>
      </c>
      <c r="BI53">
        <v>0</v>
      </c>
      <c r="BJ53">
        <v>0</v>
      </c>
      <c r="BK53">
        <v>2.3387462707076961E-2</v>
      </c>
      <c r="BL53">
        <v>2.0569283699531159E-2</v>
      </c>
      <c r="BM53">
        <v>2.0569283699531159E-2</v>
      </c>
      <c r="BN53">
        <v>0</v>
      </c>
      <c r="BO53">
        <v>0</v>
      </c>
      <c r="BP53">
        <v>0.2660294025139362</v>
      </c>
      <c r="BQ53">
        <v>0</v>
      </c>
      <c r="BR53">
        <v>0.27717550738066249</v>
      </c>
      <c r="BS53">
        <v>0.27717550738066249</v>
      </c>
      <c r="BT53">
        <v>0</v>
      </c>
      <c r="BU53">
        <v>0.27856066494285009</v>
      </c>
      <c r="BV53">
        <v>0.26147943755828779</v>
      </c>
      <c r="BW53">
        <v>0</v>
      </c>
      <c r="BX53">
        <v>0</v>
      </c>
      <c r="BY53">
        <v>0</v>
      </c>
      <c r="BZ53">
        <v>0.26147943755828779</v>
      </c>
      <c r="CA53">
        <v>0.28978955988509342</v>
      </c>
      <c r="CB53">
        <v>0.28978955988509342</v>
      </c>
      <c r="CC53">
        <v>0.26147943755828779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0.1177855743822067</v>
      </c>
      <c r="CR53">
        <v>0.30712735993382267</v>
      </c>
      <c r="CS53">
        <v>0.28500554241809201</v>
      </c>
      <c r="CT53">
        <v>0.28500554241809201</v>
      </c>
      <c r="CU53">
        <v>2.7205776807549931E-2</v>
      </c>
      <c r="CV53">
        <v>2.6252054223282521E-2</v>
      </c>
      <c r="CW53">
        <v>4.9372804978150826E-4</v>
      </c>
      <c r="CX53">
        <v>4.3665050660027967E-3</v>
      </c>
      <c r="CY53">
        <v>1.7636325817610741E-4</v>
      </c>
      <c r="CZ53">
        <v>1.7338650351339649E-4</v>
      </c>
      <c r="DA53">
        <v>1.768695273712795E-4</v>
      </c>
      <c r="DB53">
        <v>1.7686952737127961E-4</v>
      </c>
      <c r="DC53">
        <v>1.768695273712798E-4</v>
      </c>
      <c r="DD53">
        <v>6.8130398965630893E-3</v>
      </c>
      <c r="DE53">
        <v>6.5455577202929117E-3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</row>
    <row r="54" spans="1:117" x14ac:dyDescent="0.25">
      <c r="A54" s="1" t="s">
        <v>274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6.629151141574214E-4</v>
      </c>
      <c r="R54">
        <v>0</v>
      </c>
      <c r="S54">
        <v>0</v>
      </c>
      <c r="T54">
        <v>0</v>
      </c>
      <c r="U54">
        <v>1.5513734013018669E-5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7.6685624309827665E-4</v>
      </c>
      <c r="AJ54">
        <v>0</v>
      </c>
      <c r="AK54">
        <v>0</v>
      </c>
      <c r="AL54">
        <v>0</v>
      </c>
      <c r="AM54">
        <v>0</v>
      </c>
      <c r="AN54">
        <v>2.732087399418207E-5</v>
      </c>
      <c r="AO54">
        <v>6.7445040185021982E-4</v>
      </c>
      <c r="AP54">
        <v>7.3468828358031651E-4</v>
      </c>
      <c r="AQ54">
        <v>0</v>
      </c>
      <c r="AR54">
        <v>0</v>
      </c>
      <c r="AS54">
        <v>2.5619506530292178E-4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9.6064136280549694E-4</v>
      </c>
      <c r="BD54">
        <v>9.6064136280549694E-4</v>
      </c>
      <c r="BE54">
        <v>9.6064136280549694E-4</v>
      </c>
      <c r="BF54">
        <v>0</v>
      </c>
      <c r="BG54">
        <v>1.007969464336499E-3</v>
      </c>
      <c r="BH54">
        <v>0</v>
      </c>
      <c r="BI54">
        <v>0</v>
      </c>
      <c r="BJ54">
        <v>0</v>
      </c>
      <c r="BK54">
        <v>7.6685624309827665E-4</v>
      </c>
      <c r="BL54">
        <v>6.7445040185021982E-4</v>
      </c>
      <c r="BM54">
        <v>6.7445040185021982E-4</v>
      </c>
      <c r="BN54">
        <v>0</v>
      </c>
      <c r="BO54">
        <v>0</v>
      </c>
      <c r="BP54">
        <v>6.744504018502196E-4</v>
      </c>
      <c r="BQ54">
        <v>0</v>
      </c>
      <c r="BR54">
        <v>7.0270853736226885E-4</v>
      </c>
      <c r="BS54">
        <v>7.0270853736226885E-4</v>
      </c>
      <c r="BT54">
        <v>0</v>
      </c>
      <c r="BU54">
        <v>7.0622025473491624E-4</v>
      </c>
      <c r="BV54">
        <v>6.629151141574214E-4</v>
      </c>
      <c r="BW54">
        <v>0</v>
      </c>
      <c r="BX54">
        <v>0</v>
      </c>
      <c r="BY54">
        <v>0</v>
      </c>
      <c r="BZ54">
        <v>6.629151141574214E-4</v>
      </c>
      <c r="CA54">
        <v>7.3468828358647597E-4</v>
      </c>
      <c r="CB54">
        <v>7.3468828358647597E-4</v>
      </c>
      <c r="CC54">
        <v>6.629151141574214E-4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2.9861559370331878E-4</v>
      </c>
      <c r="CR54">
        <v>7.7864389939270862E-4</v>
      </c>
      <c r="CS54">
        <v>7.2255961482810976E-4</v>
      </c>
      <c r="CT54">
        <v>7.2255961482810976E-4</v>
      </c>
      <c r="CU54">
        <v>6.8973380111764904E-5</v>
      </c>
      <c r="CV54">
        <v>6.6555457227548807E-5</v>
      </c>
      <c r="CW54">
        <v>1.251722848802095E-6</v>
      </c>
      <c r="CX54">
        <v>1.10701714495349E-5</v>
      </c>
      <c r="CY54">
        <v>4.4712452542631412E-7</v>
      </c>
      <c r="CZ54">
        <v>4.3957771533877241E-7</v>
      </c>
      <c r="DA54">
        <v>4.4840804318375588E-7</v>
      </c>
      <c r="DB54">
        <v>4.4840804318375599E-7</v>
      </c>
      <c r="DC54">
        <v>4.4840804318375551E-7</v>
      </c>
      <c r="DD54">
        <v>1.727274298493316E-5</v>
      </c>
      <c r="DE54">
        <v>1.6594609441917211E-5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</row>
    <row r="55" spans="1:117" x14ac:dyDescent="0.25">
      <c r="A55" s="1" t="s">
        <v>275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3.4645886892925581E-4</v>
      </c>
      <c r="R55">
        <v>0</v>
      </c>
      <c r="S55">
        <v>0</v>
      </c>
      <c r="T55">
        <v>0</v>
      </c>
      <c r="U55">
        <v>8.1079321080970538E-6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4.0078154946407782E-4</v>
      </c>
      <c r="AJ55">
        <v>0</v>
      </c>
      <c r="AK55">
        <v>0</v>
      </c>
      <c r="AL55">
        <v>0</v>
      </c>
      <c r="AM55">
        <v>0</v>
      </c>
      <c r="AN55">
        <v>1.427868953359733E-5</v>
      </c>
      <c r="AO55">
        <v>3.5248754838077218E-4</v>
      </c>
      <c r="AP55">
        <v>3.8396963096600591E-4</v>
      </c>
      <c r="AQ55">
        <v>0</v>
      </c>
      <c r="AR55">
        <v>0</v>
      </c>
      <c r="AS55">
        <v>1.3389505029301409E-4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5.0205933293175217E-4</v>
      </c>
      <c r="BD55">
        <v>5.0205933293175217E-4</v>
      </c>
      <c r="BE55">
        <v>5.0205933293175217E-4</v>
      </c>
      <c r="BF55">
        <v>0</v>
      </c>
      <c r="BG55">
        <v>5.2679438599482955E-4</v>
      </c>
      <c r="BH55">
        <v>0</v>
      </c>
      <c r="BI55">
        <v>0</v>
      </c>
      <c r="BJ55">
        <v>0</v>
      </c>
      <c r="BK55">
        <v>4.0078154946407782E-4</v>
      </c>
      <c r="BL55">
        <v>3.5248754838077218E-4</v>
      </c>
      <c r="BM55">
        <v>3.5248754838077218E-4</v>
      </c>
      <c r="BN55">
        <v>0</v>
      </c>
      <c r="BO55">
        <v>0</v>
      </c>
      <c r="BP55">
        <v>3.5248754838077212E-4</v>
      </c>
      <c r="BQ55">
        <v>0</v>
      </c>
      <c r="BR55">
        <v>3.6725607825506502E-4</v>
      </c>
      <c r="BS55">
        <v>3.6725607825506502E-4</v>
      </c>
      <c r="BT55">
        <v>0</v>
      </c>
      <c r="BU55">
        <v>3.6909140468365773E-4</v>
      </c>
      <c r="BV55">
        <v>3.4645886892925581E-4</v>
      </c>
      <c r="BW55">
        <v>0</v>
      </c>
      <c r="BX55">
        <v>0</v>
      </c>
      <c r="BY55">
        <v>0</v>
      </c>
      <c r="BZ55">
        <v>3.4645886892925581E-4</v>
      </c>
      <c r="CA55">
        <v>3.8396963096922501E-4</v>
      </c>
      <c r="CB55">
        <v>3.8396963096922501E-4</v>
      </c>
      <c r="CC55">
        <v>3.4645886892925581E-4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1.5606526179537671E-4</v>
      </c>
      <c r="CR55">
        <v>4.0694212414381858E-4</v>
      </c>
      <c r="CS55">
        <v>3.7763083318063917E-4</v>
      </c>
      <c r="CT55">
        <v>3.7763083318063917E-4</v>
      </c>
      <c r="CU55">
        <v>3.604751007996337E-5</v>
      </c>
      <c r="CV55">
        <v>3.4783832710518543E-5</v>
      </c>
      <c r="CW55">
        <v>6.541870492123024E-7</v>
      </c>
      <c r="CX55">
        <v>5.7855960700694318E-6</v>
      </c>
      <c r="CY55">
        <v>2.3368038236181319E-7</v>
      </c>
      <c r="CZ55">
        <v>2.2973619821045779E-7</v>
      </c>
      <c r="DA55">
        <v>2.343511863622002E-7</v>
      </c>
      <c r="DB55">
        <v>2.3435118636220041E-7</v>
      </c>
      <c r="DC55">
        <v>2.3435118636220009E-7</v>
      </c>
      <c r="DD55">
        <v>9.0272417539790878E-6</v>
      </c>
      <c r="DE55">
        <v>8.6728292880709658E-6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</row>
    <row r="56" spans="1:117" x14ac:dyDescent="0.25">
      <c r="A56" s="1" t="s">
        <v>276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9.0225032951011766E-2</v>
      </c>
      <c r="R56">
        <v>0</v>
      </c>
      <c r="S56">
        <v>0</v>
      </c>
      <c r="T56">
        <v>0</v>
      </c>
      <c r="U56">
        <v>2.1114726948063718E-3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0.1043717790175482</v>
      </c>
      <c r="AJ56">
        <v>0</v>
      </c>
      <c r="AK56">
        <v>0</v>
      </c>
      <c r="AL56">
        <v>0</v>
      </c>
      <c r="AM56">
        <v>0</v>
      </c>
      <c r="AN56">
        <v>3.718465160518508E-3</v>
      </c>
      <c r="AO56">
        <v>9.1795025382855749E-2</v>
      </c>
      <c r="AP56">
        <v>9.9993608803155457E-2</v>
      </c>
      <c r="AQ56">
        <v>0</v>
      </c>
      <c r="AR56">
        <v>0</v>
      </c>
      <c r="AS56">
        <v>3.486903181898731E-2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0.13074660203425159</v>
      </c>
      <c r="BD56">
        <v>0.13074660203425159</v>
      </c>
      <c r="BE56">
        <v>0.13074660203425159</v>
      </c>
      <c r="BF56">
        <v>0</v>
      </c>
      <c r="BG56">
        <v>0.137188119852971</v>
      </c>
      <c r="BH56">
        <v>0</v>
      </c>
      <c r="BI56">
        <v>0</v>
      </c>
      <c r="BJ56">
        <v>0</v>
      </c>
      <c r="BK56">
        <v>0.1043717790175482</v>
      </c>
      <c r="BL56">
        <v>9.1795025382855749E-2</v>
      </c>
      <c r="BM56">
        <v>9.1795025382855749E-2</v>
      </c>
      <c r="BN56">
        <v>0</v>
      </c>
      <c r="BO56">
        <v>0</v>
      </c>
      <c r="BP56">
        <v>9.1795025382855736E-2</v>
      </c>
      <c r="BQ56">
        <v>0</v>
      </c>
      <c r="BR56">
        <v>9.5641055067892222E-2</v>
      </c>
      <c r="BS56">
        <v>9.5641055067892222E-2</v>
      </c>
      <c r="BT56">
        <v>0</v>
      </c>
      <c r="BU56">
        <v>9.6119011911679778E-2</v>
      </c>
      <c r="BV56">
        <v>9.0225032951011766E-2</v>
      </c>
      <c r="BW56">
        <v>0</v>
      </c>
      <c r="BX56">
        <v>0</v>
      </c>
      <c r="BY56">
        <v>0</v>
      </c>
      <c r="BZ56">
        <v>9.0225032951011766E-2</v>
      </c>
      <c r="CA56">
        <v>9.9993608803993772E-2</v>
      </c>
      <c r="CB56">
        <v>9.9993608803993772E-2</v>
      </c>
      <c r="CC56">
        <v>9.0225032951011766E-2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4.0642612011965479E-2</v>
      </c>
      <c r="CR56">
        <v>0.105976119686311</v>
      </c>
      <c r="CS56">
        <v>9.8342855162984424E-2</v>
      </c>
      <c r="CT56">
        <v>9.8342855162984424E-2</v>
      </c>
      <c r="CU56">
        <v>9.387514872452974E-3</v>
      </c>
      <c r="CV56">
        <v>9.058427230246047E-3</v>
      </c>
      <c r="CW56">
        <v>1.7036379600765081E-4</v>
      </c>
      <c r="CX56">
        <v>1.5066885072867E-3</v>
      </c>
      <c r="CY56">
        <v>6.0855189719229821E-5</v>
      </c>
      <c r="CZ56">
        <v>5.982804284283232E-5</v>
      </c>
      <c r="DA56">
        <v>6.1029880911940928E-5</v>
      </c>
      <c r="DB56">
        <v>6.1029880911940948E-5</v>
      </c>
      <c r="DC56">
        <v>6.1029880911940962E-5</v>
      </c>
      <c r="DD56">
        <v>2.3508798814321119E-3</v>
      </c>
      <c r="DE56">
        <v>2.258583567836113E-3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</row>
    <row r="57" spans="1:117" x14ac:dyDescent="0.25">
      <c r="A57" s="1" t="s">
        <v>277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1.1000962023733071E-2</v>
      </c>
      <c r="R57">
        <v>0</v>
      </c>
      <c r="S57">
        <v>0</v>
      </c>
      <c r="T57">
        <v>0</v>
      </c>
      <c r="U57">
        <v>2.5744774116431851E-4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1.2725847137622259E-2</v>
      </c>
      <c r="AJ57">
        <v>0</v>
      </c>
      <c r="AK57">
        <v>0</v>
      </c>
      <c r="AL57">
        <v>0</v>
      </c>
      <c r="AM57">
        <v>0</v>
      </c>
      <c r="AN57">
        <v>4.5338519343793543E-4</v>
      </c>
      <c r="AO57">
        <v>1.119238813415235E-2</v>
      </c>
      <c r="AP57">
        <v>1.219202539562163E-2</v>
      </c>
      <c r="AQ57">
        <v>0</v>
      </c>
      <c r="AR57">
        <v>0</v>
      </c>
      <c r="AS57">
        <v>4.2515129371390034E-3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1.5941677787936041E-2</v>
      </c>
      <c r="BD57">
        <v>1.5941677787936041E-2</v>
      </c>
      <c r="BE57">
        <v>1.5941677787936041E-2</v>
      </c>
      <c r="BF57">
        <v>0</v>
      </c>
      <c r="BG57">
        <v>1.672707947282551E-2</v>
      </c>
      <c r="BH57">
        <v>0</v>
      </c>
      <c r="BI57">
        <v>0</v>
      </c>
      <c r="BJ57">
        <v>0</v>
      </c>
      <c r="BK57">
        <v>1.2725847137622259E-2</v>
      </c>
      <c r="BL57">
        <v>1.119238813415235E-2</v>
      </c>
      <c r="BM57">
        <v>1.119238813415235E-2</v>
      </c>
      <c r="BN57">
        <v>0</v>
      </c>
      <c r="BO57">
        <v>0</v>
      </c>
      <c r="BP57">
        <v>1.119238813415235E-2</v>
      </c>
      <c r="BQ57">
        <v>0</v>
      </c>
      <c r="BR57">
        <v>1.1661327020882481E-2</v>
      </c>
      <c r="BS57">
        <v>1.1661327020882481E-2</v>
      </c>
      <c r="BT57">
        <v>0</v>
      </c>
      <c r="BU57">
        <v>1.1719603365213049E-2</v>
      </c>
      <c r="BV57">
        <v>1.1000962023733071E-2</v>
      </c>
      <c r="BW57">
        <v>0</v>
      </c>
      <c r="BX57">
        <v>0</v>
      </c>
      <c r="BY57">
        <v>0</v>
      </c>
      <c r="BZ57">
        <v>1.1000962023733071E-2</v>
      </c>
      <c r="CA57">
        <v>1.219202539572384E-2</v>
      </c>
      <c r="CB57">
        <v>1.219202539572384E-2</v>
      </c>
      <c r="CC57">
        <v>1.1000962023733071E-2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4.9554742920593841E-3</v>
      </c>
      <c r="CR57">
        <v>1.2921461261473831E-2</v>
      </c>
      <c r="CS57">
        <v>1.199075222882855E-2</v>
      </c>
      <c r="CT57">
        <v>1.199075222882855E-2</v>
      </c>
      <c r="CU57">
        <v>1.144601350992651E-3</v>
      </c>
      <c r="CV57">
        <v>1.1044763376123409E-3</v>
      </c>
      <c r="CW57">
        <v>2.0772124861586491E-5</v>
      </c>
      <c r="CX57">
        <v>1.837075865547819E-4</v>
      </c>
      <c r="CY57">
        <v>7.4199544090142659E-6</v>
      </c>
      <c r="CZ57">
        <v>7.2947163967856616E-6</v>
      </c>
      <c r="DA57">
        <v>7.4412541649028443E-6</v>
      </c>
      <c r="DB57">
        <v>7.4412541649028469E-6</v>
      </c>
      <c r="DC57">
        <v>7.4412541649028443E-6</v>
      </c>
      <c r="DD57">
        <v>2.8663819177583071E-4</v>
      </c>
      <c r="DE57">
        <v>2.753846825490573E-4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</row>
    <row r="58" spans="1:117" x14ac:dyDescent="0.25">
      <c r="A58" s="1" t="s">
        <v>278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0.18663595724809801</v>
      </c>
      <c r="R58">
        <v>0</v>
      </c>
      <c r="S58">
        <v>0</v>
      </c>
      <c r="T58">
        <v>0</v>
      </c>
      <c r="U58">
        <v>2.3552965581139849E-5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1.5588409513139549E-2</v>
      </c>
      <c r="AO58">
        <v>0</v>
      </c>
      <c r="AP58">
        <v>0.2068428493431709</v>
      </c>
      <c r="AQ58">
        <v>0</v>
      </c>
      <c r="AR58">
        <v>0</v>
      </c>
      <c r="AS58">
        <v>1.8697230680756129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0.3719503020250694</v>
      </c>
      <c r="BS58">
        <v>0.3719503020250694</v>
      </c>
      <c r="BT58">
        <v>0</v>
      </c>
      <c r="BU58">
        <v>0.19882801048815271</v>
      </c>
      <c r="BV58">
        <v>0.18663595724809801</v>
      </c>
      <c r="BW58">
        <v>0</v>
      </c>
      <c r="BX58">
        <v>0</v>
      </c>
      <c r="BY58">
        <v>0</v>
      </c>
      <c r="BZ58">
        <v>0.18663595724809801</v>
      </c>
      <c r="CA58">
        <v>0.20684284934490499</v>
      </c>
      <c r="CB58">
        <v>0.20684284934490499</v>
      </c>
      <c r="CC58">
        <v>0.18663595724809801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2.213376371630535</v>
      </c>
      <c r="CR58">
        <v>4.5766244919899397E-3</v>
      </c>
      <c r="CS58">
        <v>4.2469786673013142E-3</v>
      </c>
      <c r="CT58">
        <v>4.2469786673013142E-3</v>
      </c>
      <c r="CU58">
        <v>1.1185422204574949E-4</v>
      </c>
      <c r="CV58">
        <v>4.0734800187580767E-3</v>
      </c>
      <c r="CW58">
        <v>3.5045875449272389E-6</v>
      </c>
      <c r="CX58">
        <v>1.9213470557819219E-5</v>
      </c>
      <c r="CY58">
        <v>7.7603259751846934E-7</v>
      </c>
      <c r="CZ58">
        <v>6.6736730118757728E-7</v>
      </c>
      <c r="DA58">
        <v>7.9451376185684574E-7</v>
      </c>
      <c r="DB58">
        <v>7.9451376185684606E-7</v>
      </c>
      <c r="DC58">
        <v>7.9451376185684701E-7</v>
      </c>
      <c r="DD58">
        <v>1.037298576397736E-3</v>
      </c>
      <c r="DE58">
        <v>5.5265558987022943E-5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</row>
    <row r="59" spans="1:117" x14ac:dyDescent="0.25">
      <c r="A59" s="1" t="s">
        <v>279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</row>
    <row r="60" spans="1:117" x14ac:dyDescent="0.25">
      <c r="A60" s="1" t="s">
        <v>280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</row>
    <row r="61" spans="1:117" x14ac:dyDescent="0.25">
      <c r="A61" s="1" t="s">
        <v>281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</row>
    <row r="62" spans="1:117" x14ac:dyDescent="0.25">
      <c r="A62" s="1" t="s">
        <v>282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2.506974930250697</v>
      </c>
      <c r="L62">
        <v>0</v>
      </c>
      <c r="M62">
        <v>0</v>
      </c>
      <c r="N62">
        <v>0</v>
      </c>
      <c r="O62">
        <v>0</v>
      </c>
      <c r="P62">
        <v>0</v>
      </c>
      <c r="Q62">
        <v>0.67012238282490511</v>
      </c>
      <c r="R62">
        <v>0</v>
      </c>
      <c r="S62">
        <v>0</v>
      </c>
      <c r="T62">
        <v>0</v>
      </c>
      <c r="U62">
        <v>8.6412354830970486E-5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0.69055625051989189</v>
      </c>
      <c r="AJ62">
        <v>0</v>
      </c>
      <c r="AK62">
        <v>0</v>
      </c>
      <c r="AL62">
        <v>0</v>
      </c>
      <c r="AM62">
        <v>0</v>
      </c>
      <c r="AN62">
        <v>5.5071092639483329E-2</v>
      </c>
      <c r="AO62">
        <v>0.60734452494199009</v>
      </c>
      <c r="AP62">
        <v>0.74267587615971642</v>
      </c>
      <c r="AQ62">
        <v>0</v>
      </c>
      <c r="AR62">
        <v>0</v>
      </c>
      <c r="AS62">
        <v>6.7138441113777958</v>
      </c>
      <c r="AT62">
        <v>0</v>
      </c>
      <c r="AU62">
        <v>0</v>
      </c>
      <c r="AV62">
        <v>0</v>
      </c>
      <c r="AW62">
        <v>2.506974930250697</v>
      </c>
      <c r="AX62">
        <v>0</v>
      </c>
      <c r="AY62">
        <v>0</v>
      </c>
      <c r="AZ62">
        <v>0</v>
      </c>
      <c r="BA62">
        <v>0.82743095355665541</v>
      </c>
      <c r="BB62">
        <v>0</v>
      </c>
      <c r="BC62">
        <v>0.86506030767003594</v>
      </c>
      <c r="BD62">
        <v>0.86506030767003594</v>
      </c>
      <c r="BE62">
        <v>0.86506030767003594</v>
      </c>
      <c r="BF62">
        <v>0</v>
      </c>
      <c r="BG62">
        <v>0.90767939909899464</v>
      </c>
      <c r="BH62">
        <v>0</v>
      </c>
      <c r="BI62">
        <v>0</v>
      </c>
      <c r="BJ62">
        <v>0</v>
      </c>
      <c r="BK62">
        <v>0.69055625051989189</v>
      </c>
      <c r="BL62">
        <v>0.60734452494199009</v>
      </c>
      <c r="BM62">
        <v>0.60734452494199009</v>
      </c>
      <c r="BN62">
        <v>0</v>
      </c>
      <c r="BO62">
        <v>0</v>
      </c>
      <c r="BP62">
        <v>0.60734452494198998</v>
      </c>
      <c r="BQ62">
        <v>0</v>
      </c>
      <c r="BR62">
        <v>0.63279105717212913</v>
      </c>
      <c r="BS62">
        <v>0.63279105717212913</v>
      </c>
      <c r="BT62">
        <v>0</v>
      </c>
      <c r="BU62">
        <v>0.71389834051934242</v>
      </c>
      <c r="BV62">
        <v>0.67012238282490511</v>
      </c>
      <c r="BW62">
        <v>0</v>
      </c>
      <c r="BX62">
        <v>0</v>
      </c>
      <c r="BY62">
        <v>0</v>
      </c>
      <c r="BZ62">
        <v>0.67012238282490511</v>
      </c>
      <c r="CA62">
        <v>0.74267587616594266</v>
      </c>
      <c r="CB62">
        <v>0.74267587616594266</v>
      </c>
      <c r="CC62">
        <v>0.67012238282490511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7.9480097826489153</v>
      </c>
      <c r="CR62">
        <v>1.6350763021880581E-2</v>
      </c>
      <c r="CS62">
        <v>1.5173047705697291E-2</v>
      </c>
      <c r="CT62">
        <v>1.5173047705697291E-2</v>
      </c>
      <c r="CU62">
        <v>4.0694908756368941E-4</v>
      </c>
      <c r="CV62">
        <v>1.4461234293053011E-2</v>
      </c>
      <c r="CW62">
        <v>1.343896445141217E-5</v>
      </c>
      <c r="CX62">
        <v>7.0491388001949105E-5</v>
      </c>
      <c r="CY62">
        <v>2.8471490753955568E-6</v>
      </c>
      <c r="CZ62">
        <v>2.4484721397031481E-6</v>
      </c>
      <c r="DA62">
        <v>2.9149537399502431E-6</v>
      </c>
      <c r="DB62">
        <v>2.914953739950244E-6</v>
      </c>
      <c r="DC62">
        <v>2.914953739950241E-6</v>
      </c>
      <c r="DD62">
        <v>3.682577111719122E-3</v>
      </c>
      <c r="DE62">
        <v>2.1444198558507731E-4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</row>
    <row r="63" spans="1:117" x14ac:dyDescent="0.25">
      <c r="A63" s="1" t="s">
        <v>283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</row>
    <row r="64" spans="1:117" x14ac:dyDescent="0.25">
      <c r="A64" s="1" t="s">
        <v>284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28.301716982830179</v>
      </c>
      <c r="L64">
        <v>0</v>
      </c>
      <c r="M64">
        <v>0</v>
      </c>
      <c r="N64">
        <v>0</v>
      </c>
      <c r="O64">
        <v>0</v>
      </c>
      <c r="P64">
        <v>0</v>
      </c>
      <c r="Q64">
        <v>0.28951434632742368</v>
      </c>
      <c r="R64">
        <v>0</v>
      </c>
      <c r="S64">
        <v>0</v>
      </c>
      <c r="T64">
        <v>0</v>
      </c>
      <c r="U64">
        <v>6.3415517648336792E-2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6.9772597076112923</v>
      </c>
      <c r="AJ64">
        <v>0</v>
      </c>
      <c r="AK64">
        <v>0</v>
      </c>
      <c r="AL64">
        <v>0</v>
      </c>
      <c r="AM64">
        <v>0</v>
      </c>
      <c r="AN64">
        <v>0.28611352130097112</v>
      </c>
      <c r="AO64">
        <v>6.1365029703601266</v>
      </c>
      <c r="AP64">
        <v>0.32085978073606269</v>
      </c>
      <c r="AQ64">
        <v>0</v>
      </c>
      <c r="AR64">
        <v>0</v>
      </c>
      <c r="AS64">
        <v>2.941908804808739</v>
      </c>
      <c r="AT64">
        <v>0</v>
      </c>
      <c r="AU64">
        <v>0</v>
      </c>
      <c r="AV64">
        <v>0</v>
      </c>
      <c r="AW64">
        <v>28.301716982830179</v>
      </c>
      <c r="AX64">
        <v>0</v>
      </c>
      <c r="AY64">
        <v>0</v>
      </c>
      <c r="AZ64">
        <v>0</v>
      </c>
      <c r="BA64">
        <v>9.3410254677145836</v>
      </c>
      <c r="BB64">
        <v>0</v>
      </c>
      <c r="BC64">
        <v>8.7404182133112212</v>
      </c>
      <c r="BD64">
        <v>8.7404182133112212</v>
      </c>
      <c r="BE64">
        <v>8.7404182133112212</v>
      </c>
      <c r="BF64">
        <v>0</v>
      </c>
      <c r="BG64">
        <v>9.171034067093446</v>
      </c>
      <c r="BH64">
        <v>0</v>
      </c>
      <c r="BI64">
        <v>0</v>
      </c>
      <c r="BJ64">
        <v>0</v>
      </c>
      <c r="BK64">
        <v>6.9772597076112923</v>
      </c>
      <c r="BL64">
        <v>6.1365029703601266</v>
      </c>
      <c r="BM64">
        <v>6.1365029703601266</v>
      </c>
      <c r="BN64">
        <v>0</v>
      </c>
      <c r="BO64">
        <v>0</v>
      </c>
      <c r="BP64">
        <v>0.29455214257728601</v>
      </c>
      <c r="BQ64">
        <v>0</v>
      </c>
      <c r="BR64">
        <v>0.30689329373900159</v>
      </c>
      <c r="BS64">
        <v>0.30689329373900159</v>
      </c>
      <c r="BT64">
        <v>0</v>
      </c>
      <c r="BU64">
        <v>0.30842696303981532</v>
      </c>
      <c r="BV64">
        <v>0.28951434632742368</v>
      </c>
      <c r="BW64">
        <v>0</v>
      </c>
      <c r="BX64">
        <v>0</v>
      </c>
      <c r="BY64">
        <v>0</v>
      </c>
      <c r="BZ64">
        <v>0.28951434632742368</v>
      </c>
      <c r="CA64">
        <v>0.32085978073875282</v>
      </c>
      <c r="CB64">
        <v>0.32085978073875282</v>
      </c>
      <c r="CC64">
        <v>0.28951434632742368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3.4341453414207188</v>
      </c>
      <c r="CR64">
        <v>7.0287333875309246E-3</v>
      </c>
      <c r="CS64">
        <v>6.5224666798068508E-3</v>
      </c>
      <c r="CT64">
        <v>6.5224666798068508E-3</v>
      </c>
      <c r="CU64">
        <v>1.9072275070080439E-3</v>
      </c>
      <c r="CV64">
        <v>6.9529904372871015E-2</v>
      </c>
      <c r="CW64">
        <v>1.76279959176715E-3</v>
      </c>
      <c r="CX64">
        <v>1.783847671191E-3</v>
      </c>
      <c r="CY64">
        <v>1.801241396870192E-3</v>
      </c>
      <c r="CZ64">
        <v>1.7968625955226969E-3</v>
      </c>
      <c r="DA64">
        <v>1.8019861180465059E-3</v>
      </c>
      <c r="DB64">
        <v>1.8019861180465059E-3</v>
      </c>
      <c r="DC64">
        <v>1.801986118046507E-3</v>
      </c>
      <c r="DD64">
        <v>1.903883446758816E-2</v>
      </c>
      <c r="DE64">
        <v>1.0143577300246989E-3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</row>
    <row r="65" spans="1:117" x14ac:dyDescent="0.25">
      <c r="A65" s="1" t="s">
        <v>285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15.787842121578789</v>
      </c>
      <c r="L65">
        <v>0</v>
      </c>
      <c r="M65">
        <v>0</v>
      </c>
      <c r="N65">
        <v>0</v>
      </c>
      <c r="O65">
        <v>0</v>
      </c>
      <c r="P65">
        <v>0</v>
      </c>
      <c r="Q65">
        <v>9.7743785696929472E-2</v>
      </c>
      <c r="R65">
        <v>0</v>
      </c>
      <c r="S65">
        <v>0</v>
      </c>
      <c r="T65">
        <v>0</v>
      </c>
      <c r="U65">
        <v>1.9938589691980549E-2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0.11306942726901061</v>
      </c>
      <c r="AJ65">
        <v>0</v>
      </c>
      <c r="AK65">
        <v>0</v>
      </c>
      <c r="AL65">
        <v>0</v>
      </c>
      <c r="AM65">
        <v>0</v>
      </c>
      <c r="AN65">
        <v>9.2303333948468236E-2</v>
      </c>
      <c r="AO65">
        <v>9.944461083142711E-2</v>
      </c>
      <c r="AP65">
        <v>0.10832640953675179</v>
      </c>
      <c r="AQ65">
        <v>0</v>
      </c>
      <c r="AR65">
        <v>0</v>
      </c>
      <c r="AS65">
        <v>0.99355326669284449</v>
      </c>
      <c r="AT65">
        <v>0</v>
      </c>
      <c r="AU65">
        <v>0</v>
      </c>
      <c r="AV65">
        <v>0</v>
      </c>
      <c r="AW65">
        <v>15.787842121578789</v>
      </c>
      <c r="AX65">
        <v>0</v>
      </c>
      <c r="AY65">
        <v>0</v>
      </c>
      <c r="AZ65">
        <v>0</v>
      </c>
      <c r="BA65">
        <v>5.2108017131042983</v>
      </c>
      <c r="BB65">
        <v>0</v>
      </c>
      <c r="BC65">
        <v>0.1416421522037726</v>
      </c>
      <c r="BD65">
        <v>0.1416421522037726</v>
      </c>
      <c r="BE65">
        <v>0.1416421522037726</v>
      </c>
      <c r="BF65">
        <v>0</v>
      </c>
      <c r="BG65">
        <v>0.148620463174052</v>
      </c>
      <c r="BH65">
        <v>0</v>
      </c>
      <c r="BI65">
        <v>0</v>
      </c>
      <c r="BJ65">
        <v>0</v>
      </c>
      <c r="BK65">
        <v>0.11306942726901061</v>
      </c>
      <c r="BL65">
        <v>9.944461083142711E-2</v>
      </c>
      <c r="BM65">
        <v>9.944461083142711E-2</v>
      </c>
      <c r="BN65">
        <v>0</v>
      </c>
      <c r="BO65">
        <v>0</v>
      </c>
      <c r="BP65">
        <v>9.9444610831427069E-2</v>
      </c>
      <c r="BQ65">
        <v>0</v>
      </c>
      <c r="BR65">
        <v>0.10361114299021661</v>
      </c>
      <c r="BS65">
        <v>0.10361114299021661</v>
      </c>
      <c r="BT65">
        <v>0</v>
      </c>
      <c r="BU65">
        <v>0.1041289295709865</v>
      </c>
      <c r="BV65">
        <v>9.7743785696929472E-2</v>
      </c>
      <c r="BW65">
        <v>0</v>
      </c>
      <c r="BX65">
        <v>0</v>
      </c>
      <c r="BY65">
        <v>0</v>
      </c>
      <c r="BZ65">
        <v>9.7743785696929472E-2</v>
      </c>
      <c r="CA65">
        <v>0.10832640953766</v>
      </c>
      <c r="CB65">
        <v>0.10832640953766</v>
      </c>
      <c r="CC65">
        <v>9.7743785696929472E-2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1.160594810998145</v>
      </c>
      <c r="CR65">
        <v>2.253745456466926E-3</v>
      </c>
      <c r="CS65">
        <v>2.091412326244952E-3</v>
      </c>
      <c r="CT65">
        <v>2.091412326244952E-3</v>
      </c>
      <c r="CU65">
        <v>5.9721449399847883E-4</v>
      </c>
      <c r="CV65">
        <v>2.2474381778334149E-2</v>
      </c>
      <c r="CW65">
        <v>5.5465884588731806E-4</v>
      </c>
      <c r="CX65">
        <v>5.6086283149350304E-4</v>
      </c>
      <c r="CY65">
        <v>5.663316248171725E-4</v>
      </c>
      <c r="CZ65">
        <v>5.6495487782135781E-4</v>
      </c>
      <c r="DA65">
        <v>5.6656577397372115E-4</v>
      </c>
      <c r="DB65">
        <v>5.6656577397372137E-4</v>
      </c>
      <c r="DC65">
        <v>5.6656577397372148E-4</v>
      </c>
      <c r="DD65">
        <v>6.1421350793232606E-3</v>
      </c>
      <c r="DE65">
        <v>3.2724283659138693E-4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</row>
    <row r="66" spans="1:117" x14ac:dyDescent="0.25">
      <c r="A66" s="1" t="s">
        <v>286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0.17616996326927931</v>
      </c>
      <c r="R66">
        <v>0</v>
      </c>
      <c r="S66">
        <v>0</v>
      </c>
      <c r="T66">
        <v>0</v>
      </c>
      <c r="U66">
        <v>3.6054307649722888E-3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8.3294886612864834E-3</v>
      </c>
      <c r="AO66">
        <v>0</v>
      </c>
      <c r="AP66">
        <v>0.1952437124581515</v>
      </c>
      <c r="AQ66">
        <v>0</v>
      </c>
      <c r="AR66">
        <v>0</v>
      </c>
      <c r="AS66">
        <v>6.8107190672286835E-2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0.1899951386359798</v>
      </c>
      <c r="BS66">
        <v>0.1899951386359798</v>
      </c>
      <c r="BT66">
        <v>0</v>
      </c>
      <c r="BU66">
        <v>0.18767832212545801</v>
      </c>
      <c r="BV66">
        <v>0.17616996326927931</v>
      </c>
      <c r="BW66">
        <v>0</v>
      </c>
      <c r="BX66">
        <v>0</v>
      </c>
      <c r="BY66">
        <v>0</v>
      </c>
      <c r="BZ66">
        <v>0.17616996326927931</v>
      </c>
      <c r="CA66">
        <v>0.1952437124597883</v>
      </c>
      <c r="CB66">
        <v>0.1952437124597883</v>
      </c>
      <c r="CC66">
        <v>0.17616996326927931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7.9186647431338519E-2</v>
      </c>
      <c r="CR66">
        <v>0.2069421293283778</v>
      </c>
      <c r="CS66">
        <v>0.1920364692715677</v>
      </c>
      <c r="CT66">
        <v>0.1920364692715677</v>
      </c>
      <c r="CU66">
        <v>1.8285032333445379E-2</v>
      </c>
      <c r="CV66">
        <v>1.8268076971654081E-2</v>
      </c>
      <c r="CW66">
        <v>3.3934156520630678E-4</v>
      </c>
      <c r="CX66">
        <v>2.9411514067052879E-3</v>
      </c>
      <c r="CY66">
        <v>1.187931851755817E-4</v>
      </c>
      <c r="CZ66">
        <v>1.0215896554296131E-4</v>
      </c>
      <c r="DA66">
        <v>1.216222369248632E-4</v>
      </c>
      <c r="DB66">
        <v>1.216222369248633E-4</v>
      </c>
      <c r="DC66">
        <v>1.216222369248632E-4</v>
      </c>
      <c r="DD66">
        <v>4.7399199257375357E-3</v>
      </c>
      <c r="DE66">
        <v>4.4976652256050924E-3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</row>
    <row r="67" spans="1:117" x14ac:dyDescent="0.25">
      <c r="A67" s="1" t="s">
        <v>287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7.6399542786768165E-2</v>
      </c>
      <c r="R67">
        <v>0</v>
      </c>
      <c r="S67">
        <v>0</v>
      </c>
      <c r="T67">
        <v>0</v>
      </c>
      <c r="U67">
        <v>1.5708131344738441E-3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2.1818103791658352E-3</v>
      </c>
      <c r="AO67">
        <v>0</v>
      </c>
      <c r="AP67">
        <v>8.4671246374694351E-2</v>
      </c>
      <c r="AQ67">
        <v>0</v>
      </c>
      <c r="AR67">
        <v>0</v>
      </c>
      <c r="AS67">
        <v>2.8345078528099359E-2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7.7728959912464216E-2</v>
      </c>
      <c r="BQ67">
        <v>0</v>
      </c>
      <c r="BR67">
        <v>8.098564932415625E-2</v>
      </c>
      <c r="BS67">
        <v>8.098564932415625E-2</v>
      </c>
      <c r="BT67">
        <v>0</v>
      </c>
      <c r="BU67">
        <v>8.1390367207240896E-2</v>
      </c>
      <c r="BV67">
        <v>7.6399542786768165E-2</v>
      </c>
      <c r="BW67">
        <v>0</v>
      </c>
      <c r="BX67">
        <v>0</v>
      </c>
      <c r="BY67">
        <v>0</v>
      </c>
      <c r="BZ67">
        <v>7.6399542786768165E-2</v>
      </c>
      <c r="CA67">
        <v>8.4671246375404199E-2</v>
      </c>
      <c r="CB67">
        <v>8.4671246375404199E-2</v>
      </c>
      <c r="CC67">
        <v>7.6399542786768165E-2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3.319429133454415E-2</v>
      </c>
      <c r="CR67">
        <v>8.986006881342655E-2</v>
      </c>
      <c r="CS67">
        <v>8.3387613722906595E-2</v>
      </c>
      <c r="CT67">
        <v>8.3387613722906595E-2</v>
      </c>
      <c r="CU67">
        <v>7.9794769715163024E-3</v>
      </c>
      <c r="CV67">
        <v>7.4357206782124253E-3</v>
      </c>
      <c r="CW67">
        <v>1.456300788893552E-4</v>
      </c>
      <c r="CX67">
        <v>1.281400077076338E-3</v>
      </c>
      <c r="CY67">
        <v>5.1755783905954853E-5</v>
      </c>
      <c r="CZ67">
        <v>4.4508591438831261E-5</v>
      </c>
      <c r="DA67">
        <v>5.2988344433548768E-5</v>
      </c>
      <c r="DB67">
        <v>5.2988344433548782E-5</v>
      </c>
      <c r="DC67">
        <v>5.298834443354887E-5</v>
      </c>
      <c r="DD67">
        <v>1.9319038776677241E-3</v>
      </c>
      <c r="DE67">
        <v>1.9150380564391151E-3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</row>
    <row r="68" spans="1:117" x14ac:dyDescent="0.25">
      <c r="A68" s="1" t="s">
        <v>85</v>
      </c>
      <c r="B68">
        <v>0</v>
      </c>
      <c r="C68">
        <v>100</v>
      </c>
      <c r="D68">
        <v>100</v>
      </c>
      <c r="E68">
        <v>100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100</v>
      </c>
      <c r="BP68">
        <v>0</v>
      </c>
      <c r="BQ68">
        <v>0</v>
      </c>
      <c r="BR68">
        <v>0.51655008411039072</v>
      </c>
      <c r="BS68">
        <v>0.51655008411039072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</row>
    <row r="69" spans="1:117" x14ac:dyDescent="0.25">
      <c r="A69" s="1" t="s">
        <v>288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</row>
    <row r="70" spans="1:117" x14ac:dyDescent="0.25">
      <c r="A70" s="1" t="s">
        <v>289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1.924980750192498</v>
      </c>
      <c r="L70">
        <v>0</v>
      </c>
      <c r="M70">
        <v>0</v>
      </c>
      <c r="N70">
        <v>0</v>
      </c>
      <c r="O70">
        <v>0</v>
      </c>
      <c r="P70">
        <v>0</v>
      </c>
      <c r="Q70">
        <v>3.2544512653543647E-2</v>
      </c>
      <c r="R70">
        <v>0</v>
      </c>
      <c r="S70">
        <v>0</v>
      </c>
      <c r="T70">
        <v>0</v>
      </c>
      <c r="U70">
        <v>1.26863381022656E-3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3.7647297782132501E-2</v>
      </c>
      <c r="AJ70">
        <v>0</v>
      </c>
      <c r="AK70">
        <v>0</v>
      </c>
      <c r="AL70">
        <v>0</v>
      </c>
      <c r="AM70">
        <v>0</v>
      </c>
      <c r="AN70">
        <v>4.2399563060790207E-2</v>
      </c>
      <c r="AO70">
        <v>3.311081489686736E-2</v>
      </c>
      <c r="AP70">
        <v>3.6068075128713968E-2</v>
      </c>
      <c r="AQ70">
        <v>0</v>
      </c>
      <c r="AR70">
        <v>0</v>
      </c>
      <c r="AS70">
        <v>0.3320037385462995</v>
      </c>
      <c r="AT70">
        <v>0</v>
      </c>
      <c r="AU70">
        <v>0</v>
      </c>
      <c r="AV70">
        <v>0</v>
      </c>
      <c r="AW70">
        <v>1.924980750192498</v>
      </c>
      <c r="AX70">
        <v>0</v>
      </c>
      <c r="AY70">
        <v>0</v>
      </c>
      <c r="AZ70">
        <v>0</v>
      </c>
      <c r="BA70">
        <v>0.63534287419089019</v>
      </c>
      <c r="BB70">
        <v>0</v>
      </c>
      <c r="BC70">
        <v>4.7160796789310767E-2</v>
      </c>
      <c r="BD70">
        <v>4.7160796789310767E-2</v>
      </c>
      <c r="BE70">
        <v>4.7160796789310767E-2</v>
      </c>
      <c r="BF70">
        <v>0</v>
      </c>
      <c r="BG70">
        <v>4.9484276773775447E-2</v>
      </c>
      <c r="BH70">
        <v>0</v>
      </c>
      <c r="BI70">
        <v>0</v>
      </c>
      <c r="BJ70">
        <v>0</v>
      </c>
      <c r="BK70">
        <v>3.7647297782132501E-2</v>
      </c>
      <c r="BL70">
        <v>3.311081489686736E-2</v>
      </c>
      <c r="BM70">
        <v>3.311081489686736E-2</v>
      </c>
      <c r="BN70">
        <v>0</v>
      </c>
      <c r="BO70">
        <v>0</v>
      </c>
      <c r="BP70">
        <v>3.3110814896867347E-2</v>
      </c>
      <c r="BQ70">
        <v>0</v>
      </c>
      <c r="BR70">
        <v>3.4498092436777303E-2</v>
      </c>
      <c r="BS70">
        <v>3.4498092436777303E-2</v>
      </c>
      <c r="BT70">
        <v>0</v>
      </c>
      <c r="BU70">
        <v>3.4670493288755252E-2</v>
      </c>
      <c r="BV70">
        <v>3.2544512653543647E-2</v>
      </c>
      <c r="BW70">
        <v>0</v>
      </c>
      <c r="BX70">
        <v>0</v>
      </c>
      <c r="BY70">
        <v>0</v>
      </c>
      <c r="BZ70">
        <v>3.2544512653543647E-2</v>
      </c>
      <c r="CA70">
        <v>3.6068075129016351E-2</v>
      </c>
      <c r="CB70">
        <v>3.6068075129016351E-2</v>
      </c>
      <c r="CC70">
        <v>3.2544512653543647E-2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0.38568022378392292</v>
      </c>
      <c r="CR70">
        <v>8.2583828388211971E-4</v>
      </c>
      <c r="CS70">
        <v>7.6635467481036223E-4</v>
      </c>
      <c r="CT70">
        <v>7.6635467481036223E-4</v>
      </c>
      <c r="CU70">
        <v>0</v>
      </c>
      <c r="CV70">
        <v>1.098036149904694E-2</v>
      </c>
      <c r="CW70">
        <v>4.1734147107149477E-5</v>
      </c>
      <c r="CX70">
        <v>3.5686052119234997E-5</v>
      </c>
      <c r="CY70">
        <v>3.6034015351275373E-5</v>
      </c>
      <c r="CZ70">
        <v>3.5946416989806458E-5</v>
      </c>
      <c r="DA70">
        <v>3.6048913573327297E-5</v>
      </c>
      <c r="DB70">
        <v>3.6048913573327317E-5</v>
      </c>
      <c r="DC70">
        <v>3.6048913573327317E-5</v>
      </c>
      <c r="DD70">
        <v>2.8213915194986298E-3</v>
      </c>
      <c r="DE70">
        <v>1.5031909133417199E-4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</row>
    <row r="71" spans="1:117" x14ac:dyDescent="0.25">
      <c r="A71" s="1" t="s">
        <v>290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0.48499515004849958</v>
      </c>
      <c r="L71">
        <v>0</v>
      </c>
      <c r="M71">
        <v>0</v>
      </c>
      <c r="N71">
        <v>0</v>
      </c>
      <c r="O71">
        <v>0</v>
      </c>
      <c r="P71">
        <v>0</v>
      </c>
      <c r="Q71">
        <v>0.1147933719052267</v>
      </c>
      <c r="R71">
        <v>0</v>
      </c>
      <c r="S71">
        <v>0</v>
      </c>
      <c r="T71">
        <v>0</v>
      </c>
      <c r="U71">
        <v>4.4748174397082029E-3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0.1327922867224311</v>
      </c>
      <c r="AJ71">
        <v>0</v>
      </c>
      <c r="AK71">
        <v>0</v>
      </c>
      <c r="AL71">
        <v>0</v>
      </c>
      <c r="AM71">
        <v>0</v>
      </c>
      <c r="AN71">
        <v>0.14955482243260459</v>
      </c>
      <c r="AO71">
        <v>0.11679087436349581</v>
      </c>
      <c r="AP71">
        <v>0.12722193772673659</v>
      </c>
      <c r="AQ71">
        <v>0</v>
      </c>
      <c r="AR71">
        <v>0</v>
      </c>
      <c r="AS71">
        <v>1.1710677323269481</v>
      </c>
      <c r="AT71">
        <v>0</v>
      </c>
      <c r="AU71">
        <v>0</v>
      </c>
      <c r="AV71">
        <v>0</v>
      </c>
      <c r="AW71">
        <v>0.48499515004849958</v>
      </c>
      <c r="AX71">
        <v>0</v>
      </c>
      <c r="AY71">
        <v>0</v>
      </c>
      <c r="AZ71">
        <v>0</v>
      </c>
      <c r="BA71">
        <v>0.16007339947147109</v>
      </c>
      <c r="BB71">
        <v>0</v>
      </c>
      <c r="BC71">
        <v>0.16634899231138719</v>
      </c>
      <c r="BD71">
        <v>0.16634899231138719</v>
      </c>
      <c r="BE71">
        <v>0.16634899231138719</v>
      </c>
      <c r="BF71">
        <v>0</v>
      </c>
      <c r="BG71">
        <v>0.17454453989295349</v>
      </c>
      <c r="BH71">
        <v>0</v>
      </c>
      <c r="BI71">
        <v>0</v>
      </c>
      <c r="BJ71">
        <v>0</v>
      </c>
      <c r="BK71">
        <v>0.1327922867224311</v>
      </c>
      <c r="BL71">
        <v>0.11679087436349581</v>
      </c>
      <c r="BM71">
        <v>0.11679087436349581</v>
      </c>
      <c r="BN71">
        <v>0</v>
      </c>
      <c r="BO71">
        <v>0</v>
      </c>
      <c r="BP71">
        <v>0.11679087436349581</v>
      </c>
      <c r="BQ71">
        <v>0</v>
      </c>
      <c r="BR71">
        <v>0.1216841805951782</v>
      </c>
      <c r="BS71">
        <v>0.1216841805951782</v>
      </c>
      <c r="BT71">
        <v>0</v>
      </c>
      <c r="BU71">
        <v>0.1222922854185186</v>
      </c>
      <c r="BV71">
        <v>0.1147933719052267</v>
      </c>
      <c r="BW71">
        <v>0</v>
      </c>
      <c r="BX71">
        <v>0</v>
      </c>
      <c r="BY71">
        <v>0</v>
      </c>
      <c r="BZ71">
        <v>0.1147933719052267</v>
      </c>
      <c r="CA71">
        <v>0.12722193772780321</v>
      </c>
      <c r="CB71">
        <v>0.12722193772780321</v>
      </c>
      <c r="CC71">
        <v>0.1147933719052267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1.360399334801474</v>
      </c>
      <c r="CR71">
        <v>2.9129568558750969E-3</v>
      </c>
      <c r="CS71">
        <v>2.703141943876536E-3</v>
      </c>
      <c r="CT71">
        <v>2.703141943876536E-3</v>
      </c>
      <c r="CU71">
        <v>0</v>
      </c>
      <c r="CV71">
        <v>3.8730729651183543E-2</v>
      </c>
      <c r="CW71">
        <v>1.4720771888703549E-4</v>
      </c>
      <c r="CX71">
        <v>1.2587443838421E-4</v>
      </c>
      <c r="CY71">
        <v>1.2710179960267971E-4</v>
      </c>
      <c r="CZ71">
        <v>1.2679281629131661E-4</v>
      </c>
      <c r="DA71">
        <v>1.2715434969500831E-4</v>
      </c>
      <c r="DB71">
        <v>1.2715434969500839E-4</v>
      </c>
      <c r="DC71">
        <v>1.2715434969500839E-4</v>
      </c>
      <c r="DD71">
        <v>9.9518173596860222E-3</v>
      </c>
      <c r="DE71">
        <v>5.3021643125144018E-4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</row>
    <row r="72" spans="1:117" x14ac:dyDescent="0.25">
      <c r="A72" s="1" t="s">
        <v>291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0.11599884001159989</v>
      </c>
      <c r="L72">
        <v>0</v>
      </c>
      <c r="M72">
        <v>0</v>
      </c>
      <c r="N72">
        <v>0</v>
      </c>
      <c r="O72">
        <v>0</v>
      </c>
      <c r="P72">
        <v>0</v>
      </c>
      <c r="Q72">
        <v>2.687568358646545E-2</v>
      </c>
      <c r="R72">
        <v>0</v>
      </c>
      <c r="S72">
        <v>0</v>
      </c>
      <c r="T72">
        <v>0</v>
      </c>
      <c r="U72">
        <v>1.047654369070061E-3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3.1089630188942629E-2</v>
      </c>
      <c r="AJ72">
        <v>0</v>
      </c>
      <c r="AK72">
        <v>0</v>
      </c>
      <c r="AL72">
        <v>0</v>
      </c>
      <c r="AM72">
        <v>0</v>
      </c>
      <c r="AN72">
        <v>3.5014112921494409E-2</v>
      </c>
      <c r="AO72">
        <v>2.734334337501099E-2</v>
      </c>
      <c r="AP72">
        <v>2.9785487496818659E-2</v>
      </c>
      <c r="AQ72">
        <v>0</v>
      </c>
      <c r="AR72">
        <v>0</v>
      </c>
      <c r="AS72">
        <v>0.27417302331987381</v>
      </c>
      <c r="AT72">
        <v>0</v>
      </c>
      <c r="AU72">
        <v>0</v>
      </c>
      <c r="AV72">
        <v>0</v>
      </c>
      <c r="AW72">
        <v>0.11599884001159989</v>
      </c>
      <c r="AX72">
        <v>0</v>
      </c>
      <c r="AY72">
        <v>0</v>
      </c>
      <c r="AZ72">
        <v>0</v>
      </c>
      <c r="BA72">
        <v>3.8285596574619878E-2</v>
      </c>
      <c r="BB72">
        <v>0</v>
      </c>
      <c r="BC72">
        <v>3.8946001917072849E-2</v>
      </c>
      <c r="BD72">
        <v>3.8946001917072849E-2</v>
      </c>
      <c r="BE72">
        <v>3.8946001917072849E-2</v>
      </c>
      <c r="BF72">
        <v>0</v>
      </c>
      <c r="BG72">
        <v>4.0864762033308882E-2</v>
      </c>
      <c r="BH72">
        <v>0</v>
      </c>
      <c r="BI72">
        <v>0</v>
      </c>
      <c r="BJ72">
        <v>0</v>
      </c>
      <c r="BK72">
        <v>3.1089630188942629E-2</v>
      </c>
      <c r="BL72">
        <v>2.734334337501099E-2</v>
      </c>
      <c r="BM72">
        <v>2.734334337501099E-2</v>
      </c>
      <c r="BN72">
        <v>0</v>
      </c>
      <c r="BO72">
        <v>0</v>
      </c>
      <c r="BP72">
        <v>2.734334337501098E-2</v>
      </c>
      <c r="BQ72">
        <v>0</v>
      </c>
      <c r="BR72">
        <v>2.848897528556198E-2</v>
      </c>
      <c r="BS72">
        <v>2.848897528556198E-2</v>
      </c>
      <c r="BT72">
        <v>0</v>
      </c>
      <c r="BU72">
        <v>2.8631346160711391E-2</v>
      </c>
      <c r="BV72">
        <v>2.687568358646545E-2</v>
      </c>
      <c r="BW72">
        <v>0</v>
      </c>
      <c r="BX72">
        <v>0</v>
      </c>
      <c r="BY72">
        <v>0</v>
      </c>
      <c r="BZ72">
        <v>2.687568358646545E-2</v>
      </c>
      <c r="CA72">
        <v>2.9785487497068368E-2</v>
      </c>
      <c r="CB72">
        <v>2.9785487497068368E-2</v>
      </c>
      <c r="CC72">
        <v>2.687568358646545E-2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0.31849976585362239</v>
      </c>
      <c r="CR72">
        <v>6.8198804042587675E-4</v>
      </c>
      <c r="CS72">
        <v>6.3286569918782215E-4</v>
      </c>
      <c r="CT72">
        <v>6.3286569918782215E-4</v>
      </c>
      <c r="CU72">
        <v>0</v>
      </c>
      <c r="CV72">
        <v>9.067725931402414E-3</v>
      </c>
      <c r="CW72">
        <v>3.4464603736526241E-5</v>
      </c>
      <c r="CX72">
        <v>2.947000790630178E-5</v>
      </c>
      <c r="CY72">
        <v>2.9757360487782891E-5</v>
      </c>
      <c r="CZ72">
        <v>2.968502061683157E-5</v>
      </c>
      <c r="DA72">
        <v>2.9769663634126841E-5</v>
      </c>
      <c r="DB72">
        <v>2.9769663634126851E-5</v>
      </c>
      <c r="DC72">
        <v>2.9769663634126862E-5</v>
      </c>
      <c r="DD72">
        <v>2.3299419646809591E-3</v>
      </c>
      <c r="DE72">
        <v>1.2413546881803739E-4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</row>
    <row r="73" spans="1:117" x14ac:dyDescent="0.25">
      <c r="A73" s="1" t="s">
        <v>292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6.9188234271191167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15.17186489421834</v>
      </c>
      <c r="AO73">
        <v>0</v>
      </c>
      <c r="AP73">
        <v>0</v>
      </c>
      <c r="AQ73">
        <v>0</v>
      </c>
      <c r="AR73">
        <v>0</v>
      </c>
      <c r="AS73">
        <v>2.3723223449472042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9.0154606781830723E-2</v>
      </c>
      <c r="CV73">
        <v>3.2832286757541689</v>
      </c>
      <c r="CW73">
        <v>0.22445735740461459</v>
      </c>
      <c r="CX73">
        <v>0.20499981908415671</v>
      </c>
      <c r="CY73">
        <v>0.2279641813011575</v>
      </c>
      <c r="CZ73">
        <v>0.1960431055716938</v>
      </c>
      <c r="DA73">
        <v>0.2333931330119004</v>
      </c>
      <c r="DB73">
        <v>0.23339313301190051</v>
      </c>
      <c r="DC73">
        <v>0.2333931330119004</v>
      </c>
      <c r="DD73">
        <v>1.0095804734155871</v>
      </c>
      <c r="DE73">
        <v>5.3788784131428291E-2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</row>
    <row r="74" spans="1:117" x14ac:dyDescent="0.25">
      <c r="A74" s="1" t="s">
        <v>293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0.14475717316371189</v>
      </c>
      <c r="R74">
        <v>0</v>
      </c>
      <c r="S74">
        <v>0</v>
      </c>
      <c r="T74">
        <v>0</v>
      </c>
      <c r="U74">
        <v>3.445915073937455E-3</v>
      </c>
      <c r="V74">
        <v>0</v>
      </c>
      <c r="W74">
        <v>5.0000000000000009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3.8462366193386288E-3</v>
      </c>
      <c r="AO74">
        <v>0.14727607128864301</v>
      </c>
      <c r="AP74">
        <v>0.1604298903680314</v>
      </c>
      <c r="AQ74">
        <v>0</v>
      </c>
      <c r="AR74">
        <v>0</v>
      </c>
      <c r="AS74">
        <v>5.5686385703650268E-2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0.14727607128864301</v>
      </c>
      <c r="BM74">
        <v>0.14727607128864301</v>
      </c>
      <c r="BN74">
        <v>0</v>
      </c>
      <c r="BO74">
        <v>0</v>
      </c>
      <c r="BP74">
        <v>0.14727607128864301</v>
      </c>
      <c r="BQ74">
        <v>0</v>
      </c>
      <c r="BR74">
        <v>0.1534466468695008</v>
      </c>
      <c r="BS74">
        <v>0.1534466468695008</v>
      </c>
      <c r="BT74">
        <v>0</v>
      </c>
      <c r="BU74">
        <v>0.15421348151990771</v>
      </c>
      <c r="BV74">
        <v>0.14475717316371189</v>
      </c>
      <c r="BW74">
        <v>0</v>
      </c>
      <c r="BX74">
        <v>0</v>
      </c>
      <c r="BY74">
        <v>0</v>
      </c>
      <c r="BZ74">
        <v>0.14475717316371189</v>
      </c>
      <c r="CA74">
        <v>0.16042989036937641</v>
      </c>
      <c r="CB74">
        <v>0.16042989036937641</v>
      </c>
      <c r="CC74">
        <v>0.14475717316371189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6.5294662215462804E-2</v>
      </c>
      <c r="CR74">
        <v>0.17001940940144861</v>
      </c>
      <c r="CS74">
        <v>0.15777322479021241</v>
      </c>
      <c r="CT74">
        <v>0.15777322479021241</v>
      </c>
      <c r="CU74">
        <v>1.5070129501341669E-2</v>
      </c>
      <c r="CV74">
        <v>1.4412562103194139E-2</v>
      </c>
      <c r="CW74">
        <v>2.7881760426015618E-4</v>
      </c>
      <c r="CX74">
        <v>2.4232978802809228E-3</v>
      </c>
      <c r="CY74">
        <v>9.7877067182434961E-5</v>
      </c>
      <c r="CZ74">
        <v>9.763912892806666E-5</v>
      </c>
      <c r="DA74">
        <v>9.7917534342879383E-5</v>
      </c>
      <c r="DB74">
        <v>9.791753434287941E-5</v>
      </c>
      <c r="DC74">
        <v>9.7917534342879491E-5</v>
      </c>
      <c r="DD74">
        <v>3.7410142656277368E-3</v>
      </c>
      <c r="DE74">
        <v>3.733912964155775E-3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</row>
    <row r="77" spans="1:117" x14ac:dyDescent="0.25">
      <c r="B77" s="1" t="s">
        <v>294</v>
      </c>
      <c r="C77" s="1" t="s">
        <v>295</v>
      </c>
      <c r="D77" s="1" t="s">
        <v>296</v>
      </c>
      <c r="E77" s="1" t="s">
        <v>297</v>
      </c>
      <c r="F77" s="1" t="s">
        <v>298</v>
      </c>
    </row>
    <row r="78" spans="1:117" x14ac:dyDescent="0.25">
      <c r="A78" s="1" t="s">
        <v>200</v>
      </c>
      <c r="B78" t="s">
        <v>22</v>
      </c>
      <c r="C78" t="s">
        <v>201</v>
      </c>
      <c r="D78" t="s">
        <v>22</v>
      </c>
      <c r="E78" t="s">
        <v>201</v>
      </c>
      <c r="F78" t="s">
        <v>201</v>
      </c>
    </row>
    <row r="79" spans="1:117" x14ac:dyDescent="0.25">
      <c r="A79" s="1" t="s">
        <v>223</v>
      </c>
      <c r="B79" t="s">
        <v>201</v>
      </c>
      <c r="C79" t="s">
        <v>22</v>
      </c>
      <c r="D79" t="s">
        <v>201</v>
      </c>
      <c r="E79" t="s">
        <v>22</v>
      </c>
      <c r="F79" t="s">
        <v>18</v>
      </c>
    </row>
    <row r="80" spans="1:117" x14ac:dyDescent="0.25">
      <c r="A80" s="1" t="s">
        <v>224</v>
      </c>
      <c r="B80" t="s">
        <v>225</v>
      </c>
      <c r="C80" t="s">
        <v>225</v>
      </c>
      <c r="D80" t="s">
        <v>226</v>
      </c>
      <c r="E80" t="s">
        <v>225</v>
      </c>
      <c r="F80" t="s">
        <v>225</v>
      </c>
    </row>
    <row r="81" spans="1:6" x14ac:dyDescent="0.25">
      <c r="A81" s="1" t="s">
        <v>227</v>
      </c>
      <c r="B81">
        <v>324.81700000000001</v>
      </c>
      <c r="C81">
        <v>305.37200000000001</v>
      </c>
      <c r="D81">
        <v>324.81700000000001</v>
      </c>
      <c r="E81">
        <v>305.37200000000001</v>
      </c>
      <c r="F81">
        <v>300.14999999999998</v>
      </c>
    </row>
    <row r="82" spans="1:6" x14ac:dyDescent="0.25">
      <c r="A82" s="1" t="s">
        <v>228</v>
      </c>
      <c r="B82">
        <v>3686.7264005251782</v>
      </c>
      <c r="C82">
        <v>0.93020187724611791</v>
      </c>
      <c r="D82">
        <v>36867.264005251782</v>
      </c>
      <c r="E82">
        <v>40553.990405776953</v>
      </c>
      <c r="F82">
        <v>538442.42478392599</v>
      </c>
    </row>
    <row r="83" spans="1:6" x14ac:dyDescent="0.25">
      <c r="A83" s="1" t="s">
        <v>229</v>
      </c>
    </row>
    <row r="84" spans="1:6" x14ac:dyDescent="0.25">
      <c r="A84" s="1" t="s">
        <v>230</v>
      </c>
      <c r="B84">
        <v>100</v>
      </c>
      <c r="C84">
        <v>100</v>
      </c>
      <c r="D84">
        <v>100</v>
      </c>
      <c r="E84">
        <v>100</v>
      </c>
      <c r="F84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197"/>
  <sheetViews>
    <sheetView topLeftCell="A178" zoomScale="145" zoomScaleNormal="145" workbookViewId="0">
      <selection activeCell="B103" sqref="B103"/>
    </sheetView>
  </sheetViews>
  <sheetFormatPr defaultRowHeight="15" x14ac:dyDescent="0.25"/>
  <cols>
    <col min="1" max="1" width="39.140625" bestFit="1" customWidth="1"/>
    <col min="2" max="2" width="92.85546875" bestFit="1" customWidth="1"/>
    <col min="3" max="3" width="18.5703125" bestFit="1" customWidth="1"/>
    <col min="4" max="4" width="14.5703125" bestFit="1" customWidth="1"/>
  </cols>
  <sheetData>
    <row r="2" spans="1:4" x14ac:dyDescent="0.25">
      <c r="A2" s="1" t="s">
        <v>449</v>
      </c>
      <c r="B2" s="1" t="s">
        <v>450</v>
      </c>
      <c r="C2" s="1" t="s">
        <v>451</v>
      </c>
      <c r="D2" s="1" t="s">
        <v>452</v>
      </c>
    </row>
    <row r="3" spans="1:4" x14ac:dyDescent="0.25">
      <c r="A3" s="1">
        <v>0</v>
      </c>
      <c r="B3" t="s">
        <v>453</v>
      </c>
      <c r="C3" t="s">
        <v>231</v>
      </c>
      <c r="D3">
        <v>96</v>
      </c>
    </row>
    <row r="4" spans="1:4" x14ac:dyDescent="0.25">
      <c r="A4" s="1">
        <v>1</v>
      </c>
      <c r="B4" t="s">
        <v>454</v>
      </c>
      <c r="C4" t="s">
        <v>232</v>
      </c>
      <c r="D4">
        <v>96</v>
      </c>
    </row>
    <row r="5" spans="1:4" x14ac:dyDescent="0.25">
      <c r="A5" s="1">
        <v>2</v>
      </c>
      <c r="B5" t="s">
        <v>455</v>
      </c>
      <c r="C5" t="s">
        <v>233</v>
      </c>
      <c r="D5">
        <v>96</v>
      </c>
    </row>
    <row r="6" spans="1:4" x14ac:dyDescent="0.25">
      <c r="A6" s="1">
        <v>3</v>
      </c>
      <c r="B6" t="s">
        <v>456</v>
      </c>
      <c r="C6" t="s">
        <v>234</v>
      </c>
      <c r="D6">
        <v>96</v>
      </c>
    </row>
    <row r="7" spans="1:4" x14ac:dyDescent="0.25">
      <c r="A7" s="1">
        <v>4</v>
      </c>
      <c r="B7" t="s">
        <v>457</v>
      </c>
      <c r="C7" t="s">
        <v>237</v>
      </c>
      <c r="D7">
        <v>96</v>
      </c>
    </row>
    <row r="8" spans="1:4" x14ac:dyDescent="0.25">
      <c r="A8" s="1">
        <v>5</v>
      </c>
      <c r="B8" t="s">
        <v>458</v>
      </c>
      <c r="C8" t="s">
        <v>238</v>
      </c>
      <c r="D8">
        <v>96</v>
      </c>
    </row>
    <row r="9" spans="1:4" x14ac:dyDescent="0.25">
      <c r="A9" s="1">
        <v>6</v>
      </c>
      <c r="B9" t="s">
        <v>459</v>
      </c>
      <c r="C9" t="s">
        <v>243</v>
      </c>
      <c r="D9">
        <v>96</v>
      </c>
    </row>
    <row r="10" spans="1:4" x14ac:dyDescent="0.25">
      <c r="A10" s="1">
        <v>7</v>
      </c>
      <c r="B10" t="s">
        <v>460</v>
      </c>
      <c r="C10" t="s">
        <v>244</v>
      </c>
      <c r="D10">
        <v>96</v>
      </c>
    </row>
    <row r="11" spans="1:4" x14ac:dyDescent="0.25">
      <c r="A11" s="1">
        <v>8</v>
      </c>
      <c r="B11" t="s">
        <v>461</v>
      </c>
      <c r="C11" t="s">
        <v>247</v>
      </c>
      <c r="D11">
        <v>96</v>
      </c>
    </row>
    <row r="12" spans="1:4" x14ac:dyDescent="0.25">
      <c r="A12" s="1">
        <v>9</v>
      </c>
      <c r="B12" t="s">
        <v>462</v>
      </c>
      <c r="C12" t="s">
        <v>248</v>
      </c>
      <c r="D12">
        <v>96</v>
      </c>
    </row>
    <row r="13" spans="1:4" x14ac:dyDescent="0.25">
      <c r="A13" s="1">
        <v>10</v>
      </c>
      <c r="B13" t="s">
        <v>463</v>
      </c>
      <c r="C13" t="s">
        <v>258</v>
      </c>
      <c r="D13">
        <v>96</v>
      </c>
    </row>
    <row r="14" spans="1:4" x14ac:dyDescent="0.25">
      <c r="A14" s="1">
        <v>11</v>
      </c>
      <c r="B14" t="s">
        <v>464</v>
      </c>
      <c r="C14" t="s">
        <v>259</v>
      </c>
      <c r="D14">
        <v>96</v>
      </c>
    </row>
    <row r="15" spans="1:4" x14ac:dyDescent="0.25">
      <c r="A15" s="1">
        <v>12</v>
      </c>
      <c r="B15" t="s">
        <v>465</v>
      </c>
      <c r="C15" t="s">
        <v>260</v>
      </c>
      <c r="D15">
        <v>96</v>
      </c>
    </row>
    <row r="16" spans="1:4" x14ac:dyDescent="0.25">
      <c r="A16" s="1">
        <v>13</v>
      </c>
      <c r="B16" t="s">
        <v>466</v>
      </c>
      <c r="C16" t="s">
        <v>262</v>
      </c>
      <c r="D16">
        <v>96</v>
      </c>
    </row>
    <row r="17" spans="1:4" x14ac:dyDescent="0.25">
      <c r="A17" s="1">
        <v>14</v>
      </c>
      <c r="B17" t="s">
        <v>467</v>
      </c>
      <c r="C17" t="s">
        <v>263</v>
      </c>
      <c r="D17">
        <v>96</v>
      </c>
    </row>
    <row r="18" spans="1:4" x14ac:dyDescent="0.25">
      <c r="A18" s="1">
        <v>15</v>
      </c>
      <c r="B18" t="s">
        <v>468</v>
      </c>
      <c r="C18" t="s">
        <v>264</v>
      </c>
      <c r="D18">
        <v>96</v>
      </c>
    </row>
    <row r="19" spans="1:4" x14ac:dyDescent="0.25">
      <c r="A19" s="1">
        <v>16</v>
      </c>
      <c r="B19" t="s">
        <v>469</v>
      </c>
      <c r="C19" t="s">
        <v>266</v>
      </c>
      <c r="D19">
        <v>96</v>
      </c>
    </row>
    <row r="20" spans="1:4" x14ac:dyDescent="0.25">
      <c r="A20" s="1">
        <v>17</v>
      </c>
      <c r="B20" t="s">
        <v>470</v>
      </c>
      <c r="C20" t="s">
        <v>272</v>
      </c>
      <c r="D20">
        <v>96</v>
      </c>
    </row>
    <row r="21" spans="1:4" x14ac:dyDescent="0.25">
      <c r="A21" s="1">
        <v>18</v>
      </c>
      <c r="B21" t="s">
        <v>471</v>
      </c>
      <c r="C21" t="s">
        <v>273</v>
      </c>
      <c r="D21">
        <v>96</v>
      </c>
    </row>
    <row r="22" spans="1:4" x14ac:dyDescent="0.25">
      <c r="A22" s="1">
        <v>19</v>
      </c>
      <c r="B22" t="s">
        <v>472</v>
      </c>
      <c r="C22" t="s">
        <v>274</v>
      </c>
      <c r="D22">
        <v>96</v>
      </c>
    </row>
    <row r="23" spans="1:4" x14ac:dyDescent="0.25">
      <c r="A23" s="1">
        <v>20</v>
      </c>
      <c r="B23" t="s">
        <v>473</v>
      </c>
      <c r="C23" t="s">
        <v>275</v>
      </c>
      <c r="D23">
        <v>96</v>
      </c>
    </row>
    <row r="24" spans="1:4" x14ac:dyDescent="0.25">
      <c r="A24" s="1">
        <v>21</v>
      </c>
      <c r="B24" t="s">
        <v>474</v>
      </c>
      <c r="C24" t="s">
        <v>276</v>
      </c>
      <c r="D24">
        <v>96</v>
      </c>
    </row>
    <row r="25" spans="1:4" x14ac:dyDescent="0.25">
      <c r="A25" s="1">
        <v>22</v>
      </c>
      <c r="B25" t="s">
        <v>475</v>
      </c>
      <c r="C25" t="s">
        <v>277</v>
      </c>
      <c r="D25">
        <v>96</v>
      </c>
    </row>
    <row r="26" spans="1:4" x14ac:dyDescent="0.25">
      <c r="A26" s="1">
        <v>23</v>
      </c>
      <c r="B26" t="s">
        <v>476</v>
      </c>
      <c r="C26" t="s">
        <v>278</v>
      </c>
      <c r="D26">
        <v>96</v>
      </c>
    </row>
    <row r="27" spans="1:4" x14ac:dyDescent="0.25">
      <c r="A27" s="1">
        <v>24</v>
      </c>
      <c r="B27" t="s">
        <v>477</v>
      </c>
      <c r="C27" t="s">
        <v>279</v>
      </c>
      <c r="D27">
        <v>96</v>
      </c>
    </row>
    <row r="28" spans="1:4" x14ac:dyDescent="0.25">
      <c r="A28" s="1">
        <v>25</v>
      </c>
      <c r="B28" t="s">
        <v>478</v>
      </c>
      <c r="C28" t="s">
        <v>282</v>
      </c>
      <c r="D28">
        <v>96</v>
      </c>
    </row>
    <row r="29" spans="1:4" x14ac:dyDescent="0.25">
      <c r="A29" s="1">
        <v>26</v>
      </c>
      <c r="B29" t="s">
        <v>479</v>
      </c>
      <c r="C29" t="s">
        <v>283</v>
      </c>
      <c r="D29">
        <v>96</v>
      </c>
    </row>
    <row r="30" spans="1:4" x14ac:dyDescent="0.25">
      <c r="A30" s="1">
        <v>27</v>
      </c>
      <c r="B30" t="s">
        <v>480</v>
      </c>
      <c r="C30" t="s">
        <v>286</v>
      </c>
      <c r="D30">
        <v>96</v>
      </c>
    </row>
    <row r="31" spans="1:4" x14ac:dyDescent="0.25">
      <c r="A31" s="1">
        <v>28</v>
      </c>
      <c r="B31" t="s">
        <v>481</v>
      </c>
      <c r="C31" t="s">
        <v>287</v>
      </c>
      <c r="D31">
        <v>96</v>
      </c>
    </row>
    <row r="32" spans="1:4" x14ac:dyDescent="0.25">
      <c r="A32" s="1">
        <v>29</v>
      </c>
      <c r="B32" t="s">
        <v>482</v>
      </c>
      <c r="C32" t="s">
        <v>85</v>
      </c>
      <c r="D32">
        <v>96</v>
      </c>
    </row>
    <row r="33" spans="1:4" x14ac:dyDescent="0.25">
      <c r="A33" s="1">
        <v>30</v>
      </c>
      <c r="B33" t="s">
        <v>483</v>
      </c>
      <c r="C33" t="s">
        <v>288</v>
      </c>
      <c r="D33">
        <v>96</v>
      </c>
    </row>
    <row r="34" spans="1:4" x14ac:dyDescent="0.25">
      <c r="A34" s="1">
        <v>31</v>
      </c>
      <c r="B34" t="s">
        <v>484</v>
      </c>
      <c r="C34" t="s">
        <v>293</v>
      </c>
      <c r="D34">
        <v>96</v>
      </c>
    </row>
    <row r="37" spans="1:4" x14ac:dyDescent="0.25">
      <c r="A37" s="1" t="s">
        <v>485</v>
      </c>
      <c r="B37" s="1" t="s">
        <v>450</v>
      </c>
      <c r="C37" s="1" t="s">
        <v>451</v>
      </c>
      <c r="D37" s="1" t="s">
        <v>452</v>
      </c>
    </row>
    <row r="38" spans="1:4" x14ac:dyDescent="0.25">
      <c r="A38" s="1">
        <v>0</v>
      </c>
      <c r="B38" t="s">
        <v>486</v>
      </c>
      <c r="C38" t="s">
        <v>231</v>
      </c>
      <c r="D38">
        <v>91</v>
      </c>
    </row>
    <row r="39" spans="1:4" x14ac:dyDescent="0.25">
      <c r="A39" s="1">
        <v>1</v>
      </c>
      <c r="B39" t="s">
        <v>487</v>
      </c>
      <c r="C39" t="s">
        <v>232</v>
      </c>
      <c r="D39">
        <v>91</v>
      </c>
    </row>
    <row r="40" spans="1:4" x14ac:dyDescent="0.25">
      <c r="A40" s="1">
        <v>2</v>
      </c>
      <c r="B40" t="s">
        <v>488</v>
      </c>
      <c r="C40" t="s">
        <v>233</v>
      </c>
      <c r="D40">
        <v>91</v>
      </c>
    </row>
    <row r="41" spans="1:4" x14ac:dyDescent="0.25">
      <c r="A41" s="1">
        <v>3</v>
      </c>
      <c r="B41" t="s">
        <v>489</v>
      </c>
      <c r="C41" t="s">
        <v>234</v>
      </c>
      <c r="D41">
        <v>91</v>
      </c>
    </row>
    <row r="42" spans="1:4" x14ac:dyDescent="0.25">
      <c r="A42" s="1">
        <v>4</v>
      </c>
      <c r="B42" t="s">
        <v>490</v>
      </c>
      <c r="C42" t="s">
        <v>237</v>
      </c>
      <c r="D42">
        <v>91</v>
      </c>
    </row>
    <row r="43" spans="1:4" x14ac:dyDescent="0.25">
      <c r="A43" s="1">
        <v>5</v>
      </c>
      <c r="B43" t="s">
        <v>491</v>
      </c>
      <c r="C43" t="s">
        <v>238</v>
      </c>
      <c r="D43">
        <v>91</v>
      </c>
    </row>
    <row r="44" spans="1:4" x14ac:dyDescent="0.25">
      <c r="A44" s="1">
        <v>6</v>
      </c>
      <c r="B44" t="s">
        <v>492</v>
      </c>
      <c r="C44" t="s">
        <v>243</v>
      </c>
      <c r="D44">
        <v>91</v>
      </c>
    </row>
    <row r="45" spans="1:4" x14ac:dyDescent="0.25">
      <c r="A45" s="1">
        <v>7</v>
      </c>
      <c r="B45" t="s">
        <v>493</v>
      </c>
      <c r="C45" t="s">
        <v>244</v>
      </c>
      <c r="D45">
        <v>91</v>
      </c>
    </row>
    <row r="46" spans="1:4" x14ac:dyDescent="0.25">
      <c r="A46" s="1">
        <v>8</v>
      </c>
      <c r="B46" t="s">
        <v>494</v>
      </c>
      <c r="C46" t="s">
        <v>247</v>
      </c>
      <c r="D46">
        <v>91</v>
      </c>
    </row>
    <row r="47" spans="1:4" x14ac:dyDescent="0.25">
      <c r="A47" s="1">
        <v>9</v>
      </c>
      <c r="B47" t="s">
        <v>495</v>
      </c>
      <c r="C47" t="s">
        <v>248</v>
      </c>
      <c r="D47">
        <v>91</v>
      </c>
    </row>
    <row r="48" spans="1:4" x14ac:dyDescent="0.25">
      <c r="A48" s="1">
        <v>10</v>
      </c>
      <c r="B48" t="s">
        <v>496</v>
      </c>
      <c r="C48" t="s">
        <v>258</v>
      </c>
      <c r="D48">
        <v>91</v>
      </c>
    </row>
    <row r="49" spans="1:4" x14ac:dyDescent="0.25">
      <c r="A49" s="1">
        <v>11</v>
      </c>
      <c r="B49" t="s">
        <v>497</v>
      </c>
      <c r="C49" t="s">
        <v>259</v>
      </c>
      <c r="D49">
        <v>91</v>
      </c>
    </row>
    <row r="50" spans="1:4" x14ac:dyDescent="0.25">
      <c r="A50" s="1">
        <v>12</v>
      </c>
      <c r="B50" t="s">
        <v>498</v>
      </c>
      <c r="C50" t="s">
        <v>260</v>
      </c>
      <c r="D50">
        <v>91</v>
      </c>
    </row>
    <row r="51" spans="1:4" x14ac:dyDescent="0.25">
      <c r="A51" s="1">
        <v>13</v>
      </c>
      <c r="B51" t="s">
        <v>499</v>
      </c>
      <c r="C51" t="s">
        <v>262</v>
      </c>
      <c r="D51">
        <v>91</v>
      </c>
    </row>
    <row r="52" spans="1:4" x14ac:dyDescent="0.25">
      <c r="A52" s="1">
        <v>14</v>
      </c>
      <c r="B52" t="s">
        <v>500</v>
      </c>
      <c r="C52" t="s">
        <v>263</v>
      </c>
      <c r="D52">
        <v>91</v>
      </c>
    </row>
    <row r="53" spans="1:4" x14ac:dyDescent="0.25">
      <c r="A53" s="1">
        <v>15</v>
      </c>
      <c r="B53" t="s">
        <v>501</v>
      </c>
      <c r="C53" t="s">
        <v>264</v>
      </c>
      <c r="D53">
        <v>91</v>
      </c>
    </row>
    <row r="54" spans="1:4" x14ac:dyDescent="0.25">
      <c r="A54" s="1">
        <v>16</v>
      </c>
      <c r="B54" t="s">
        <v>502</v>
      </c>
      <c r="C54" t="s">
        <v>266</v>
      </c>
      <c r="D54">
        <v>91</v>
      </c>
    </row>
    <row r="55" spans="1:4" x14ac:dyDescent="0.25">
      <c r="A55" s="1">
        <v>17</v>
      </c>
      <c r="B55" t="s">
        <v>503</v>
      </c>
      <c r="C55" t="s">
        <v>272</v>
      </c>
      <c r="D55">
        <v>91</v>
      </c>
    </row>
    <row r="56" spans="1:4" x14ac:dyDescent="0.25">
      <c r="A56" s="1">
        <v>18</v>
      </c>
      <c r="B56" t="s">
        <v>504</v>
      </c>
      <c r="C56" t="s">
        <v>273</v>
      </c>
      <c r="D56">
        <v>91</v>
      </c>
    </row>
    <row r="57" spans="1:4" x14ac:dyDescent="0.25">
      <c r="A57" s="1">
        <v>19</v>
      </c>
      <c r="B57" t="s">
        <v>505</v>
      </c>
      <c r="C57" t="s">
        <v>274</v>
      </c>
      <c r="D57">
        <v>91</v>
      </c>
    </row>
    <row r="58" spans="1:4" x14ac:dyDescent="0.25">
      <c r="A58" s="1">
        <v>20</v>
      </c>
      <c r="B58" t="s">
        <v>506</v>
      </c>
      <c r="C58" t="s">
        <v>275</v>
      </c>
      <c r="D58">
        <v>91</v>
      </c>
    </row>
    <row r="59" spans="1:4" x14ac:dyDescent="0.25">
      <c r="A59" s="1">
        <v>21</v>
      </c>
      <c r="B59" t="s">
        <v>507</v>
      </c>
      <c r="C59" t="s">
        <v>276</v>
      </c>
      <c r="D59">
        <v>91</v>
      </c>
    </row>
    <row r="60" spans="1:4" x14ac:dyDescent="0.25">
      <c r="A60" s="1">
        <v>22</v>
      </c>
      <c r="B60" t="s">
        <v>508</v>
      </c>
      <c r="C60" t="s">
        <v>277</v>
      </c>
      <c r="D60">
        <v>91</v>
      </c>
    </row>
    <row r="61" spans="1:4" x14ac:dyDescent="0.25">
      <c r="A61" s="1">
        <v>23</v>
      </c>
      <c r="B61" t="s">
        <v>509</v>
      </c>
      <c r="C61" t="s">
        <v>278</v>
      </c>
      <c r="D61">
        <v>91</v>
      </c>
    </row>
    <row r="62" spans="1:4" x14ac:dyDescent="0.25">
      <c r="A62" s="1">
        <v>24</v>
      </c>
      <c r="B62" t="s">
        <v>510</v>
      </c>
      <c r="C62" t="s">
        <v>279</v>
      </c>
      <c r="D62">
        <v>91</v>
      </c>
    </row>
    <row r="63" spans="1:4" x14ac:dyDescent="0.25">
      <c r="A63" s="1">
        <v>25</v>
      </c>
      <c r="B63" t="s">
        <v>511</v>
      </c>
      <c r="C63" t="s">
        <v>282</v>
      </c>
      <c r="D63">
        <v>91</v>
      </c>
    </row>
    <row r="64" spans="1:4" x14ac:dyDescent="0.25">
      <c r="A64" s="1">
        <v>26</v>
      </c>
      <c r="B64" t="s">
        <v>512</v>
      </c>
      <c r="C64" t="s">
        <v>283</v>
      </c>
      <c r="D64">
        <v>91</v>
      </c>
    </row>
    <row r="65" spans="1:4" x14ac:dyDescent="0.25">
      <c r="A65" s="1">
        <v>27</v>
      </c>
      <c r="B65" t="s">
        <v>513</v>
      </c>
      <c r="C65" t="s">
        <v>286</v>
      </c>
      <c r="D65">
        <v>91</v>
      </c>
    </row>
    <row r="66" spans="1:4" x14ac:dyDescent="0.25">
      <c r="A66" s="1">
        <v>28</v>
      </c>
      <c r="B66" t="s">
        <v>514</v>
      </c>
      <c r="C66" t="s">
        <v>287</v>
      </c>
      <c r="D66">
        <v>91</v>
      </c>
    </row>
    <row r="67" spans="1:4" x14ac:dyDescent="0.25">
      <c r="A67" s="1">
        <v>29</v>
      </c>
      <c r="B67" t="s">
        <v>515</v>
      </c>
      <c r="C67" t="s">
        <v>85</v>
      </c>
      <c r="D67">
        <v>91</v>
      </c>
    </row>
    <row r="68" spans="1:4" x14ac:dyDescent="0.25">
      <c r="A68" s="1">
        <v>30</v>
      </c>
      <c r="B68" t="s">
        <v>516</v>
      </c>
      <c r="C68" t="s">
        <v>288</v>
      </c>
      <c r="D68">
        <v>91</v>
      </c>
    </row>
    <row r="69" spans="1:4" x14ac:dyDescent="0.25">
      <c r="A69" s="1">
        <v>31</v>
      </c>
      <c r="B69" t="s">
        <v>517</v>
      </c>
      <c r="C69" t="s">
        <v>293</v>
      </c>
      <c r="D69">
        <v>91</v>
      </c>
    </row>
    <row r="72" spans="1:4" x14ac:dyDescent="0.25">
      <c r="A72" s="1" t="s">
        <v>518</v>
      </c>
      <c r="B72" s="1" t="s">
        <v>450</v>
      </c>
      <c r="C72" s="1" t="s">
        <v>451</v>
      </c>
      <c r="D72" s="1" t="s">
        <v>452</v>
      </c>
    </row>
    <row r="73" spans="1:4" x14ac:dyDescent="0.25">
      <c r="A73" s="1">
        <v>0</v>
      </c>
      <c r="B73" t="s">
        <v>519</v>
      </c>
      <c r="C73" t="s">
        <v>231</v>
      </c>
      <c r="D73">
        <v>100</v>
      </c>
    </row>
    <row r="74" spans="1:4" x14ac:dyDescent="0.25">
      <c r="A74" s="1">
        <v>1</v>
      </c>
      <c r="B74" t="s">
        <v>520</v>
      </c>
      <c r="C74" t="s">
        <v>232</v>
      </c>
      <c r="D74">
        <v>100</v>
      </c>
    </row>
    <row r="75" spans="1:4" x14ac:dyDescent="0.25">
      <c r="A75" s="1">
        <v>2</v>
      </c>
      <c r="B75" t="s">
        <v>521</v>
      </c>
      <c r="C75" t="s">
        <v>233</v>
      </c>
      <c r="D75">
        <v>100</v>
      </c>
    </row>
    <row r="76" spans="1:4" x14ac:dyDescent="0.25">
      <c r="A76" s="1">
        <v>3</v>
      </c>
      <c r="B76" t="s">
        <v>522</v>
      </c>
      <c r="C76" t="s">
        <v>234</v>
      </c>
      <c r="D76">
        <v>100</v>
      </c>
    </row>
    <row r="77" spans="1:4" x14ac:dyDescent="0.25">
      <c r="A77" s="1">
        <v>4</v>
      </c>
      <c r="B77" t="s">
        <v>523</v>
      </c>
      <c r="C77" t="s">
        <v>235</v>
      </c>
      <c r="D77">
        <v>100</v>
      </c>
    </row>
    <row r="78" spans="1:4" x14ac:dyDescent="0.25">
      <c r="A78" s="1">
        <v>5</v>
      </c>
      <c r="B78" t="s">
        <v>524</v>
      </c>
      <c r="C78" t="s">
        <v>236</v>
      </c>
      <c r="D78">
        <v>100</v>
      </c>
    </row>
    <row r="79" spans="1:4" x14ac:dyDescent="0.25">
      <c r="A79" s="1">
        <v>6</v>
      </c>
      <c r="B79" t="s">
        <v>525</v>
      </c>
      <c r="C79" t="s">
        <v>237</v>
      </c>
      <c r="D79">
        <v>100</v>
      </c>
    </row>
    <row r="80" spans="1:4" x14ac:dyDescent="0.25">
      <c r="A80" s="1">
        <v>7</v>
      </c>
      <c r="B80" t="s">
        <v>526</v>
      </c>
      <c r="C80" t="s">
        <v>238</v>
      </c>
      <c r="D80">
        <v>100</v>
      </c>
    </row>
    <row r="81" spans="1:4" x14ac:dyDescent="0.25">
      <c r="A81" s="1">
        <v>8</v>
      </c>
      <c r="B81" t="s">
        <v>527</v>
      </c>
      <c r="C81" t="s">
        <v>240</v>
      </c>
      <c r="D81">
        <v>100</v>
      </c>
    </row>
    <row r="82" spans="1:4" x14ac:dyDescent="0.25">
      <c r="A82" s="1">
        <v>9</v>
      </c>
      <c r="B82" t="s">
        <v>528</v>
      </c>
      <c r="C82" t="s">
        <v>241</v>
      </c>
      <c r="D82">
        <v>100</v>
      </c>
    </row>
    <row r="83" spans="1:4" x14ac:dyDescent="0.25">
      <c r="A83" s="1">
        <v>10</v>
      </c>
      <c r="B83" t="s">
        <v>529</v>
      </c>
      <c r="C83" t="s">
        <v>242</v>
      </c>
      <c r="D83">
        <v>100</v>
      </c>
    </row>
    <row r="84" spans="1:4" x14ac:dyDescent="0.25">
      <c r="A84" s="1">
        <v>11</v>
      </c>
      <c r="B84" t="s">
        <v>530</v>
      </c>
      <c r="C84" t="s">
        <v>243</v>
      </c>
      <c r="D84">
        <v>100</v>
      </c>
    </row>
    <row r="85" spans="1:4" x14ac:dyDescent="0.25">
      <c r="A85" s="1">
        <v>12</v>
      </c>
      <c r="B85" t="s">
        <v>531</v>
      </c>
      <c r="C85" t="s">
        <v>88</v>
      </c>
      <c r="D85">
        <v>100</v>
      </c>
    </row>
    <row r="86" spans="1:4" x14ac:dyDescent="0.25">
      <c r="A86" s="1">
        <v>13</v>
      </c>
      <c r="B86" t="s">
        <v>532</v>
      </c>
      <c r="C86" t="s">
        <v>244</v>
      </c>
      <c r="D86">
        <v>100</v>
      </c>
    </row>
    <row r="87" spans="1:4" x14ac:dyDescent="0.25">
      <c r="A87" s="1">
        <v>14</v>
      </c>
      <c r="B87" t="s">
        <v>533</v>
      </c>
      <c r="C87" t="s">
        <v>245</v>
      </c>
      <c r="D87">
        <v>100</v>
      </c>
    </row>
    <row r="88" spans="1:4" x14ac:dyDescent="0.25">
      <c r="A88" s="1">
        <v>15</v>
      </c>
      <c r="B88" t="s">
        <v>534</v>
      </c>
      <c r="C88" t="s">
        <v>246</v>
      </c>
      <c r="D88">
        <v>100</v>
      </c>
    </row>
    <row r="89" spans="1:4" x14ac:dyDescent="0.25">
      <c r="A89" s="1">
        <v>16</v>
      </c>
      <c r="B89" t="s">
        <v>535</v>
      </c>
      <c r="C89" t="s">
        <v>247</v>
      </c>
      <c r="D89">
        <v>100</v>
      </c>
    </row>
    <row r="90" spans="1:4" x14ac:dyDescent="0.25">
      <c r="A90" s="1">
        <v>17</v>
      </c>
      <c r="B90" t="s">
        <v>536</v>
      </c>
      <c r="C90" t="s">
        <v>248</v>
      </c>
      <c r="D90">
        <v>100</v>
      </c>
    </row>
    <row r="91" spans="1:4" x14ac:dyDescent="0.25">
      <c r="A91" s="1">
        <v>18</v>
      </c>
      <c r="B91" t="s">
        <v>537</v>
      </c>
      <c r="C91" t="s">
        <v>251</v>
      </c>
      <c r="D91">
        <v>100</v>
      </c>
    </row>
    <row r="92" spans="1:4" x14ac:dyDescent="0.25">
      <c r="A92" s="1">
        <v>19</v>
      </c>
      <c r="B92" t="s">
        <v>538</v>
      </c>
      <c r="C92" t="s">
        <v>252</v>
      </c>
      <c r="D92">
        <v>100</v>
      </c>
    </row>
    <row r="93" spans="1:4" x14ac:dyDescent="0.25">
      <c r="A93" s="1">
        <v>20</v>
      </c>
      <c r="B93" t="s">
        <v>539</v>
      </c>
      <c r="C93" t="s">
        <v>255</v>
      </c>
      <c r="D93">
        <v>100</v>
      </c>
    </row>
    <row r="94" spans="1:4" x14ac:dyDescent="0.25">
      <c r="A94" s="1">
        <v>21</v>
      </c>
      <c r="B94" t="s">
        <v>540</v>
      </c>
      <c r="C94" t="s">
        <v>256</v>
      </c>
      <c r="D94">
        <v>100</v>
      </c>
    </row>
    <row r="95" spans="1:4" x14ac:dyDescent="0.25">
      <c r="A95" s="1">
        <v>22</v>
      </c>
      <c r="B95" t="s">
        <v>541</v>
      </c>
      <c r="C95" t="s">
        <v>257</v>
      </c>
      <c r="D95">
        <v>100</v>
      </c>
    </row>
    <row r="96" spans="1:4" x14ac:dyDescent="0.25">
      <c r="A96" s="1">
        <v>23</v>
      </c>
      <c r="B96" t="s">
        <v>542</v>
      </c>
      <c r="C96" t="s">
        <v>258</v>
      </c>
      <c r="D96">
        <v>100</v>
      </c>
    </row>
    <row r="97" spans="1:4" x14ac:dyDescent="0.25">
      <c r="A97" s="1">
        <v>24</v>
      </c>
      <c r="B97" t="s">
        <v>543</v>
      </c>
      <c r="C97" t="s">
        <v>259</v>
      </c>
      <c r="D97">
        <v>100</v>
      </c>
    </row>
    <row r="98" spans="1:4" x14ac:dyDescent="0.25">
      <c r="A98" s="1">
        <v>25</v>
      </c>
      <c r="B98" t="s">
        <v>544</v>
      </c>
      <c r="C98" t="s">
        <v>260</v>
      </c>
      <c r="D98">
        <v>100</v>
      </c>
    </row>
    <row r="99" spans="1:4" x14ac:dyDescent="0.25">
      <c r="A99" s="1">
        <v>26</v>
      </c>
      <c r="B99" t="s">
        <v>545</v>
      </c>
      <c r="C99" t="s">
        <v>261</v>
      </c>
      <c r="D99">
        <v>100</v>
      </c>
    </row>
    <row r="100" spans="1:4" x14ac:dyDescent="0.25">
      <c r="A100" s="1">
        <v>27</v>
      </c>
      <c r="B100" t="s">
        <v>546</v>
      </c>
      <c r="C100" t="s">
        <v>262</v>
      </c>
      <c r="D100">
        <v>100</v>
      </c>
    </row>
    <row r="101" spans="1:4" x14ac:dyDescent="0.25">
      <c r="A101" s="1">
        <v>28</v>
      </c>
      <c r="B101" t="s">
        <v>547</v>
      </c>
      <c r="C101" t="s">
        <v>263</v>
      </c>
      <c r="D101">
        <v>100</v>
      </c>
    </row>
    <row r="102" spans="1:4" x14ac:dyDescent="0.25">
      <c r="A102" s="1">
        <v>29</v>
      </c>
      <c r="B102" t="s">
        <v>548</v>
      </c>
      <c r="C102" t="s">
        <v>264</v>
      </c>
      <c r="D102">
        <v>100</v>
      </c>
    </row>
    <row r="103" spans="1:4" x14ac:dyDescent="0.25">
      <c r="A103" s="1">
        <v>30</v>
      </c>
      <c r="B103" t="s">
        <v>549</v>
      </c>
      <c r="C103" t="s">
        <v>265</v>
      </c>
      <c r="D103">
        <v>100</v>
      </c>
    </row>
    <row r="104" spans="1:4" x14ac:dyDescent="0.25">
      <c r="A104" s="1">
        <v>31</v>
      </c>
      <c r="B104" t="s">
        <v>550</v>
      </c>
      <c r="C104" t="s">
        <v>266</v>
      </c>
      <c r="D104">
        <v>100</v>
      </c>
    </row>
    <row r="105" spans="1:4" x14ac:dyDescent="0.25">
      <c r="A105" s="1">
        <v>32</v>
      </c>
      <c r="B105" t="s">
        <v>551</v>
      </c>
      <c r="C105" t="s">
        <v>267</v>
      </c>
      <c r="D105">
        <v>100</v>
      </c>
    </row>
    <row r="106" spans="1:4" x14ac:dyDescent="0.25">
      <c r="A106" s="1">
        <v>33</v>
      </c>
      <c r="B106" t="s">
        <v>552</v>
      </c>
      <c r="C106" t="s">
        <v>268</v>
      </c>
      <c r="D106">
        <v>100</v>
      </c>
    </row>
    <row r="107" spans="1:4" x14ac:dyDescent="0.25">
      <c r="A107" s="1">
        <v>34</v>
      </c>
      <c r="B107" t="s">
        <v>553</v>
      </c>
      <c r="C107" t="s">
        <v>270</v>
      </c>
      <c r="D107">
        <v>100</v>
      </c>
    </row>
    <row r="108" spans="1:4" x14ac:dyDescent="0.25">
      <c r="A108" s="1">
        <v>35</v>
      </c>
      <c r="B108" t="s">
        <v>554</v>
      </c>
      <c r="C108" t="s">
        <v>271</v>
      </c>
      <c r="D108">
        <v>100</v>
      </c>
    </row>
    <row r="109" spans="1:4" x14ac:dyDescent="0.25">
      <c r="A109" s="1">
        <v>36</v>
      </c>
      <c r="B109" t="s">
        <v>555</v>
      </c>
      <c r="C109" t="s">
        <v>272</v>
      </c>
      <c r="D109">
        <v>100</v>
      </c>
    </row>
    <row r="110" spans="1:4" x14ac:dyDescent="0.25">
      <c r="A110" s="1">
        <v>37</v>
      </c>
      <c r="B110" t="s">
        <v>556</v>
      </c>
      <c r="C110" t="s">
        <v>273</v>
      </c>
      <c r="D110">
        <v>100</v>
      </c>
    </row>
    <row r="111" spans="1:4" x14ac:dyDescent="0.25">
      <c r="A111" s="1">
        <v>38</v>
      </c>
      <c r="B111" t="s">
        <v>557</v>
      </c>
      <c r="C111" t="s">
        <v>274</v>
      </c>
      <c r="D111">
        <v>100</v>
      </c>
    </row>
    <row r="112" spans="1:4" x14ac:dyDescent="0.25">
      <c r="A112" s="1">
        <v>39</v>
      </c>
      <c r="B112" t="s">
        <v>558</v>
      </c>
      <c r="C112" t="s">
        <v>275</v>
      </c>
      <c r="D112">
        <v>100</v>
      </c>
    </row>
    <row r="113" spans="1:4" x14ac:dyDescent="0.25">
      <c r="A113" s="1">
        <v>40</v>
      </c>
      <c r="B113" t="s">
        <v>559</v>
      </c>
      <c r="C113" t="s">
        <v>276</v>
      </c>
      <c r="D113">
        <v>100</v>
      </c>
    </row>
    <row r="114" spans="1:4" x14ac:dyDescent="0.25">
      <c r="A114" s="1">
        <v>41</v>
      </c>
      <c r="B114" t="s">
        <v>560</v>
      </c>
      <c r="C114" t="s">
        <v>277</v>
      </c>
      <c r="D114">
        <v>100</v>
      </c>
    </row>
    <row r="115" spans="1:4" x14ac:dyDescent="0.25">
      <c r="A115" s="1">
        <v>42</v>
      </c>
      <c r="B115" t="s">
        <v>561</v>
      </c>
      <c r="C115" t="s">
        <v>278</v>
      </c>
      <c r="D115">
        <v>100</v>
      </c>
    </row>
    <row r="116" spans="1:4" x14ac:dyDescent="0.25">
      <c r="A116" s="1">
        <v>43</v>
      </c>
      <c r="B116" t="s">
        <v>562</v>
      </c>
      <c r="C116" t="s">
        <v>279</v>
      </c>
      <c r="D116">
        <v>100</v>
      </c>
    </row>
    <row r="117" spans="1:4" x14ac:dyDescent="0.25">
      <c r="A117" s="1">
        <v>44</v>
      </c>
      <c r="B117" t="s">
        <v>563</v>
      </c>
      <c r="C117" t="s">
        <v>280</v>
      </c>
      <c r="D117">
        <v>100</v>
      </c>
    </row>
    <row r="118" spans="1:4" x14ac:dyDescent="0.25">
      <c r="A118" s="1">
        <v>45</v>
      </c>
      <c r="B118" t="s">
        <v>564</v>
      </c>
      <c r="C118" t="s">
        <v>281</v>
      </c>
      <c r="D118">
        <v>100</v>
      </c>
    </row>
    <row r="119" spans="1:4" x14ac:dyDescent="0.25">
      <c r="A119" s="1">
        <v>46</v>
      </c>
      <c r="B119" t="s">
        <v>565</v>
      </c>
      <c r="C119" t="s">
        <v>282</v>
      </c>
      <c r="D119">
        <v>100</v>
      </c>
    </row>
    <row r="120" spans="1:4" x14ac:dyDescent="0.25">
      <c r="A120" s="1">
        <v>47</v>
      </c>
      <c r="B120" t="s">
        <v>566</v>
      </c>
      <c r="C120" t="s">
        <v>283</v>
      </c>
      <c r="D120">
        <v>100</v>
      </c>
    </row>
    <row r="121" spans="1:4" x14ac:dyDescent="0.25">
      <c r="A121" s="1">
        <v>48</v>
      </c>
      <c r="B121" t="s">
        <v>567</v>
      </c>
      <c r="C121" t="s">
        <v>284</v>
      </c>
      <c r="D121">
        <v>100</v>
      </c>
    </row>
    <row r="122" spans="1:4" x14ac:dyDescent="0.25">
      <c r="A122" s="1">
        <v>49</v>
      </c>
      <c r="B122" t="s">
        <v>568</v>
      </c>
      <c r="C122" t="s">
        <v>285</v>
      </c>
      <c r="D122">
        <v>100</v>
      </c>
    </row>
    <row r="123" spans="1:4" x14ac:dyDescent="0.25">
      <c r="A123" s="1">
        <v>50</v>
      </c>
      <c r="B123" t="s">
        <v>569</v>
      </c>
      <c r="C123" t="s">
        <v>286</v>
      </c>
      <c r="D123">
        <v>100</v>
      </c>
    </row>
    <row r="124" spans="1:4" x14ac:dyDescent="0.25">
      <c r="A124" s="1">
        <v>51</v>
      </c>
      <c r="B124" t="s">
        <v>570</v>
      </c>
      <c r="C124" t="s">
        <v>287</v>
      </c>
      <c r="D124">
        <v>100</v>
      </c>
    </row>
    <row r="125" spans="1:4" x14ac:dyDescent="0.25">
      <c r="A125" s="1">
        <v>52</v>
      </c>
      <c r="B125" t="s">
        <v>571</v>
      </c>
      <c r="C125" t="s">
        <v>85</v>
      </c>
      <c r="D125">
        <v>100</v>
      </c>
    </row>
    <row r="126" spans="1:4" x14ac:dyDescent="0.25">
      <c r="A126" s="1">
        <v>53</v>
      </c>
      <c r="B126" t="s">
        <v>572</v>
      </c>
      <c r="C126" t="s">
        <v>288</v>
      </c>
      <c r="D126">
        <v>100</v>
      </c>
    </row>
    <row r="127" spans="1:4" x14ac:dyDescent="0.25">
      <c r="A127" s="1">
        <v>54</v>
      </c>
      <c r="B127" t="s">
        <v>573</v>
      </c>
      <c r="C127" t="s">
        <v>289</v>
      </c>
      <c r="D127">
        <v>100</v>
      </c>
    </row>
    <row r="128" spans="1:4" x14ac:dyDescent="0.25">
      <c r="A128" s="1">
        <v>55</v>
      </c>
      <c r="B128" t="s">
        <v>574</v>
      </c>
      <c r="C128" t="s">
        <v>290</v>
      </c>
      <c r="D128">
        <v>100</v>
      </c>
    </row>
    <row r="129" spans="1:4" x14ac:dyDescent="0.25">
      <c r="A129" s="1">
        <v>56</v>
      </c>
      <c r="B129" t="s">
        <v>575</v>
      </c>
      <c r="C129" t="s">
        <v>291</v>
      </c>
      <c r="D129">
        <v>100</v>
      </c>
    </row>
    <row r="130" spans="1:4" x14ac:dyDescent="0.25">
      <c r="A130" s="1">
        <v>57</v>
      </c>
      <c r="B130" t="s">
        <v>576</v>
      </c>
      <c r="C130" t="s">
        <v>292</v>
      </c>
      <c r="D130">
        <v>100</v>
      </c>
    </row>
    <row r="131" spans="1:4" x14ac:dyDescent="0.25">
      <c r="A131" s="1">
        <v>58</v>
      </c>
      <c r="B131" t="s">
        <v>577</v>
      </c>
      <c r="C131" t="s">
        <v>293</v>
      </c>
      <c r="D131">
        <v>100</v>
      </c>
    </row>
    <row r="134" spans="1:4" x14ac:dyDescent="0.25">
      <c r="A134" s="1" t="s">
        <v>518</v>
      </c>
      <c r="B134" s="1" t="s">
        <v>450</v>
      </c>
      <c r="C134" s="1" t="s">
        <v>451</v>
      </c>
      <c r="D134" s="1" t="s">
        <v>452</v>
      </c>
    </row>
    <row r="135" spans="1:4" x14ac:dyDescent="0.25">
      <c r="A135" s="1">
        <v>0</v>
      </c>
      <c r="B135" t="s">
        <v>578</v>
      </c>
      <c r="C135" t="s">
        <v>253</v>
      </c>
      <c r="D135">
        <v>92</v>
      </c>
    </row>
    <row r="138" spans="1:4" x14ac:dyDescent="0.25">
      <c r="A138" s="1" t="s">
        <v>579</v>
      </c>
      <c r="B138" s="1" t="s">
        <v>450</v>
      </c>
      <c r="C138" s="1" t="s">
        <v>451</v>
      </c>
      <c r="D138" s="1" t="s">
        <v>452</v>
      </c>
    </row>
    <row r="139" spans="1:4" x14ac:dyDescent="0.25">
      <c r="A139" s="1">
        <v>0</v>
      </c>
      <c r="B139" t="s">
        <v>580</v>
      </c>
      <c r="C139" t="s">
        <v>284</v>
      </c>
      <c r="D139">
        <v>9.9</v>
      </c>
    </row>
    <row r="140" spans="1:4" x14ac:dyDescent="0.25">
      <c r="A140" s="1">
        <v>1</v>
      </c>
      <c r="B140" t="s">
        <v>581</v>
      </c>
      <c r="C140" t="s">
        <v>284</v>
      </c>
      <c r="D140">
        <v>0.3</v>
      </c>
    </row>
    <row r="141" spans="1:4" x14ac:dyDescent="0.25">
      <c r="A141" s="1">
        <v>2</v>
      </c>
      <c r="B141" t="s">
        <v>582</v>
      </c>
      <c r="C141" t="s">
        <v>284</v>
      </c>
      <c r="D141">
        <v>0.3</v>
      </c>
    </row>
    <row r="142" spans="1:4" x14ac:dyDescent="0.25">
      <c r="A142" s="1">
        <v>3</v>
      </c>
      <c r="B142" t="s">
        <v>583</v>
      </c>
      <c r="C142" t="s">
        <v>291</v>
      </c>
      <c r="D142">
        <v>2.4</v>
      </c>
    </row>
    <row r="143" spans="1:4" x14ac:dyDescent="0.25">
      <c r="A143" s="1">
        <v>4</v>
      </c>
      <c r="B143" t="s">
        <v>584</v>
      </c>
      <c r="C143" t="s">
        <v>291</v>
      </c>
      <c r="D143">
        <v>0.3</v>
      </c>
    </row>
    <row r="144" spans="1:4" x14ac:dyDescent="0.25">
      <c r="A144" s="1">
        <v>5</v>
      </c>
      <c r="B144" t="s">
        <v>585</v>
      </c>
      <c r="C144" t="s">
        <v>290</v>
      </c>
      <c r="D144">
        <v>0.3</v>
      </c>
    </row>
    <row r="145" spans="1:4" x14ac:dyDescent="0.25">
      <c r="A145" s="1">
        <v>6</v>
      </c>
      <c r="B145" t="s">
        <v>586</v>
      </c>
      <c r="C145" t="s">
        <v>290</v>
      </c>
      <c r="D145">
        <v>0.3</v>
      </c>
    </row>
    <row r="146" spans="1:4" x14ac:dyDescent="0.25">
      <c r="A146" s="1">
        <v>7</v>
      </c>
      <c r="B146" t="s">
        <v>587</v>
      </c>
      <c r="C146" t="s">
        <v>260</v>
      </c>
      <c r="D146">
        <v>100</v>
      </c>
    </row>
    <row r="147" spans="1:4" x14ac:dyDescent="0.25">
      <c r="A147" s="1">
        <v>8</v>
      </c>
      <c r="B147" t="s">
        <v>588</v>
      </c>
      <c r="C147" t="s">
        <v>285</v>
      </c>
      <c r="D147">
        <v>90</v>
      </c>
    </row>
    <row r="148" spans="1:4" x14ac:dyDescent="0.25">
      <c r="A148" s="1">
        <v>9</v>
      </c>
      <c r="B148" t="s">
        <v>589</v>
      </c>
      <c r="C148" t="s">
        <v>285</v>
      </c>
      <c r="D148">
        <v>2.4</v>
      </c>
    </row>
    <row r="149" spans="1:4" x14ac:dyDescent="0.25">
      <c r="A149" s="1">
        <v>10</v>
      </c>
      <c r="B149" t="s">
        <v>590</v>
      </c>
      <c r="C149" t="s">
        <v>285</v>
      </c>
      <c r="D149">
        <v>5</v>
      </c>
    </row>
    <row r="150" spans="1:4" x14ac:dyDescent="0.25">
      <c r="A150" s="1">
        <v>11</v>
      </c>
      <c r="B150" t="s">
        <v>591</v>
      </c>
      <c r="C150" t="s">
        <v>289</v>
      </c>
      <c r="D150">
        <v>90</v>
      </c>
    </row>
    <row r="151" spans="1:4" x14ac:dyDescent="0.25">
      <c r="A151" s="1">
        <v>12</v>
      </c>
      <c r="B151" t="s">
        <v>592</v>
      </c>
      <c r="C151" t="s">
        <v>289</v>
      </c>
      <c r="D151">
        <v>2.4</v>
      </c>
    </row>
    <row r="152" spans="1:4" x14ac:dyDescent="0.25">
      <c r="A152" s="1">
        <v>13</v>
      </c>
      <c r="B152" t="s">
        <v>593</v>
      </c>
      <c r="C152" t="s">
        <v>289</v>
      </c>
      <c r="D152">
        <v>0.5</v>
      </c>
    </row>
    <row r="153" spans="1:4" x14ac:dyDescent="0.25">
      <c r="A153" s="1">
        <v>14</v>
      </c>
      <c r="B153" t="s">
        <v>594</v>
      </c>
      <c r="C153" t="s">
        <v>267</v>
      </c>
      <c r="D153">
        <v>100</v>
      </c>
    </row>
    <row r="154" spans="1:4" x14ac:dyDescent="0.25">
      <c r="A154" s="1">
        <v>15</v>
      </c>
      <c r="B154" t="s">
        <v>595</v>
      </c>
      <c r="C154" t="s">
        <v>271</v>
      </c>
      <c r="D154">
        <v>5</v>
      </c>
    </row>
    <row r="157" spans="1:4" x14ac:dyDescent="0.25">
      <c r="A157" s="1" t="s">
        <v>596</v>
      </c>
      <c r="B157" s="1" t="s">
        <v>450</v>
      </c>
      <c r="C157" s="1" t="s">
        <v>451</v>
      </c>
      <c r="D157" s="1" t="s">
        <v>452</v>
      </c>
    </row>
    <row r="158" spans="1:4" x14ac:dyDescent="0.25">
      <c r="A158" s="1">
        <v>0</v>
      </c>
      <c r="B158" t="s">
        <v>597</v>
      </c>
      <c r="C158" t="s">
        <v>284</v>
      </c>
      <c r="D158">
        <v>4</v>
      </c>
    </row>
    <row r="159" spans="1:4" x14ac:dyDescent="0.25">
      <c r="A159" s="1">
        <v>1</v>
      </c>
      <c r="B159" t="s">
        <v>598</v>
      </c>
      <c r="C159" t="s">
        <v>284</v>
      </c>
      <c r="D159">
        <v>1.2</v>
      </c>
    </row>
    <row r="160" spans="1:4" x14ac:dyDescent="0.25">
      <c r="A160" s="1">
        <v>2</v>
      </c>
      <c r="B160" t="s">
        <v>580</v>
      </c>
      <c r="C160" t="s">
        <v>284</v>
      </c>
      <c r="D160">
        <v>90</v>
      </c>
    </row>
    <row r="161" spans="1:4" x14ac:dyDescent="0.25">
      <c r="A161" s="1">
        <v>3</v>
      </c>
      <c r="B161" t="s">
        <v>599</v>
      </c>
      <c r="C161" t="s">
        <v>287</v>
      </c>
      <c r="D161">
        <v>100</v>
      </c>
    </row>
    <row r="164" spans="1:4" x14ac:dyDescent="0.25">
      <c r="A164" s="1" t="s">
        <v>596</v>
      </c>
      <c r="B164" s="1" t="s">
        <v>450</v>
      </c>
      <c r="C164" s="1" t="s">
        <v>451</v>
      </c>
      <c r="D164" s="1" t="s">
        <v>452</v>
      </c>
    </row>
    <row r="165" spans="1:4" x14ac:dyDescent="0.25">
      <c r="A165" s="1">
        <v>0</v>
      </c>
      <c r="B165" t="s">
        <v>600</v>
      </c>
      <c r="C165" t="s">
        <v>258</v>
      </c>
      <c r="D165">
        <v>95</v>
      </c>
    </row>
    <row r="166" spans="1:4" x14ac:dyDescent="0.25">
      <c r="A166" s="1">
        <v>1</v>
      </c>
      <c r="B166" t="s">
        <v>601</v>
      </c>
      <c r="C166" t="s">
        <v>258</v>
      </c>
      <c r="D166">
        <v>2</v>
      </c>
    </row>
    <row r="167" spans="1:4" x14ac:dyDescent="0.25">
      <c r="A167" s="1">
        <v>2</v>
      </c>
      <c r="B167" t="s">
        <v>602</v>
      </c>
      <c r="C167" t="s">
        <v>258</v>
      </c>
      <c r="D167">
        <v>0.4</v>
      </c>
    </row>
    <row r="168" spans="1:4" x14ac:dyDescent="0.25">
      <c r="A168" s="1">
        <v>3</v>
      </c>
      <c r="B168" t="s">
        <v>603</v>
      </c>
      <c r="C168" t="s">
        <v>258</v>
      </c>
      <c r="D168">
        <v>0.6</v>
      </c>
    </row>
    <row r="169" spans="1:4" x14ac:dyDescent="0.25">
      <c r="A169" s="1">
        <v>4</v>
      </c>
      <c r="B169" t="s">
        <v>604</v>
      </c>
      <c r="C169" t="s">
        <v>259</v>
      </c>
      <c r="D169">
        <v>85</v>
      </c>
    </row>
    <row r="170" spans="1:4" x14ac:dyDescent="0.25">
      <c r="A170" s="1">
        <v>5</v>
      </c>
      <c r="B170" t="s">
        <v>605</v>
      </c>
      <c r="C170" t="s">
        <v>259</v>
      </c>
      <c r="D170">
        <v>1.9</v>
      </c>
    </row>
    <row r="171" spans="1:4" x14ac:dyDescent="0.25">
      <c r="A171" s="1">
        <v>6</v>
      </c>
      <c r="B171" t="s">
        <v>606</v>
      </c>
      <c r="C171" t="s">
        <v>259</v>
      </c>
      <c r="D171">
        <v>0.3</v>
      </c>
    </row>
    <row r="172" spans="1:4" x14ac:dyDescent="0.25">
      <c r="A172" s="1">
        <v>7</v>
      </c>
      <c r="B172" t="s">
        <v>607</v>
      </c>
      <c r="C172" t="s">
        <v>259</v>
      </c>
      <c r="D172">
        <v>4.5999999999999996</v>
      </c>
    </row>
    <row r="173" spans="1:4" x14ac:dyDescent="0.25">
      <c r="A173" s="1">
        <v>8</v>
      </c>
      <c r="B173" t="s">
        <v>608</v>
      </c>
      <c r="C173" t="s">
        <v>259</v>
      </c>
      <c r="D173">
        <v>0.89999999999999991</v>
      </c>
    </row>
    <row r="176" spans="1:4" x14ac:dyDescent="0.25">
      <c r="A176" s="1" t="s">
        <v>596</v>
      </c>
      <c r="B176" s="1" t="s">
        <v>450</v>
      </c>
      <c r="C176" s="1" t="s">
        <v>451</v>
      </c>
      <c r="D176" s="1" t="s">
        <v>452</v>
      </c>
    </row>
    <row r="177" spans="1:4" x14ac:dyDescent="0.25">
      <c r="A177" s="1">
        <v>0</v>
      </c>
      <c r="B177" t="s">
        <v>609</v>
      </c>
      <c r="C177" t="s">
        <v>85</v>
      </c>
      <c r="D177">
        <v>100</v>
      </c>
    </row>
    <row r="180" spans="1:4" x14ac:dyDescent="0.25">
      <c r="A180" s="1" t="s">
        <v>596</v>
      </c>
      <c r="B180" s="1" t="s">
        <v>450</v>
      </c>
      <c r="C180" s="1" t="s">
        <v>451</v>
      </c>
      <c r="D180" s="1" t="s">
        <v>452</v>
      </c>
    </row>
    <row r="181" spans="1:4" x14ac:dyDescent="0.25">
      <c r="A181" s="1">
        <v>0</v>
      </c>
      <c r="B181" t="s">
        <v>610</v>
      </c>
      <c r="C181" t="s">
        <v>258</v>
      </c>
      <c r="D181">
        <v>3</v>
      </c>
    </row>
    <row r="182" spans="1:4" x14ac:dyDescent="0.25">
      <c r="A182" s="1">
        <v>1</v>
      </c>
      <c r="B182" t="s">
        <v>611</v>
      </c>
      <c r="C182" t="s">
        <v>259</v>
      </c>
      <c r="D182">
        <v>3</v>
      </c>
    </row>
    <row r="183" spans="1:4" x14ac:dyDescent="0.25">
      <c r="A183" s="1">
        <v>2</v>
      </c>
      <c r="B183" t="s">
        <v>612</v>
      </c>
      <c r="C183" t="s">
        <v>264</v>
      </c>
      <c r="D183">
        <v>3</v>
      </c>
    </row>
    <row r="184" spans="1:4" x14ac:dyDescent="0.25">
      <c r="A184" s="1">
        <v>3</v>
      </c>
      <c r="B184" t="s">
        <v>613</v>
      </c>
      <c r="C184" t="s">
        <v>263</v>
      </c>
      <c r="D184">
        <v>3</v>
      </c>
    </row>
    <row r="185" spans="1:4" x14ac:dyDescent="0.25">
      <c r="A185" s="1">
        <v>4</v>
      </c>
      <c r="B185" t="s">
        <v>614</v>
      </c>
      <c r="C185" t="s">
        <v>262</v>
      </c>
      <c r="D185">
        <v>3</v>
      </c>
    </row>
    <row r="188" spans="1:4" x14ac:dyDescent="0.25">
      <c r="A188" s="1" t="s">
        <v>615</v>
      </c>
      <c r="B188" s="1" t="s">
        <v>450</v>
      </c>
      <c r="C188" s="1" t="s">
        <v>451</v>
      </c>
      <c r="D188" s="1" t="s">
        <v>452</v>
      </c>
    </row>
    <row r="189" spans="1:4" x14ac:dyDescent="0.25">
      <c r="A189" s="1">
        <v>0</v>
      </c>
      <c r="B189" t="s">
        <v>600</v>
      </c>
      <c r="C189" t="s">
        <v>258</v>
      </c>
      <c r="D189">
        <v>90</v>
      </c>
    </row>
    <row r="190" spans="1:4" x14ac:dyDescent="0.25">
      <c r="A190" s="1">
        <v>1</v>
      </c>
      <c r="B190" t="s">
        <v>601</v>
      </c>
      <c r="C190" t="s">
        <v>258</v>
      </c>
      <c r="D190">
        <v>4</v>
      </c>
    </row>
    <row r="191" spans="1:4" x14ac:dyDescent="0.25">
      <c r="A191" s="1">
        <v>2</v>
      </c>
      <c r="B191" t="s">
        <v>602</v>
      </c>
      <c r="C191" t="s">
        <v>258</v>
      </c>
      <c r="D191">
        <v>0.4</v>
      </c>
    </row>
    <row r="192" spans="1:4" x14ac:dyDescent="0.25">
      <c r="A192" s="1">
        <v>3</v>
      </c>
      <c r="B192" t="s">
        <v>603</v>
      </c>
      <c r="C192" t="s">
        <v>258</v>
      </c>
      <c r="D192">
        <v>0.6</v>
      </c>
    </row>
    <row r="193" spans="1:4" x14ac:dyDescent="0.25">
      <c r="A193" s="1">
        <v>4</v>
      </c>
      <c r="B193" t="s">
        <v>604</v>
      </c>
      <c r="C193" t="s">
        <v>259</v>
      </c>
      <c r="D193">
        <v>80</v>
      </c>
    </row>
    <row r="194" spans="1:4" x14ac:dyDescent="0.25">
      <c r="A194" s="1">
        <v>5</v>
      </c>
      <c r="B194" t="s">
        <v>605</v>
      </c>
      <c r="C194" t="s">
        <v>259</v>
      </c>
      <c r="D194">
        <v>4</v>
      </c>
    </row>
    <row r="195" spans="1:4" x14ac:dyDescent="0.25">
      <c r="A195" s="1">
        <v>6</v>
      </c>
      <c r="B195" t="s">
        <v>606</v>
      </c>
      <c r="C195" t="s">
        <v>259</v>
      </c>
      <c r="D195">
        <v>0.3</v>
      </c>
    </row>
    <row r="196" spans="1:4" x14ac:dyDescent="0.25">
      <c r="A196" s="1">
        <v>7</v>
      </c>
      <c r="B196" t="s">
        <v>607</v>
      </c>
      <c r="C196" t="s">
        <v>259</v>
      </c>
      <c r="D196">
        <v>4.5999999999999996</v>
      </c>
    </row>
    <row r="197" spans="1:4" x14ac:dyDescent="0.25">
      <c r="A197" s="1">
        <v>8</v>
      </c>
      <c r="B197" t="s">
        <v>608</v>
      </c>
      <c r="C197" t="s">
        <v>259</v>
      </c>
      <c r="D197">
        <v>0.89999999999999991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321"/>
  <sheetViews>
    <sheetView topLeftCell="A246" zoomScale="130" zoomScaleNormal="130" workbookViewId="0">
      <selection activeCell="D297" sqref="D297"/>
    </sheetView>
  </sheetViews>
  <sheetFormatPr defaultRowHeight="15" x14ac:dyDescent="0.25"/>
  <cols>
    <col min="1" max="1" width="34.140625" bestFit="1" customWidth="1"/>
    <col min="2" max="2" width="37.5703125" bestFit="1" customWidth="1"/>
    <col min="3" max="3" width="10.42578125" bestFit="1" customWidth="1"/>
    <col min="4" max="4" width="17.42578125" bestFit="1" customWidth="1"/>
  </cols>
  <sheetData>
    <row r="2" spans="1:4" x14ac:dyDescent="0.25">
      <c r="A2" s="1" t="s">
        <v>1</v>
      </c>
      <c r="B2" s="1"/>
      <c r="C2" s="1" t="s">
        <v>300</v>
      </c>
      <c r="D2" s="1" t="s">
        <v>0</v>
      </c>
    </row>
    <row r="3" spans="1:4" x14ac:dyDescent="0.25">
      <c r="A3" s="1" t="s">
        <v>301</v>
      </c>
      <c r="B3" s="1" t="s">
        <v>302</v>
      </c>
      <c r="C3" t="s">
        <v>303</v>
      </c>
      <c r="D3">
        <v>83383.32799999998</v>
      </c>
    </row>
    <row r="4" spans="1:4" x14ac:dyDescent="0.25">
      <c r="A4" s="75" t="s">
        <v>304</v>
      </c>
      <c r="B4" s="1" t="s">
        <v>305</v>
      </c>
      <c r="C4" t="s">
        <v>306</v>
      </c>
      <c r="D4">
        <v>28848.924235140541</v>
      </c>
    </row>
    <row r="5" spans="1:4" x14ac:dyDescent="0.25">
      <c r="A5" s="75"/>
      <c r="B5" s="1" t="s">
        <v>307</v>
      </c>
      <c r="C5" t="s">
        <v>306</v>
      </c>
      <c r="D5">
        <v>16313.37977582352</v>
      </c>
    </row>
    <row r="6" spans="1:4" x14ac:dyDescent="0.25">
      <c r="A6" s="75"/>
      <c r="B6" s="1" t="s">
        <v>308</v>
      </c>
      <c r="C6" t="s">
        <v>306</v>
      </c>
      <c r="D6">
        <v>17400.93842754509</v>
      </c>
    </row>
    <row r="9" spans="1:4" x14ac:dyDescent="0.25">
      <c r="A9" s="2" t="s">
        <v>3</v>
      </c>
      <c r="B9" s="2"/>
      <c r="C9" s="2" t="s">
        <v>300</v>
      </c>
      <c r="D9" s="2" t="s">
        <v>2</v>
      </c>
    </row>
    <row r="10" spans="1:4" x14ac:dyDescent="0.25">
      <c r="A10" s="2" t="s">
        <v>301</v>
      </c>
      <c r="B10" s="2" t="s">
        <v>302</v>
      </c>
      <c r="C10" s="3" t="s">
        <v>303</v>
      </c>
      <c r="D10" s="3">
        <v>378390.45106661011</v>
      </c>
    </row>
    <row r="11" spans="1:4" x14ac:dyDescent="0.25">
      <c r="A11" s="76" t="s">
        <v>304</v>
      </c>
      <c r="B11" s="2" t="s">
        <v>309</v>
      </c>
      <c r="C11" s="3" t="s">
        <v>306</v>
      </c>
      <c r="D11" s="3">
        <v>22862.424737346479</v>
      </c>
    </row>
    <row r="12" spans="1:4" x14ac:dyDescent="0.25">
      <c r="A12" s="76"/>
      <c r="B12" s="2" t="s">
        <v>310</v>
      </c>
      <c r="C12" s="3" t="s">
        <v>306</v>
      </c>
      <c r="D12" s="3">
        <v>484811.92871314049</v>
      </c>
    </row>
    <row r="15" spans="1:4" x14ac:dyDescent="0.25">
      <c r="A15" s="1" t="s">
        <v>5</v>
      </c>
      <c r="B15" s="1"/>
      <c r="C15" s="1" t="s">
        <v>300</v>
      </c>
      <c r="D15" s="1" t="s">
        <v>4</v>
      </c>
    </row>
    <row r="16" spans="1:4" x14ac:dyDescent="0.25">
      <c r="A16" s="1" t="s">
        <v>301</v>
      </c>
      <c r="B16" s="1" t="s">
        <v>302</v>
      </c>
      <c r="C16" t="s">
        <v>303</v>
      </c>
      <c r="D16">
        <v>90513.595669795643</v>
      </c>
    </row>
    <row r="17" spans="1:4" x14ac:dyDescent="0.25">
      <c r="A17" s="1" t="s">
        <v>304</v>
      </c>
      <c r="B17" s="1" t="s">
        <v>311</v>
      </c>
      <c r="C17" t="s">
        <v>306</v>
      </c>
      <c r="D17">
        <v>4121.0921979996756</v>
      </c>
    </row>
    <row r="20" spans="1:4" x14ac:dyDescent="0.25">
      <c r="A20" s="2" t="s">
        <v>7</v>
      </c>
      <c r="B20" s="2"/>
      <c r="C20" s="2" t="s">
        <v>300</v>
      </c>
      <c r="D20" s="2" t="s">
        <v>6</v>
      </c>
    </row>
    <row r="21" spans="1:4" x14ac:dyDescent="0.25">
      <c r="A21" s="2" t="s">
        <v>301</v>
      </c>
      <c r="B21" s="2" t="s">
        <v>302</v>
      </c>
      <c r="C21" s="3" t="s">
        <v>303</v>
      </c>
      <c r="D21" s="3">
        <v>1300.7129170990529</v>
      </c>
    </row>
    <row r="22" spans="1:4" x14ac:dyDescent="0.25">
      <c r="A22" s="2" t="s">
        <v>304</v>
      </c>
      <c r="B22" s="2" t="s">
        <v>310</v>
      </c>
      <c r="C22" s="3" t="s">
        <v>306</v>
      </c>
      <c r="D22" s="3">
        <v>229344.65592607239</v>
      </c>
    </row>
    <row r="23" spans="1:4" x14ac:dyDescent="0.25">
      <c r="A23" s="4" t="s">
        <v>616</v>
      </c>
    </row>
    <row r="24" spans="1:4" x14ac:dyDescent="0.25">
      <c r="A24" s="4" t="s">
        <v>617</v>
      </c>
    </row>
    <row r="26" spans="1:4" x14ac:dyDescent="0.25">
      <c r="A26" s="2" t="s">
        <v>9</v>
      </c>
      <c r="B26" s="2"/>
      <c r="C26" s="2" t="s">
        <v>300</v>
      </c>
      <c r="D26" s="2" t="s">
        <v>8</v>
      </c>
    </row>
    <row r="27" spans="1:4" x14ac:dyDescent="0.25">
      <c r="A27" s="2" t="s">
        <v>301</v>
      </c>
      <c r="B27" s="2" t="s">
        <v>302</v>
      </c>
      <c r="C27" s="3" t="s">
        <v>303</v>
      </c>
      <c r="D27" s="3">
        <v>437719.81288738019</v>
      </c>
    </row>
    <row r="28" spans="1:4" x14ac:dyDescent="0.25">
      <c r="A28" s="76" t="s">
        <v>304</v>
      </c>
      <c r="B28" s="2" t="s">
        <v>309</v>
      </c>
      <c r="C28" s="3" t="s">
        <v>306</v>
      </c>
      <c r="D28" s="3">
        <v>75278.605614548724</v>
      </c>
    </row>
    <row r="29" spans="1:4" x14ac:dyDescent="0.25">
      <c r="A29" s="76"/>
      <c r="B29" s="2" t="s">
        <v>57</v>
      </c>
      <c r="C29" s="3" t="s">
        <v>306</v>
      </c>
      <c r="D29" s="3">
        <v>29782.34951953901</v>
      </c>
    </row>
    <row r="30" spans="1:4" x14ac:dyDescent="0.25">
      <c r="A30" s="76"/>
      <c r="B30" s="2" t="s">
        <v>310</v>
      </c>
      <c r="C30" s="3" t="s">
        <v>306</v>
      </c>
      <c r="D30" s="3">
        <v>704839.40812785213</v>
      </c>
    </row>
    <row r="33" spans="1:4" x14ac:dyDescent="0.25">
      <c r="A33" s="1" t="s">
        <v>11</v>
      </c>
      <c r="B33" s="1"/>
      <c r="C33" s="1" t="s">
        <v>300</v>
      </c>
      <c r="D33" s="1" t="s">
        <v>10</v>
      </c>
    </row>
    <row r="34" spans="1:4" x14ac:dyDescent="0.25">
      <c r="A34" s="1" t="s">
        <v>301</v>
      </c>
      <c r="B34" s="1" t="s">
        <v>302</v>
      </c>
      <c r="C34" t="s">
        <v>303</v>
      </c>
      <c r="D34">
        <v>302059.7394242686</v>
      </c>
    </row>
    <row r="35" spans="1:4" x14ac:dyDescent="0.25">
      <c r="A35" s="1" t="s">
        <v>304</v>
      </c>
      <c r="B35" s="1" t="s">
        <v>57</v>
      </c>
      <c r="C35" t="s">
        <v>306</v>
      </c>
      <c r="D35">
        <v>26812.246059895759</v>
      </c>
    </row>
    <row r="38" spans="1:4" x14ac:dyDescent="0.25">
      <c r="A38" s="1" t="s">
        <v>13</v>
      </c>
      <c r="B38" s="1"/>
      <c r="C38" s="1" t="s">
        <v>300</v>
      </c>
      <c r="D38" s="1" t="s">
        <v>12</v>
      </c>
    </row>
    <row r="39" spans="1:4" x14ac:dyDescent="0.25">
      <c r="A39" s="75" t="s">
        <v>301</v>
      </c>
      <c r="B39" s="1" t="s">
        <v>312</v>
      </c>
      <c r="C39" t="s">
        <v>313</v>
      </c>
      <c r="D39">
        <v>49101.805828512617</v>
      </c>
    </row>
    <row r="40" spans="1:4" x14ac:dyDescent="0.25">
      <c r="A40" s="75"/>
      <c r="B40" s="1" t="s">
        <v>302</v>
      </c>
      <c r="C40" t="s">
        <v>303</v>
      </c>
      <c r="D40">
        <v>256306.07380921039</v>
      </c>
    </row>
    <row r="41" spans="1:4" x14ac:dyDescent="0.25">
      <c r="A41" s="75"/>
      <c r="B41" s="1" t="s">
        <v>299</v>
      </c>
      <c r="C41" t="s">
        <v>303</v>
      </c>
      <c r="D41">
        <v>5736.4247353771416</v>
      </c>
    </row>
    <row r="42" spans="1:4" x14ac:dyDescent="0.25">
      <c r="A42" s="75" t="s">
        <v>304</v>
      </c>
      <c r="B42" s="1" t="s">
        <v>314</v>
      </c>
      <c r="C42" t="s">
        <v>306</v>
      </c>
      <c r="D42">
        <v>631286.91294264758</v>
      </c>
    </row>
    <row r="43" spans="1:4" x14ac:dyDescent="0.25">
      <c r="A43" s="75"/>
      <c r="B43" s="1" t="s">
        <v>315</v>
      </c>
      <c r="C43" t="s">
        <v>306</v>
      </c>
      <c r="D43">
        <v>30688774.8181285</v>
      </c>
    </row>
    <row r="44" spans="1:4" x14ac:dyDescent="0.25">
      <c r="A44" s="75"/>
      <c r="B44" s="1" t="s">
        <v>316</v>
      </c>
      <c r="C44" t="s">
        <v>306</v>
      </c>
      <c r="D44">
        <v>330247.73637109372</v>
      </c>
    </row>
    <row r="45" spans="1:4" x14ac:dyDescent="0.25">
      <c r="A45" s="75"/>
      <c r="B45" s="1" t="s">
        <v>317</v>
      </c>
      <c r="C45" t="s">
        <v>306</v>
      </c>
      <c r="D45">
        <v>43311.178540471301</v>
      </c>
    </row>
    <row r="46" spans="1:4" x14ac:dyDescent="0.25">
      <c r="A46" s="75"/>
      <c r="B46" s="1" t="s">
        <v>318</v>
      </c>
      <c r="C46" t="s">
        <v>306</v>
      </c>
      <c r="D46">
        <v>84456.798153919037</v>
      </c>
    </row>
    <row r="47" spans="1:4" x14ac:dyDescent="0.25">
      <c r="A47" s="75"/>
      <c r="B47" s="1" t="s">
        <v>319</v>
      </c>
      <c r="C47" t="s">
        <v>306</v>
      </c>
      <c r="D47">
        <v>10715412.15915649</v>
      </c>
    </row>
    <row r="50" spans="1:4" x14ac:dyDescent="0.25">
      <c r="A50" s="1" t="s">
        <v>15</v>
      </c>
      <c r="B50" s="1"/>
      <c r="C50" s="1" t="s">
        <v>300</v>
      </c>
      <c r="D50" s="1" t="s">
        <v>14</v>
      </c>
    </row>
    <row r="51" spans="1:4" x14ac:dyDescent="0.25">
      <c r="A51" s="1" t="s">
        <v>301</v>
      </c>
      <c r="B51" s="1" t="s">
        <v>302</v>
      </c>
      <c r="C51" t="s">
        <v>303</v>
      </c>
      <c r="D51">
        <v>126.11728359999999</v>
      </c>
    </row>
    <row r="52" spans="1:4" x14ac:dyDescent="0.25">
      <c r="A52" s="1" t="s">
        <v>304</v>
      </c>
      <c r="B52" s="1" t="s">
        <v>15</v>
      </c>
      <c r="C52" t="s">
        <v>306</v>
      </c>
      <c r="D52">
        <v>694125.33144130476</v>
      </c>
    </row>
    <row r="55" spans="1:4" x14ac:dyDescent="0.25">
      <c r="A55" s="2" t="s">
        <v>17</v>
      </c>
      <c r="B55" s="2"/>
      <c r="C55" s="2" t="s">
        <v>300</v>
      </c>
      <c r="D55" s="2" t="s">
        <v>16</v>
      </c>
    </row>
    <row r="56" spans="1:4" x14ac:dyDescent="0.25">
      <c r="A56" s="2" t="s">
        <v>301</v>
      </c>
      <c r="B56" s="2" t="s">
        <v>302</v>
      </c>
      <c r="C56" s="3" t="s">
        <v>303</v>
      </c>
      <c r="D56" s="3">
        <v>1290.7001564526161</v>
      </c>
    </row>
    <row r="57" spans="1:4" x14ac:dyDescent="0.25">
      <c r="A57" s="76" t="s">
        <v>304</v>
      </c>
      <c r="B57" s="2" t="s">
        <v>309</v>
      </c>
      <c r="C57" s="3" t="s">
        <v>306</v>
      </c>
      <c r="D57" s="3">
        <v>22185.455350873752</v>
      </c>
    </row>
    <row r="58" spans="1:4" x14ac:dyDescent="0.25">
      <c r="A58" s="76"/>
      <c r="B58" s="2" t="s">
        <v>57</v>
      </c>
      <c r="C58" s="3" t="s">
        <v>306</v>
      </c>
      <c r="D58" s="3">
        <v>3068.4285474811331</v>
      </c>
    </row>
    <row r="59" spans="1:4" x14ac:dyDescent="0.25">
      <c r="A59" s="76"/>
      <c r="B59" s="2" t="s">
        <v>310</v>
      </c>
      <c r="C59" s="3" t="s">
        <v>306</v>
      </c>
      <c r="D59" s="3">
        <v>72144.856724985395</v>
      </c>
    </row>
    <row r="62" spans="1:4" x14ac:dyDescent="0.25">
      <c r="A62" s="1" t="s">
        <v>19</v>
      </c>
      <c r="B62" s="1"/>
      <c r="C62" s="1" t="s">
        <v>300</v>
      </c>
      <c r="D62" s="1" t="s">
        <v>18</v>
      </c>
    </row>
    <row r="63" spans="1:4" x14ac:dyDescent="0.25">
      <c r="A63" s="1" t="s">
        <v>301</v>
      </c>
      <c r="B63" s="1" t="s">
        <v>320</v>
      </c>
      <c r="C63" t="s">
        <v>321</v>
      </c>
      <c r="D63">
        <v>-44595915.007589579</v>
      </c>
    </row>
    <row r="64" spans="1:4" x14ac:dyDescent="0.25">
      <c r="A64" s="1" t="s">
        <v>304</v>
      </c>
      <c r="B64" s="1" t="s">
        <v>19</v>
      </c>
      <c r="C64" t="s">
        <v>306</v>
      </c>
      <c r="D64">
        <v>1170091.2251781409</v>
      </c>
    </row>
    <row r="67" spans="1:4" x14ac:dyDescent="0.25">
      <c r="A67" s="1" t="s">
        <v>21</v>
      </c>
      <c r="B67" s="1"/>
      <c r="C67" s="1" t="s">
        <v>300</v>
      </c>
      <c r="D67" s="1" t="s">
        <v>20</v>
      </c>
    </row>
    <row r="68" spans="1:4" x14ac:dyDescent="0.25">
      <c r="A68" s="75" t="s">
        <v>301</v>
      </c>
      <c r="B68" s="1" t="s">
        <v>322</v>
      </c>
      <c r="C68" t="s">
        <v>323</v>
      </c>
      <c r="D68">
        <v>1350.416915484416</v>
      </c>
    </row>
    <row r="69" spans="1:4" x14ac:dyDescent="0.25">
      <c r="A69" s="75"/>
      <c r="B69" s="1" t="s">
        <v>302</v>
      </c>
      <c r="C69" t="s">
        <v>324</v>
      </c>
      <c r="D69">
        <v>81.025014929064952</v>
      </c>
    </row>
    <row r="70" spans="1:4" x14ac:dyDescent="0.25">
      <c r="A70" s="75" t="s">
        <v>304</v>
      </c>
      <c r="B70" s="1" t="s">
        <v>325</v>
      </c>
      <c r="C70" t="s">
        <v>306</v>
      </c>
      <c r="D70">
        <v>5354882.8117919769</v>
      </c>
    </row>
    <row r="71" spans="1:4" x14ac:dyDescent="0.25">
      <c r="A71" s="75"/>
      <c r="B71" s="1" t="s">
        <v>326</v>
      </c>
      <c r="C71" t="s">
        <v>306</v>
      </c>
      <c r="D71">
        <v>51866.638723185388</v>
      </c>
    </row>
    <row r="74" spans="1:4" x14ac:dyDescent="0.25">
      <c r="A74" s="1" t="s">
        <v>23</v>
      </c>
      <c r="B74" s="1"/>
      <c r="C74" s="1" t="s">
        <v>300</v>
      </c>
      <c r="D74" s="1" t="s">
        <v>22</v>
      </c>
    </row>
    <row r="75" spans="1:4" x14ac:dyDescent="0.25">
      <c r="A75" s="1" t="s">
        <v>301</v>
      </c>
      <c r="B75" s="1" t="s">
        <v>302</v>
      </c>
      <c r="C75" t="s">
        <v>327</v>
      </c>
      <c r="D75">
        <v>204644.41299414591</v>
      </c>
    </row>
    <row r="76" spans="1:4" x14ac:dyDescent="0.25">
      <c r="A76" s="75" t="s">
        <v>304</v>
      </c>
      <c r="B76" s="1" t="s">
        <v>23</v>
      </c>
      <c r="C76" t="s">
        <v>306</v>
      </c>
      <c r="D76">
        <v>702454.80854612053</v>
      </c>
    </row>
    <row r="77" spans="1:4" x14ac:dyDescent="0.25">
      <c r="A77" s="75"/>
      <c r="B77" s="1" t="s">
        <v>328</v>
      </c>
      <c r="C77" t="s">
        <v>306</v>
      </c>
      <c r="D77">
        <v>122005.5187066645</v>
      </c>
    </row>
    <row r="80" spans="1:4" x14ac:dyDescent="0.25">
      <c r="A80" s="1" t="s">
        <v>25</v>
      </c>
      <c r="B80" s="1"/>
      <c r="C80" s="1" t="s">
        <v>300</v>
      </c>
      <c r="D80" s="1" t="s">
        <v>24</v>
      </c>
    </row>
    <row r="81" spans="1:4" x14ac:dyDescent="0.25">
      <c r="A81" s="1" t="s">
        <v>301</v>
      </c>
      <c r="B81" s="1" t="s">
        <v>302</v>
      </c>
      <c r="C81" t="s">
        <v>303</v>
      </c>
      <c r="D81">
        <v>158.86522341032929</v>
      </c>
    </row>
    <row r="82" spans="1:4" x14ac:dyDescent="0.25">
      <c r="A82" s="75" t="s">
        <v>304</v>
      </c>
      <c r="B82" s="1" t="s">
        <v>329</v>
      </c>
      <c r="C82" t="s">
        <v>306</v>
      </c>
      <c r="D82">
        <v>32115.993226109731</v>
      </c>
    </row>
    <row r="83" spans="1:4" x14ac:dyDescent="0.25">
      <c r="A83" s="75"/>
      <c r="B83" s="1" t="s">
        <v>309</v>
      </c>
      <c r="C83" t="s">
        <v>306</v>
      </c>
      <c r="D83">
        <v>10518.21527627053</v>
      </c>
    </row>
    <row r="84" spans="1:4" x14ac:dyDescent="0.25">
      <c r="A84" s="75"/>
      <c r="B84" s="1" t="s">
        <v>57</v>
      </c>
      <c r="C84" t="s">
        <v>306</v>
      </c>
      <c r="D84">
        <v>3195.1378821415019</v>
      </c>
    </row>
    <row r="85" spans="1:4" x14ac:dyDescent="0.25">
      <c r="A85" s="75"/>
      <c r="B85" s="1" t="s">
        <v>310</v>
      </c>
      <c r="C85" t="s">
        <v>306</v>
      </c>
      <c r="D85">
        <v>108914.17296464249</v>
      </c>
    </row>
    <row r="88" spans="1:4" x14ac:dyDescent="0.25">
      <c r="A88" s="1" t="s">
        <v>27</v>
      </c>
      <c r="B88" s="1"/>
      <c r="C88" s="1" t="s">
        <v>300</v>
      </c>
      <c r="D88" s="1" t="s">
        <v>26</v>
      </c>
    </row>
    <row r="89" spans="1:4" x14ac:dyDescent="0.25">
      <c r="A89" s="75" t="s">
        <v>301</v>
      </c>
      <c r="B89" s="1" t="s">
        <v>330</v>
      </c>
      <c r="D89">
        <v>2</v>
      </c>
    </row>
    <row r="90" spans="1:4" x14ac:dyDescent="0.25">
      <c r="A90" s="75"/>
      <c r="B90" s="1" t="s">
        <v>331</v>
      </c>
      <c r="D90">
        <v>23</v>
      </c>
    </row>
    <row r="91" spans="1:4" x14ac:dyDescent="0.25">
      <c r="A91" s="75"/>
      <c r="B91" s="1" t="s">
        <v>332</v>
      </c>
      <c r="C91" t="s">
        <v>333</v>
      </c>
      <c r="D91">
        <v>0.29205115219249139</v>
      </c>
    </row>
    <row r="92" spans="1:4" x14ac:dyDescent="0.25">
      <c r="A92" s="75"/>
      <c r="B92" s="1" t="s">
        <v>334</v>
      </c>
      <c r="C92" t="s">
        <v>333</v>
      </c>
      <c r="D92">
        <v>0.40887161306948799</v>
      </c>
    </row>
    <row r="93" spans="1:4" x14ac:dyDescent="0.25">
      <c r="A93" s="75"/>
      <c r="B93" s="1" t="s">
        <v>335</v>
      </c>
      <c r="D93">
        <v>41</v>
      </c>
    </row>
    <row r="94" spans="1:4" x14ac:dyDescent="0.25">
      <c r="A94" s="75"/>
      <c r="B94" s="1" t="s">
        <v>336</v>
      </c>
      <c r="C94" t="s">
        <v>337</v>
      </c>
      <c r="D94">
        <v>71.560415999999989</v>
      </c>
    </row>
    <row r="95" spans="1:4" x14ac:dyDescent="0.25">
      <c r="A95" s="75"/>
      <c r="B95" s="1" t="s">
        <v>338</v>
      </c>
      <c r="C95" t="s">
        <v>337</v>
      </c>
      <c r="D95">
        <v>9.7541469040455944</v>
      </c>
    </row>
    <row r="96" spans="1:4" x14ac:dyDescent="0.25">
      <c r="A96" s="75"/>
      <c r="B96" s="1" t="s">
        <v>339</v>
      </c>
      <c r="C96" t="s">
        <v>340</v>
      </c>
      <c r="D96">
        <v>0.4375</v>
      </c>
    </row>
    <row r="97" spans="1:4" x14ac:dyDescent="0.25">
      <c r="A97" s="75"/>
      <c r="B97" s="1" t="s">
        <v>341</v>
      </c>
      <c r="C97" t="s">
        <v>342</v>
      </c>
      <c r="D97">
        <v>44444.691401683398</v>
      </c>
    </row>
    <row r="98" spans="1:4" x14ac:dyDescent="0.25">
      <c r="A98" s="75" t="s">
        <v>304</v>
      </c>
      <c r="B98" s="1" t="s">
        <v>343</v>
      </c>
      <c r="C98" t="s">
        <v>306</v>
      </c>
      <c r="D98">
        <v>139541.17148042849</v>
      </c>
    </row>
    <row r="99" spans="1:4" x14ac:dyDescent="0.25">
      <c r="A99" s="75"/>
      <c r="B99" s="1" t="s">
        <v>344</v>
      </c>
      <c r="C99" t="s">
        <v>306</v>
      </c>
      <c r="D99">
        <v>273028.11461238359</v>
      </c>
    </row>
    <row r="100" spans="1:4" x14ac:dyDescent="0.25">
      <c r="A100" s="75"/>
      <c r="B100" s="1" t="s">
        <v>345</v>
      </c>
      <c r="C100" t="s">
        <v>306</v>
      </c>
      <c r="D100">
        <v>44305.480406648407</v>
      </c>
    </row>
    <row r="101" spans="1:4" x14ac:dyDescent="0.25">
      <c r="A101" s="75"/>
      <c r="B101" s="1" t="s">
        <v>346</v>
      </c>
      <c r="C101" t="s">
        <v>306</v>
      </c>
      <c r="D101">
        <v>42751.983231899991</v>
      </c>
    </row>
    <row r="102" spans="1:4" x14ac:dyDescent="0.25">
      <c r="A102" s="75"/>
      <c r="B102" s="1" t="s">
        <v>347</v>
      </c>
      <c r="C102" t="s">
        <v>306</v>
      </c>
      <c r="D102">
        <v>48765.681681773844</v>
      </c>
    </row>
    <row r="103" spans="1:4" x14ac:dyDescent="0.25">
      <c r="A103" s="75"/>
      <c r="B103" s="1" t="s">
        <v>348</v>
      </c>
      <c r="C103" t="s">
        <v>306</v>
      </c>
      <c r="D103">
        <v>11039.135005038541</v>
      </c>
    </row>
    <row r="104" spans="1:4" x14ac:dyDescent="0.25">
      <c r="A104" s="75"/>
      <c r="B104" s="1" t="s">
        <v>349</v>
      </c>
      <c r="C104" t="s">
        <v>306</v>
      </c>
      <c r="D104">
        <v>13194.69778296034</v>
      </c>
    </row>
    <row r="105" spans="1:4" x14ac:dyDescent="0.25">
      <c r="A105" s="75"/>
      <c r="B105" s="1" t="s">
        <v>350</v>
      </c>
      <c r="C105" t="s">
        <v>306</v>
      </c>
      <c r="D105">
        <v>1063.630456993119</v>
      </c>
    </row>
    <row r="106" spans="1:4" x14ac:dyDescent="0.25">
      <c r="A106" s="75"/>
      <c r="B106" s="1" t="s">
        <v>351</v>
      </c>
      <c r="C106" t="s">
        <v>306</v>
      </c>
      <c r="D106">
        <v>100165.9599273678</v>
      </c>
    </row>
    <row r="109" spans="1:4" x14ac:dyDescent="0.25">
      <c r="A109" s="1" t="s">
        <v>29</v>
      </c>
      <c r="B109" s="1"/>
      <c r="C109" s="1" t="s">
        <v>300</v>
      </c>
      <c r="D109" s="1" t="s">
        <v>28</v>
      </c>
    </row>
    <row r="110" spans="1:4" x14ac:dyDescent="0.25">
      <c r="A110" s="75" t="s">
        <v>301</v>
      </c>
      <c r="B110" s="1" t="s">
        <v>330</v>
      </c>
      <c r="D110">
        <v>10</v>
      </c>
    </row>
    <row r="111" spans="1:4" x14ac:dyDescent="0.25">
      <c r="A111" s="75"/>
      <c r="B111" s="1" t="s">
        <v>331</v>
      </c>
      <c r="D111">
        <v>17</v>
      </c>
    </row>
    <row r="112" spans="1:4" x14ac:dyDescent="0.25">
      <c r="A112" s="75"/>
      <c r="B112" s="1" t="s">
        <v>332</v>
      </c>
      <c r="C112" t="s">
        <v>333</v>
      </c>
      <c r="D112">
        <v>2.0351916102112799</v>
      </c>
    </row>
    <row r="113" spans="1:4" x14ac:dyDescent="0.25">
      <c r="A113" s="75"/>
      <c r="B113" s="1" t="s">
        <v>334</v>
      </c>
      <c r="C113" t="s">
        <v>333</v>
      </c>
      <c r="D113">
        <v>2.8492682542957919</v>
      </c>
    </row>
    <row r="114" spans="1:4" x14ac:dyDescent="0.25">
      <c r="A114" s="75"/>
      <c r="B114" s="1" t="s">
        <v>352</v>
      </c>
      <c r="D114">
        <v>16</v>
      </c>
    </row>
    <row r="115" spans="1:4" x14ac:dyDescent="0.25">
      <c r="A115" s="75"/>
      <c r="B115" s="1" t="s">
        <v>353</v>
      </c>
      <c r="D115">
        <v>13</v>
      </c>
    </row>
    <row r="116" spans="1:4" x14ac:dyDescent="0.25">
      <c r="A116" s="75"/>
      <c r="B116" s="1" t="s">
        <v>354</v>
      </c>
      <c r="C116" t="s">
        <v>337</v>
      </c>
      <c r="D116">
        <v>36.136415999999997</v>
      </c>
    </row>
    <row r="117" spans="1:4" x14ac:dyDescent="0.25">
      <c r="A117" s="75"/>
      <c r="B117" s="1" t="s">
        <v>355</v>
      </c>
      <c r="C117" t="s">
        <v>337</v>
      </c>
      <c r="D117">
        <v>31.708416</v>
      </c>
    </row>
    <row r="118" spans="1:4" x14ac:dyDescent="0.25">
      <c r="A118" s="75"/>
      <c r="B118" s="1" t="s">
        <v>356</v>
      </c>
      <c r="C118" t="s">
        <v>337</v>
      </c>
      <c r="D118">
        <v>12.437537130074301</v>
      </c>
    </row>
    <row r="119" spans="1:4" x14ac:dyDescent="0.25">
      <c r="A119" s="75"/>
      <c r="B119" s="1" t="s">
        <v>357</v>
      </c>
      <c r="C119" t="s">
        <v>337</v>
      </c>
      <c r="D119">
        <v>5.306671946199315</v>
      </c>
    </row>
    <row r="120" spans="1:4" x14ac:dyDescent="0.25">
      <c r="A120" s="75"/>
      <c r="B120" s="1" t="s">
        <v>358</v>
      </c>
      <c r="C120" t="s">
        <v>340</v>
      </c>
      <c r="D120">
        <v>0.625</v>
      </c>
    </row>
    <row r="121" spans="1:4" x14ac:dyDescent="0.25">
      <c r="A121" s="75"/>
      <c r="B121" s="1" t="s">
        <v>359</v>
      </c>
      <c r="C121" t="s">
        <v>340</v>
      </c>
      <c r="D121">
        <v>0.3125</v>
      </c>
    </row>
    <row r="122" spans="1:4" x14ac:dyDescent="0.25">
      <c r="A122" s="75"/>
      <c r="B122" s="1" t="s">
        <v>360</v>
      </c>
      <c r="C122" t="s">
        <v>342</v>
      </c>
      <c r="D122">
        <v>23468.006970257102</v>
      </c>
    </row>
    <row r="123" spans="1:4" x14ac:dyDescent="0.25">
      <c r="A123" s="75"/>
      <c r="B123" s="1" t="s">
        <v>361</v>
      </c>
      <c r="C123" t="s">
        <v>342</v>
      </c>
      <c r="D123">
        <v>7833.4437192571613</v>
      </c>
    </row>
    <row r="124" spans="1:4" x14ac:dyDescent="0.25">
      <c r="A124" s="75" t="s">
        <v>304</v>
      </c>
      <c r="B124" s="1" t="s">
        <v>362</v>
      </c>
      <c r="C124" t="s">
        <v>306</v>
      </c>
      <c r="D124">
        <v>103816.96047025701</v>
      </c>
    </row>
    <row r="125" spans="1:4" x14ac:dyDescent="0.25">
      <c r="A125" s="75"/>
      <c r="B125" s="1" t="s">
        <v>363</v>
      </c>
      <c r="C125" t="s">
        <v>306</v>
      </c>
      <c r="D125">
        <v>25544.181842922939</v>
      </c>
    </row>
    <row r="126" spans="1:4" x14ac:dyDescent="0.25">
      <c r="A126" s="75"/>
      <c r="B126" s="1" t="s">
        <v>364</v>
      </c>
      <c r="C126" t="s">
        <v>306</v>
      </c>
      <c r="D126">
        <v>179180.43322214781</v>
      </c>
    </row>
    <row r="127" spans="1:4" x14ac:dyDescent="0.25">
      <c r="A127" s="75"/>
      <c r="B127" s="1" t="s">
        <v>365</v>
      </c>
      <c r="C127" t="s">
        <v>306</v>
      </c>
      <c r="D127">
        <v>29883.016120825079</v>
      </c>
    </row>
    <row r="128" spans="1:4" x14ac:dyDescent="0.25">
      <c r="A128" s="75"/>
      <c r="B128" s="1" t="s">
        <v>366</v>
      </c>
      <c r="C128" t="s">
        <v>306</v>
      </c>
      <c r="D128">
        <v>90783.855266483995</v>
      </c>
    </row>
    <row r="129" spans="1:4" x14ac:dyDescent="0.25">
      <c r="A129" s="75"/>
      <c r="B129" s="1" t="s">
        <v>367</v>
      </c>
      <c r="C129" t="s">
        <v>306</v>
      </c>
      <c r="D129">
        <v>15692.89352451493</v>
      </c>
    </row>
    <row r="130" spans="1:4" x14ac:dyDescent="0.25">
      <c r="A130" s="75"/>
      <c r="B130" s="1" t="s">
        <v>346</v>
      </c>
      <c r="C130" t="s">
        <v>306</v>
      </c>
      <c r="D130">
        <v>107496.8848099725</v>
      </c>
    </row>
    <row r="131" spans="1:4" x14ac:dyDescent="0.25">
      <c r="A131" s="75"/>
      <c r="B131" s="1" t="s">
        <v>368</v>
      </c>
      <c r="C131" t="s">
        <v>306</v>
      </c>
      <c r="D131">
        <v>13573.48614647166</v>
      </c>
    </row>
    <row r="132" spans="1:4" x14ac:dyDescent="0.25">
      <c r="A132" s="75"/>
      <c r="B132" s="1" t="s">
        <v>348</v>
      </c>
      <c r="C132" t="s">
        <v>306</v>
      </c>
      <c r="D132">
        <v>3156.5536898529531</v>
      </c>
    </row>
    <row r="133" spans="1:4" x14ac:dyDescent="0.25">
      <c r="A133" s="75"/>
      <c r="B133" s="1" t="s">
        <v>349</v>
      </c>
      <c r="C133" t="s">
        <v>306</v>
      </c>
      <c r="D133">
        <v>4430.1458161654637</v>
      </c>
    </row>
    <row r="134" spans="1:4" x14ac:dyDescent="0.25">
      <c r="A134" s="75"/>
      <c r="B134" s="1" t="s">
        <v>350</v>
      </c>
      <c r="C134" t="s">
        <v>306</v>
      </c>
      <c r="D134">
        <v>429.85160519149991</v>
      </c>
    </row>
    <row r="135" spans="1:4" x14ac:dyDescent="0.25">
      <c r="A135" s="75"/>
      <c r="B135" s="1" t="s">
        <v>351</v>
      </c>
      <c r="C135" t="s">
        <v>306</v>
      </c>
      <c r="D135">
        <v>40951.578362959277</v>
      </c>
    </row>
    <row r="138" spans="1:4" x14ac:dyDescent="0.25">
      <c r="A138" s="1" t="s">
        <v>31</v>
      </c>
      <c r="B138" s="1"/>
      <c r="C138" s="1" t="s">
        <v>300</v>
      </c>
      <c r="D138" s="1" t="s">
        <v>30</v>
      </c>
    </row>
    <row r="139" spans="1:4" x14ac:dyDescent="0.25">
      <c r="A139" s="1" t="s">
        <v>301</v>
      </c>
      <c r="B139" s="1" t="s">
        <v>302</v>
      </c>
      <c r="C139" t="s">
        <v>303</v>
      </c>
      <c r="D139">
        <v>430233.38548420538</v>
      </c>
    </row>
    <row r="140" spans="1:4" x14ac:dyDescent="0.25">
      <c r="A140" s="1" t="s">
        <v>304</v>
      </c>
      <c r="B140" s="1" t="s">
        <v>311</v>
      </c>
      <c r="C140" t="s">
        <v>306</v>
      </c>
      <c r="D140">
        <v>126090.42730093221</v>
      </c>
    </row>
    <row r="143" spans="1:4" x14ac:dyDescent="0.25">
      <c r="A143" s="1" t="s">
        <v>33</v>
      </c>
      <c r="B143" s="1"/>
      <c r="C143" s="1" t="s">
        <v>300</v>
      </c>
      <c r="D143" s="1" t="s">
        <v>32</v>
      </c>
    </row>
    <row r="144" spans="1:4" x14ac:dyDescent="0.25">
      <c r="A144" s="1" t="s">
        <v>301</v>
      </c>
      <c r="B144" s="1" t="s">
        <v>302</v>
      </c>
      <c r="C144" t="s">
        <v>303</v>
      </c>
      <c r="D144">
        <v>104229.16</v>
      </c>
    </row>
    <row r="145" spans="1:6" x14ac:dyDescent="0.25">
      <c r="A145" s="1" t="s">
        <v>304</v>
      </c>
      <c r="B145" s="1" t="s">
        <v>369</v>
      </c>
      <c r="C145" t="s">
        <v>306</v>
      </c>
      <c r="D145">
        <v>0</v>
      </c>
    </row>
    <row r="148" spans="1:6" x14ac:dyDescent="0.25">
      <c r="A148" s="1" t="s">
        <v>35</v>
      </c>
      <c r="B148" s="1"/>
      <c r="C148" s="1" t="s">
        <v>300</v>
      </c>
      <c r="D148" s="1" t="s">
        <v>34</v>
      </c>
    </row>
    <row r="149" spans="1:6" x14ac:dyDescent="0.25">
      <c r="A149" s="1" t="s">
        <v>301</v>
      </c>
      <c r="B149" s="1" t="s">
        <v>302</v>
      </c>
      <c r="C149" t="s">
        <v>303</v>
      </c>
      <c r="D149">
        <v>8338.3327999999983</v>
      </c>
    </row>
    <row r="150" spans="1:6" x14ac:dyDescent="0.25">
      <c r="A150" s="75" t="s">
        <v>304</v>
      </c>
      <c r="B150" s="1" t="s">
        <v>57</v>
      </c>
      <c r="C150" t="s">
        <v>306</v>
      </c>
      <c r="D150">
        <v>16300.172739754689</v>
      </c>
    </row>
    <row r="151" spans="1:6" x14ac:dyDescent="0.25">
      <c r="A151" s="75"/>
      <c r="B151" s="1" t="s">
        <v>310</v>
      </c>
      <c r="C151" t="s">
        <v>306</v>
      </c>
      <c r="D151">
        <v>872651.41039742704</v>
      </c>
    </row>
    <row r="154" spans="1:6" x14ac:dyDescent="0.25">
      <c r="A154" s="1" t="s">
        <v>37</v>
      </c>
      <c r="B154" s="1"/>
      <c r="C154" s="1" t="s">
        <v>300</v>
      </c>
      <c r="D154" s="1" t="s">
        <v>36</v>
      </c>
      <c r="E154" s="1" t="s">
        <v>38</v>
      </c>
      <c r="F154" s="1" t="s">
        <v>39</v>
      </c>
    </row>
    <row r="155" spans="1:6" x14ac:dyDescent="0.25">
      <c r="A155" s="75" t="s">
        <v>301</v>
      </c>
      <c r="B155" s="1" t="s">
        <v>370</v>
      </c>
      <c r="C155" t="s">
        <v>371</v>
      </c>
      <c r="D155">
        <v>21977.89323208707</v>
      </c>
      <c r="E155">
        <v>207.46264593797639</v>
      </c>
      <c r="F155">
        <v>2631.6749528703522</v>
      </c>
    </row>
    <row r="156" spans="1:6" x14ac:dyDescent="0.25">
      <c r="A156" s="75"/>
      <c r="B156" s="1" t="s">
        <v>372</v>
      </c>
      <c r="C156" t="s">
        <v>373</v>
      </c>
      <c r="D156">
        <v>1.28</v>
      </c>
      <c r="E156">
        <v>0.5</v>
      </c>
      <c r="F156">
        <v>0.5</v>
      </c>
    </row>
    <row r="157" spans="1:6" x14ac:dyDescent="0.25">
      <c r="A157" s="75"/>
      <c r="B157" s="1" t="s">
        <v>374</v>
      </c>
      <c r="C157" t="s">
        <v>375</v>
      </c>
      <c r="D157">
        <v>13.186814929759951</v>
      </c>
      <c r="E157">
        <v>34.759240627287092</v>
      </c>
      <c r="F157">
        <v>47.544992493173289</v>
      </c>
    </row>
    <row r="158" spans="1:6" x14ac:dyDescent="0.25">
      <c r="A158" s="75"/>
      <c r="B158" s="1" t="s">
        <v>376</v>
      </c>
      <c r="D158">
        <v>1</v>
      </c>
      <c r="E158">
        <v>1</v>
      </c>
      <c r="F158">
        <v>0.98241526147039171</v>
      </c>
    </row>
    <row r="159" spans="1:6" x14ac:dyDescent="0.25">
      <c r="A159" s="75"/>
      <c r="B159" s="1" t="s">
        <v>377</v>
      </c>
      <c r="C159" t="s">
        <v>378</v>
      </c>
      <c r="D159">
        <v>88.2</v>
      </c>
      <c r="E159">
        <v>50.01380310880829</v>
      </c>
      <c r="F159">
        <v>23.52</v>
      </c>
    </row>
    <row r="160" spans="1:6" x14ac:dyDescent="0.25">
      <c r="A160" s="75"/>
      <c r="B160" s="1" t="s">
        <v>379</v>
      </c>
      <c r="C160" t="s">
        <v>337</v>
      </c>
      <c r="D160">
        <v>20</v>
      </c>
      <c r="E160">
        <v>20</v>
      </c>
      <c r="F160">
        <v>20</v>
      </c>
    </row>
    <row r="161" spans="1:6" x14ac:dyDescent="0.25">
      <c r="A161" s="1" t="s">
        <v>304</v>
      </c>
      <c r="B161" s="1" t="s">
        <v>380</v>
      </c>
      <c r="C161" t="s">
        <v>306</v>
      </c>
      <c r="D161">
        <v>224561.53667120321</v>
      </c>
      <c r="E161">
        <v>20679.634794533791</v>
      </c>
      <c r="F161">
        <v>46228.237833784202</v>
      </c>
    </row>
    <row r="164" spans="1:6" x14ac:dyDescent="0.25">
      <c r="A164" s="1" t="s">
        <v>41</v>
      </c>
      <c r="B164" s="1"/>
      <c r="C164" s="1" t="s">
        <v>300</v>
      </c>
      <c r="D164" s="1" t="s">
        <v>40</v>
      </c>
    </row>
    <row r="165" spans="1:6" x14ac:dyDescent="0.25">
      <c r="A165" s="1" t="s">
        <v>301</v>
      </c>
      <c r="B165" s="1" t="s">
        <v>320</v>
      </c>
      <c r="C165" t="s">
        <v>381</v>
      </c>
      <c r="D165">
        <v>-16.143487094594128</v>
      </c>
    </row>
    <row r="166" spans="1:6" x14ac:dyDescent="0.25">
      <c r="A166" s="1" t="s">
        <v>304</v>
      </c>
      <c r="B166" s="1" t="s">
        <v>37</v>
      </c>
      <c r="C166" t="s">
        <v>306</v>
      </c>
      <c r="D166">
        <v>151059.98710253369</v>
      </c>
    </row>
    <row r="169" spans="1:6" x14ac:dyDescent="0.25">
      <c r="A169" s="1" t="s">
        <v>43</v>
      </c>
      <c r="B169" s="1"/>
      <c r="C169" s="1" t="s">
        <v>300</v>
      </c>
      <c r="D169" s="1" t="s">
        <v>42</v>
      </c>
    </row>
    <row r="170" spans="1:6" x14ac:dyDescent="0.25">
      <c r="A170" s="1" t="s">
        <v>301</v>
      </c>
      <c r="B170" s="1" t="s">
        <v>302</v>
      </c>
      <c r="C170" t="s">
        <v>303</v>
      </c>
      <c r="D170">
        <v>378390.45106661011</v>
      </c>
    </row>
    <row r="171" spans="1:6" x14ac:dyDescent="0.25">
      <c r="A171" s="1" t="s">
        <v>304</v>
      </c>
      <c r="B171" s="1" t="s">
        <v>57</v>
      </c>
      <c r="C171" t="s">
        <v>306</v>
      </c>
      <c r="D171">
        <v>23296.010080549691</v>
      </c>
    </row>
    <row r="174" spans="1:6" x14ac:dyDescent="0.25">
      <c r="A174" s="1" t="s">
        <v>45</v>
      </c>
      <c r="B174" s="1"/>
      <c r="C174" s="1" t="s">
        <v>300</v>
      </c>
      <c r="D174" s="1" t="s">
        <v>44</v>
      </c>
    </row>
    <row r="175" spans="1:6" x14ac:dyDescent="0.25">
      <c r="A175" s="1" t="s">
        <v>301</v>
      </c>
      <c r="B175" s="1" t="s">
        <v>302</v>
      </c>
      <c r="C175" t="s">
        <v>303</v>
      </c>
      <c r="D175">
        <v>21505.252743248111</v>
      </c>
    </row>
    <row r="176" spans="1:6" x14ac:dyDescent="0.25">
      <c r="A176" s="1" t="s">
        <v>304</v>
      </c>
      <c r="B176" s="1" t="s">
        <v>382</v>
      </c>
      <c r="C176" t="s">
        <v>306</v>
      </c>
      <c r="D176">
        <v>2738920.3902674881</v>
      </c>
    </row>
    <row r="179" spans="1:4" x14ac:dyDescent="0.25">
      <c r="A179" s="1" t="s">
        <v>47</v>
      </c>
      <c r="B179" s="1"/>
      <c r="C179" s="1" t="s">
        <v>300</v>
      </c>
      <c r="D179" s="1" t="s">
        <v>46</v>
      </c>
    </row>
    <row r="180" spans="1:4" x14ac:dyDescent="0.25">
      <c r="A180" s="1" t="s">
        <v>301</v>
      </c>
      <c r="B180" s="1" t="s">
        <v>302</v>
      </c>
      <c r="C180" t="s">
        <v>303</v>
      </c>
      <c r="D180">
        <v>302059.7394242686</v>
      </c>
    </row>
    <row r="181" spans="1:4" x14ac:dyDescent="0.25">
      <c r="A181" s="75" t="s">
        <v>304</v>
      </c>
      <c r="B181" s="1" t="s">
        <v>309</v>
      </c>
      <c r="C181" t="s">
        <v>306</v>
      </c>
      <c r="D181">
        <v>104637.39962805519</v>
      </c>
    </row>
    <row r="182" spans="1:4" x14ac:dyDescent="0.25">
      <c r="A182" s="75"/>
      <c r="B182" s="1" t="s">
        <v>57</v>
      </c>
      <c r="C182" t="s">
        <v>306</v>
      </c>
      <c r="D182">
        <v>20044.45262365969</v>
      </c>
    </row>
    <row r="183" spans="1:4" x14ac:dyDescent="0.25">
      <c r="A183" s="75"/>
      <c r="B183" s="1" t="s">
        <v>310</v>
      </c>
      <c r="C183" t="s">
        <v>306</v>
      </c>
      <c r="D183">
        <v>242437.66540089849</v>
      </c>
    </row>
    <row r="186" spans="1:4" x14ac:dyDescent="0.25">
      <c r="A186" s="1" t="s">
        <v>49</v>
      </c>
      <c r="B186" s="1"/>
      <c r="C186" s="1" t="s">
        <v>300</v>
      </c>
      <c r="D186" s="1" t="s">
        <v>48</v>
      </c>
    </row>
    <row r="187" spans="1:4" x14ac:dyDescent="0.25">
      <c r="A187" s="1" t="s">
        <v>301</v>
      </c>
      <c r="B187" s="1" t="s">
        <v>383</v>
      </c>
      <c r="C187" t="s">
        <v>303</v>
      </c>
      <c r="D187">
        <v>36167.460156990783</v>
      </c>
    </row>
    <row r="188" spans="1:4" x14ac:dyDescent="0.25">
      <c r="A188" s="75" t="s">
        <v>304</v>
      </c>
      <c r="B188" s="1" t="s">
        <v>384</v>
      </c>
      <c r="C188" t="s">
        <v>306</v>
      </c>
      <c r="D188">
        <v>475603.7198357968</v>
      </c>
    </row>
    <row r="189" spans="1:4" x14ac:dyDescent="0.25">
      <c r="A189" s="75"/>
      <c r="B189" s="1" t="s">
        <v>385</v>
      </c>
      <c r="C189" t="s">
        <v>306</v>
      </c>
      <c r="D189">
        <v>88309.62896704179</v>
      </c>
    </row>
    <row r="190" spans="1:4" x14ac:dyDescent="0.25">
      <c r="A190" s="75"/>
      <c r="B190" s="1" t="s">
        <v>386</v>
      </c>
      <c r="C190" t="s">
        <v>306</v>
      </c>
      <c r="D190">
        <v>19153.292774736299</v>
      </c>
    </row>
    <row r="191" spans="1:4" x14ac:dyDescent="0.25">
      <c r="A191" s="75"/>
      <c r="B191" s="1" t="s">
        <v>387</v>
      </c>
      <c r="C191" t="s">
        <v>306</v>
      </c>
      <c r="D191">
        <v>33270.649855727832</v>
      </c>
    </row>
    <row r="192" spans="1:4" x14ac:dyDescent="0.25">
      <c r="A192" s="75"/>
      <c r="B192" s="1" t="s">
        <v>388</v>
      </c>
      <c r="C192" t="s">
        <v>306</v>
      </c>
      <c r="D192">
        <v>9013.3142469347331</v>
      </c>
    </row>
    <row r="193" spans="1:4" x14ac:dyDescent="0.25">
      <c r="A193" s="75"/>
      <c r="B193" s="1" t="s">
        <v>49</v>
      </c>
      <c r="C193" t="s">
        <v>306</v>
      </c>
      <c r="D193">
        <v>3759923.51237108</v>
      </c>
    </row>
    <row r="194" spans="1:4" x14ac:dyDescent="0.25">
      <c r="A194" s="75"/>
      <c r="B194" s="1" t="s">
        <v>389</v>
      </c>
      <c r="C194" t="s">
        <v>306</v>
      </c>
      <c r="D194">
        <v>91764.338860717064</v>
      </c>
    </row>
    <row r="195" spans="1:4" x14ac:dyDescent="0.25">
      <c r="A195" s="75"/>
      <c r="B195" s="1" t="s">
        <v>390</v>
      </c>
      <c r="C195" t="s">
        <v>306</v>
      </c>
      <c r="D195">
        <v>26218.382531633451</v>
      </c>
    </row>
    <row r="196" spans="1:4" x14ac:dyDescent="0.25">
      <c r="A196" s="75"/>
      <c r="B196" s="1" t="s">
        <v>391</v>
      </c>
      <c r="C196" t="s">
        <v>306</v>
      </c>
      <c r="D196">
        <v>1712.529706917599</v>
      </c>
    </row>
    <row r="197" spans="1:4" x14ac:dyDescent="0.25">
      <c r="A197" s="75"/>
      <c r="B197" s="1" t="s">
        <v>392</v>
      </c>
      <c r="C197" t="s">
        <v>306</v>
      </c>
      <c r="D197">
        <v>19465.509864483422</v>
      </c>
    </row>
    <row r="198" spans="1:4" x14ac:dyDescent="0.25">
      <c r="A198" s="75"/>
      <c r="B198" s="1" t="s">
        <v>393</v>
      </c>
      <c r="C198" t="s">
        <v>306</v>
      </c>
      <c r="D198">
        <v>196940.9162955239</v>
      </c>
    </row>
    <row r="199" spans="1:4" x14ac:dyDescent="0.25">
      <c r="A199" s="75"/>
      <c r="B199" s="1" t="s">
        <v>394</v>
      </c>
      <c r="C199" t="s">
        <v>306</v>
      </c>
      <c r="D199">
        <v>20739.093085962199</v>
      </c>
    </row>
    <row r="200" spans="1:4" x14ac:dyDescent="0.25">
      <c r="A200" s="75"/>
      <c r="B200" s="1" t="s">
        <v>395</v>
      </c>
      <c r="C200" t="s">
        <v>306</v>
      </c>
      <c r="D200">
        <v>116046.42092928469</v>
      </c>
    </row>
    <row r="201" spans="1:4" x14ac:dyDescent="0.25">
      <c r="A201" s="75"/>
      <c r="B201" s="1" t="s">
        <v>396</v>
      </c>
      <c r="C201" t="s">
        <v>306</v>
      </c>
      <c r="D201">
        <v>14881.29498932191</v>
      </c>
    </row>
    <row r="202" spans="1:4" x14ac:dyDescent="0.25">
      <c r="A202" s="75"/>
      <c r="B202" s="1" t="s">
        <v>397</v>
      </c>
      <c r="C202" t="s">
        <v>306</v>
      </c>
      <c r="D202">
        <v>28551.613569627389</v>
      </c>
    </row>
    <row r="205" spans="1:4" x14ac:dyDescent="0.25">
      <c r="A205" s="1" t="s">
        <v>51</v>
      </c>
      <c r="B205" s="1"/>
      <c r="C205" s="1" t="s">
        <v>300</v>
      </c>
      <c r="D205" s="1" t="s">
        <v>50</v>
      </c>
    </row>
    <row r="206" spans="1:4" x14ac:dyDescent="0.25">
      <c r="A206" s="75" t="s">
        <v>301</v>
      </c>
      <c r="B206" s="1" t="s">
        <v>302</v>
      </c>
      <c r="C206" t="s">
        <v>303</v>
      </c>
      <c r="D206">
        <v>302059.7394242686</v>
      </c>
    </row>
    <row r="207" spans="1:4" x14ac:dyDescent="0.25">
      <c r="A207" s="75"/>
      <c r="B207" s="1" t="s">
        <v>398</v>
      </c>
      <c r="D207" t="s">
        <v>399</v>
      </c>
    </row>
    <row r="208" spans="1:4" x14ac:dyDescent="0.25">
      <c r="A208" s="75" t="s">
        <v>304</v>
      </c>
      <c r="B208" s="1" t="s">
        <v>309</v>
      </c>
      <c r="C208" t="s">
        <v>306</v>
      </c>
      <c r="D208">
        <v>106934.4418944615</v>
      </c>
    </row>
    <row r="209" spans="1:4" x14ac:dyDescent="0.25">
      <c r="A209" s="75"/>
      <c r="B209" s="1" t="s">
        <v>57</v>
      </c>
      <c r="C209" t="s">
        <v>306</v>
      </c>
      <c r="D209">
        <v>37596.220955134559</v>
      </c>
    </row>
    <row r="210" spans="1:4" x14ac:dyDescent="0.25">
      <c r="A210" s="75"/>
      <c r="B210" s="1" t="s">
        <v>310</v>
      </c>
      <c r="C210" t="s">
        <v>306</v>
      </c>
      <c r="D210">
        <v>629111.88779714273</v>
      </c>
    </row>
    <row r="213" spans="1:4" x14ac:dyDescent="0.25">
      <c r="A213" s="1" t="s">
        <v>53</v>
      </c>
      <c r="B213" s="1"/>
      <c r="C213" s="1" t="s">
        <v>300</v>
      </c>
      <c r="D213" s="1" t="s">
        <v>52</v>
      </c>
    </row>
    <row r="214" spans="1:4" x14ac:dyDescent="0.25">
      <c r="A214" s="75" t="s">
        <v>301</v>
      </c>
      <c r="B214" s="1" t="s">
        <v>400</v>
      </c>
      <c r="C214" t="s">
        <v>401</v>
      </c>
      <c r="D214">
        <v>0.16600000000000001</v>
      </c>
    </row>
    <row r="215" spans="1:4" x14ac:dyDescent="0.25">
      <c r="A215" s="75"/>
      <c r="B215" s="1" t="s">
        <v>402</v>
      </c>
      <c r="C215" t="s">
        <v>323</v>
      </c>
      <c r="D215">
        <v>66.232281870284496</v>
      </c>
    </row>
    <row r="216" spans="1:4" x14ac:dyDescent="0.25">
      <c r="A216" s="75"/>
      <c r="B216" s="1" t="s">
        <v>403</v>
      </c>
      <c r="D216" t="s">
        <v>404</v>
      </c>
    </row>
    <row r="217" spans="1:4" x14ac:dyDescent="0.25">
      <c r="A217" s="75"/>
      <c r="B217" s="1" t="s">
        <v>405</v>
      </c>
      <c r="D217">
        <v>22.838364175295379</v>
      </c>
    </row>
    <row r="218" spans="1:4" x14ac:dyDescent="0.25">
      <c r="A218" s="75"/>
      <c r="B218" s="1" t="s">
        <v>338</v>
      </c>
      <c r="D218">
        <v>11.419182087647689</v>
      </c>
    </row>
    <row r="219" spans="1:4" x14ac:dyDescent="0.25">
      <c r="A219" s="75"/>
      <c r="B219" s="1" t="s">
        <v>341</v>
      </c>
      <c r="D219">
        <v>27751.68</v>
      </c>
    </row>
    <row r="220" spans="1:4" x14ac:dyDescent="0.25">
      <c r="A220" s="75"/>
      <c r="B220" s="1" t="s">
        <v>339</v>
      </c>
      <c r="D220">
        <v>0.64186990625206808</v>
      </c>
    </row>
    <row r="221" spans="1:4" x14ac:dyDescent="0.25">
      <c r="A221" s="75"/>
      <c r="B221" s="1" t="s">
        <v>406</v>
      </c>
      <c r="C221" t="s">
        <v>303</v>
      </c>
      <c r="D221">
        <v>84955.690036807762</v>
      </c>
    </row>
    <row r="222" spans="1:4" x14ac:dyDescent="0.25">
      <c r="A222" s="75"/>
      <c r="B222" s="1" t="s">
        <v>398</v>
      </c>
      <c r="D222" t="s">
        <v>407</v>
      </c>
    </row>
    <row r="223" spans="1:4" x14ac:dyDescent="0.25">
      <c r="A223" s="75" t="s">
        <v>304</v>
      </c>
      <c r="B223" s="1" t="s">
        <v>408</v>
      </c>
      <c r="C223" t="s">
        <v>306</v>
      </c>
      <c r="D223">
        <v>119477.6448812677</v>
      </c>
    </row>
    <row r="224" spans="1:4" x14ac:dyDescent="0.25">
      <c r="A224" s="75"/>
      <c r="B224" s="1" t="s">
        <v>345</v>
      </c>
      <c r="C224" t="s">
        <v>306</v>
      </c>
      <c r="D224">
        <v>3732.5072029473472</v>
      </c>
    </row>
    <row r="225" spans="1:8" x14ac:dyDescent="0.25">
      <c r="A225" s="75"/>
      <c r="B225" s="1" t="s">
        <v>53</v>
      </c>
      <c r="C225" t="s">
        <v>306</v>
      </c>
      <c r="D225">
        <v>21637494.568101931</v>
      </c>
    </row>
    <row r="228" spans="1:8" x14ac:dyDescent="0.25">
      <c r="A228" s="1" t="s">
        <v>55</v>
      </c>
      <c r="B228" s="1"/>
      <c r="C228" s="1" t="s">
        <v>300</v>
      </c>
      <c r="D228" s="1" t="s">
        <v>54</v>
      </c>
    </row>
    <row r="229" spans="1:8" x14ac:dyDescent="0.25">
      <c r="A229" s="75" t="s">
        <v>301</v>
      </c>
      <c r="B229" s="1" t="s">
        <v>409</v>
      </c>
      <c r="C229" t="s">
        <v>303</v>
      </c>
      <c r="D229">
        <v>372862.86239568918</v>
      </c>
    </row>
    <row r="230" spans="1:8" x14ac:dyDescent="0.25">
      <c r="A230" s="75"/>
      <c r="B230" s="1" t="s">
        <v>410</v>
      </c>
      <c r="C230" t="s">
        <v>303</v>
      </c>
      <c r="D230">
        <v>73287.257161964721</v>
      </c>
    </row>
    <row r="231" spans="1:8" x14ac:dyDescent="0.25">
      <c r="A231" s="75" t="s">
        <v>304</v>
      </c>
      <c r="B231" s="1" t="s">
        <v>310</v>
      </c>
      <c r="C231" t="s">
        <v>306</v>
      </c>
      <c r="D231">
        <v>237696.2352127021</v>
      </c>
    </row>
    <row r="232" spans="1:8" x14ac:dyDescent="0.25">
      <c r="A232" s="75"/>
      <c r="B232" s="1" t="s">
        <v>411</v>
      </c>
      <c r="C232" t="s">
        <v>306</v>
      </c>
      <c r="D232">
        <v>12090.238109329301</v>
      </c>
    </row>
    <row r="233" spans="1:8" x14ac:dyDescent="0.25">
      <c r="A233" s="75"/>
      <c r="B233" s="1" t="s">
        <v>412</v>
      </c>
      <c r="C233" t="s">
        <v>306</v>
      </c>
      <c r="D233">
        <v>3871.5692794328488</v>
      </c>
    </row>
    <row r="236" spans="1:8" x14ac:dyDescent="0.25">
      <c r="A236" s="1" t="s">
        <v>57</v>
      </c>
      <c r="B236" s="1"/>
      <c r="C236" s="1" t="s">
        <v>300</v>
      </c>
      <c r="D236" s="1" t="s">
        <v>56</v>
      </c>
      <c r="E236" s="1" t="s">
        <v>58</v>
      </c>
      <c r="F236" s="1" t="s">
        <v>61</v>
      </c>
      <c r="G236" s="1" t="s">
        <v>59</v>
      </c>
      <c r="H236" s="1" t="s">
        <v>60</v>
      </c>
    </row>
    <row r="237" spans="1:8" x14ac:dyDescent="0.25">
      <c r="A237" s="75" t="s">
        <v>301</v>
      </c>
      <c r="B237" s="1" t="s">
        <v>413</v>
      </c>
      <c r="D237" t="s">
        <v>414</v>
      </c>
      <c r="E237" t="s">
        <v>414</v>
      </c>
      <c r="F237" t="s">
        <v>414</v>
      </c>
      <c r="G237" t="s">
        <v>414</v>
      </c>
      <c r="H237" t="s">
        <v>414</v>
      </c>
    </row>
    <row r="238" spans="1:8" x14ac:dyDescent="0.25">
      <c r="A238" s="75"/>
      <c r="B238" s="1" t="s">
        <v>415</v>
      </c>
      <c r="C238" t="s">
        <v>416</v>
      </c>
      <c r="D238">
        <v>79.85538525542367</v>
      </c>
      <c r="E238">
        <v>58.059806681599632</v>
      </c>
      <c r="F238">
        <v>0.84621638020244949</v>
      </c>
      <c r="G238">
        <v>1.083776677399984</v>
      </c>
      <c r="H238">
        <v>2.555731394612272E-2</v>
      </c>
    </row>
    <row r="239" spans="1:8" x14ac:dyDescent="0.25">
      <c r="A239" s="75"/>
      <c r="B239" s="1" t="s">
        <v>302</v>
      </c>
      <c r="C239" t="s">
        <v>417</v>
      </c>
      <c r="D239">
        <v>1863.1164521347471</v>
      </c>
      <c r="E239">
        <v>1736.6678895383591</v>
      </c>
      <c r="F239">
        <v>98.715925981586523</v>
      </c>
      <c r="G239">
        <v>126.42867801872519</v>
      </c>
      <c r="H239">
        <v>2.981405194721042</v>
      </c>
    </row>
    <row r="240" spans="1:8" x14ac:dyDescent="0.25">
      <c r="A240" s="75"/>
      <c r="B240" s="1" t="s">
        <v>418</v>
      </c>
      <c r="D240">
        <v>0.73777369902372725</v>
      </c>
      <c r="E240">
        <v>0.72992145165151379</v>
      </c>
      <c r="F240">
        <v>0.43481609713606978</v>
      </c>
      <c r="G240">
        <v>0.46363044123220909</v>
      </c>
      <c r="H240">
        <v>0.35198262084282428</v>
      </c>
    </row>
    <row r="241" spans="1:8" x14ac:dyDescent="0.25">
      <c r="A241" s="75"/>
      <c r="B241" s="1" t="s">
        <v>419</v>
      </c>
      <c r="C241" t="s">
        <v>416</v>
      </c>
      <c r="D241">
        <v>108.2383193668923</v>
      </c>
      <c r="E241">
        <v>79.542540570953264</v>
      </c>
      <c r="F241">
        <v>1.9461477755218379</v>
      </c>
      <c r="G241">
        <v>2.3375873993941978</v>
      </c>
      <c r="H241">
        <v>7.2609590453430878E-2</v>
      </c>
    </row>
    <row r="242" spans="1:8" x14ac:dyDescent="0.25">
      <c r="A242" s="75"/>
      <c r="B242" s="1" t="s">
        <v>420</v>
      </c>
      <c r="C242" t="s">
        <v>337</v>
      </c>
      <c r="D242">
        <v>222.0073428170694</v>
      </c>
      <c r="E242">
        <v>180.81354036671539</v>
      </c>
      <c r="F242">
        <v>82.199112548377201</v>
      </c>
      <c r="G242">
        <v>97.590110553777365</v>
      </c>
      <c r="H242">
        <v>137.791519532942</v>
      </c>
    </row>
    <row r="243" spans="1:8" x14ac:dyDescent="0.25">
      <c r="A243" s="75"/>
      <c r="B243" s="1" t="s">
        <v>421</v>
      </c>
      <c r="C243" t="s">
        <v>416</v>
      </c>
      <c r="D243">
        <v>125</v>
      </c>
      <c r="E243">
        <v>100</v>
      </c>
      <c r="F243">
        <v>2</v>
      </c>
      <c r="G243">
        <v>3</v>
      </c>
      <c r="H243">
        <v>0.25</v>
      </c>
    </row>
    <row r="244" spans="1:8" x14ac:dyDescent="0.25">
      <c r="A244" s="75" t="s">
        <v>304</v>
      </c>
      <c r="B244" s="1" t="s">
        <v>57</v>
      </c>
      <c r="C244" t="s">
        <v>306</v>
      </c>
      <c r="D244">
        <v>19585.896424172199</v>
      </c>
      <c r="E244">
        <v>17643.085808151951</v>
      </c>
      <c r="F244">
        <v>4305.4750725333224</v>
      </c>
      <c r="G244">
        <v>4386.135545626913</v>
      </c>
      <c r="H244">
        <v>4322.5819446906926</v>
      </c>
    </row>
    <row r="245" spans="1:8" x14ac:dyDescent="0.25">
      <c r="A245" s="75"/>
      <c r="B245" s="1" t="s">
        <v>422</v>
      </c>
      <c r="C245" t="s">
        <v>306</v>
      </c>
      <c r="D245">
        <v>5305.5764510980507</v>
      </c>
      <c r="E245">
        <v>3672.038247815356</v>
      </c>
      <c r="F245">
        <v>410.4160633708405</v>
      </c>
      <c r="G245">
        <v>419.06804452618172</v>
      </c>
      <c r="H245">
        <v>23.235116474960009</v>
      </c>
    </row>
    <row r="248" spans="1:8" x14ac:dyDescent="0.25">
      <c r="A248" s="1" t="s">
        <v>63</v>
      </c>
      <c r="B248" s="1"/>
      <c r="C248" s="1" t="s">
        <v>300</v>
      </c>
      <c r="D248" s="1" t="s">
        <v>62</v>
      </c>
    </row>
    <row r="249" spans="1:8" x14ac:dyDescent="0.25">
      <c r="A249" s="75" t="s">
        <v>301</v>
      </c>
      <c r="B249" s="1" t="s">
        <v>302</v>
      </c>
      <c r="C249" t="s">
        <v>324</v>
      </c>
      <c r="D249">
        <v>33.016066887935153</v>
      </c>
    </row>
    <row r="250" spans="1:8" x14ac:dyDescent="0.25">
      <c r="A250" s="75"/>
      <c r="B250" s="1" t="s">
        <v>402</v>
      </c>
      <c r="C250" t="s">
        <v>323</v>
      </c>
      <c r="D250">
        <v>4001.9475015678959</v>
      </c>
    </row>
    <row r="251" spans="1:8" x14ac:dyDescent="0.25">
      <c r="A251" s="75"/>
      <c r="B251" s="1" t="s">
        <v>423</v>
      </c>
      <c r="D251">
        <v>109.09090909090909</v>
      </c>
    </row>
    <row r="252" spans="1:8" x14ac:dyDescent="0.25">
      <c r="A252" s="75"/>
      <c r="B252" s="1" t="s">
        <v>424</v>
      </c>
      <c r="D252">
        <v>9.0909090909090917</v>
      </c>
    </row>
    <row r="253" spans="1:8" x14ac:dyDescent="0.25">
      <c r="A253" s="75"/>
      <c r="B253" s="1" t="s">
        <v>425</v>
      </c>
      <c r="C253" t="s">
        <v>321</v>
      </c>
      <c r="D253">
        <v>-23361677.202312469</v>
      </c>
    </row>
    <row r="254" spans="1:8" x14ac:dyDescent="0.25">
      <c r="A254" s="75"/>
      <c r="B254" s="1" t="s">
        <v>426</v>
      </c>
      <c r="C254" t="s">
        <v>321</v>
      </c>
      <c r="D254">
        <v>-19292845.671556469</v>
      </c>
    </row>
    <row r="255" spans="1:8" x14ac:dyDescent="0.25">
      <c r="A255" s="75" t="s">
        <v>304</v>
      </c>
      <c r="B255" s="1" t="s">
        <v>427</v>
      </c>
      <c r="C255" t="s">
        <v>306</v>
      </c>
      <c r="D255">
        <v>11321964.979169991</v>
      </c>
    </row>
    <row r="256" spans="1:8" x14ac:dyDescent="0.25">
      <c r="A256" s="75"/>
      <c r="B256" s="1" t="s">
        <v>428</v>
      </c>
      <c r="C256" t="s">
        <v>306</v>
      </c>
      <c r="D256">
        <v>704269.14858581126</v>
      </c>
    </row>
    <row r="257" spans="1:4" x14ac:dyDescent="0.25">
      <c r="A257" s="75"/>
      <c r="B257" s="1" t="s">
        <v>429</v>
      </c>
      <c r="C257" t="s">
        <v>306</v>
      </c>
      <c r="D257">
        <v>102097.4011870844</v>
      </c>
    </row>
    <row r="258" spans="1:4" x14ac:dyDescent="0.25">
      <c r="A258" s="75"/>
      <c r="B258" s="1" t="s">
        <v>430</v>
      </c>
      <c r="C258" t="s">
        <v>306</v>
      </c>
      <c r="D258">
        <v>294617.63361886598</v>
      </c>
    </row>
    <row r="259" spans="1:4" x14ac:dyDescent="0.25">
      <c r="A259" s="75"/>
      <c r="B259" s="1" t="s">
        <v>431</v>
      </c>
      <c r="C259" t="s">
        <v>306</v>
      </c>
      <c r="D259">
        <v>312036.44396639807</v>
      </c>
    </row>
    <row r="262" spans="1:4" x14ac:dyDescent="0.25">
      <c r="A262" s="1" t="s">
        <v>65</v>
      </c>
      <c r="B262" s="1"/>
      <c r="C262" s="1" t="s">
        <v>300</v>
      </c>
      <c r="D262" s="1" t="s">
        <v>64</v>
      </c>
    </row>
    <row r="263" spans="1:4" x14ac:dyDescent="0.25">
      <c r="A263" s="1" t="s">
        <v>301</v>
      </c>
      <c r="B263" s="1" t="s">
        <v>302</v>
      </c>
      <c r="C263" t="s">
        <v>303</v>
      </c>
      <c r="D263">
        <v>41293.233865979091</v>
      </c>
    </row>
    <row r="264" spans="1:4" x14ac:dyDescent="0.25">
      <c r="A264" s="75" t="s">
        <v>304</v>
      </c>
      <c r="B264" s="1" t="s">
        <v>309</v>
      </c>
      <c r="C264" t="s">
        <v>306</v>
      </c>
      <c r="D264">
        <v>34945.882489515549</v>
      </c>
    </row>
    <row r="265" spans="1:4" x14ac:dyDescent="0.25">
      <c r="A265" s="75"/>
      <c r="B265" s="1" t="s">
        <v>310</v>
      </c>
      <c r="C265" t="s">
        <v>306</v>
      </c>
      <c r="D265">
        <v>484510.08829019492</v>
      </c>
    </row>
    <row r="266" spans="1:4" x14ac:dyDescent="0.25">
      <c r="A266" s="75"/>
      <c r="B266" s="1" t="s">
        <v>57</v>
      </c>
      <c r="C266" t="s">
        <v>306</v>
      </c>
      <c r="D266">
        <v>8606.6817392646717</v>
      </c>
    </row>
    <row r="269" spans="1:4" x14ac:dyDescent="0.25">
      <c r="A269" s="1" t="s">
        <v>67</v>
      </c>
      <c r="B269" s="1"/>
      <c r="C269" s="1" t="s">
        <v>300</v>
      </c>
      <c r="D269" s="1" t="s">
        <v>66</v>
      </c>
    </row>
    <row r="270" spans="1:4" x14ac:dyDescent="0.25">
      <c r="A270" s="75" t="s">
        <v>301</v>
      </c>
      <c r="B270" s="1" t="s">
        <v>432</v>
      </c>
      <c r="C270" t="s">
        <v>323</v>
      </c>
      <c r="D270">
        <v>4.7653111579849501E-3</v>
      </c>
    </row>
    <row r="271" spans="1:4" x14ac:dyDescent="0.25">
      <c r="A271" s="75"/>
      <c r="B271" s="1" t="s">
        <v>433</v>
      </c>
      <c r="C271" t="s">
        <v>323</v>
      </c>
      <c r="D271">
        <v>4.76531115798495E-2</v>
      </c>
    </row>
    <row r="272" spans="1:4" x14ac:dyDescent="0.25">
      <c r="A272" s="75"/>
      <c r="B272" s="1" t="s">
        <v>434</v>
      </c>
      <c r="C272" t="s">
        <v>323</v>
      </c>
      <c r="D272">
        <v>0.476531115798495</v>
      </c>
    </row>
    <row r="273" spans="1:6" x14ac:dyDescent="0.25">
      <c r="A273" s="75"/>
      <c r="B273" s="1" t="s">
        <v>435</v>
      </c>
      <c r="C273" t="s">
        <v>323</v>
      </c>
      <c r="D273">
        <v>4.7653111579849501</v>
      </c>
    </row>
    <row r="274" spans="1:6" x14ac:dyDescent="0.25">
      <c r="A274" s="75"/>
      <c r="B274" s="1" t="s">
        <v>436</v>
      </c>
      <c r="C274" t="s">
        <v>323</v>
      </c>
      <c r="D274">
        <v>47.653111579849501</v>
      </c>
    </row>
    <row r="275" spans="1:6" x14ac:dyDescent="0.25">
      <c r="A275" s="75"/>
      <c r="B275" s="1" t="s">
        <v>302</v>
      </c>
      <c r="C275" t="s">
        <v>303</v>
      </c>
      <c r="D275">
        <v>43270.606743342287</v>
      </c>
    </row>
    <row r="276" spans="1:6" x14ac:dyDescent="0.25">
      <c r="A276" s="75" t="s">
        <v>304</v>
      </c>
      <c r="B276" s="1" t="s">
        <v>437</v>
      </c>
      <c r="C276" t="s">
        <v>306</v>
      </c>
      <c r="D276">
        <v>11729.014159939699</v>
      </c>
    </row>
    <row r="277" spans="1:6" x14ac:dyDescent="0.25">
      <c r="A277" s="75"/>
      <c r="B277" s="1" t="s">
        <v>438</v>
      </c>
      <c r="C277" t="s">
        <v>306</v>
      </c>
      <c r="D277">
        <v>185128.86527043869</v>
      </c>
    </row>
    <row r="278" spans="1:6" x14ac:dyDescent="0.25">
      <c r="A278" s="75"/>
      <c r="B278" s="1" t="s">
        <v>439</v>
      </c>
      <c r="C278" t="s">
        <v>306</v>
      </c>
      <c r="D278">
        <v>7091.962050196099</v>
      </c>
    </row>
    <row r="279" spans="1:6" x14ac:dyDescent="0.25">
      <c r="A279" s="75"/>
      <c r="B279" s="1" t="s">
        <v>440</v>
      </c>
      <c r="C279" t="s">
        <v>306</v>
      </c>
      <c r="D279">
        <v>55224.88184338509</v>
      </c>
    </row>
    <row r="280" spans="1:6" x14ac:dyDescent="0.25">
      <c r="A280" s="75"/>
      <c r="B280" s="1" t="s">
        <v>441</v>
      </c>
      <c r="C280" t="s">
        <v>306</v>
      </c>
      <c r="D280">
        <v>24725.685734424689</v>
      </c>
    </row>
    <row r="281" spans="1:6" x14ac:dyDescent="0.25">
      <c r="A281" s="75"/>
      <c r="B281" s="1" t="s">
        <v>442</v>
      </c>
      <c r="C281" t="s">
        <v>306</v>
      </c>
      <c r="D281">
        <v>18293.242110621311</v>
      </c>
    </row>
    <row r="282" spans="1:6" x14ac:dyDescent="0.25">
      <c r="A282" s="75"/>
      <c r="B282" s="1" t="s">
        <v>443</v>
      </c>
      <c r="C282" t="s">
        <v>306</v>
      </c>
      <c r="D282">
        <v>11829.420713043281</v>
      </c>
    </row>
    <row r="283" spans="1:6" x14ac:dyDescent="0.25">
      <c r="A283" s="75"/>
      <c r="B283" s="1" t="s">
        <v>444</v>
      </c>
      <c r="C283" t="s">
        <v>306</v>
      </c>
      <c r="D283">
        <v>54044.915129168287</v>
      </c>
    </row>
    <row r="286" spans="1:6" x14ac:dyDescent="0.25">
      <c r="A286" s="1" t="s">
        <v>70</v>
      </c>
      <c r="B286" s="1"/>
      <c r="C286" s="1" t="s">
        <v>300</v>
      </c>
      <c r="D286" s="1" t="s">
        <v>69</v>
      </c>
      <c r="E286" s="1" t="s">
        <v>71</v>
      </c>
      <c r="F286" s="1" t="s">
        <v>72</v>
      </c>
    </row>
    <row r="287" spans="1:6" x14ac:dyDescent="0.25">
      <c r="A287" s="75" t="s">
        <v>301</v>
      </c>
      <c r="B287" s="1" t="s">
        <v>400</v>
      </c>
      <c r="C287" t="s">
        <v>401</v>
      </c>
      <c r="D287">
        <v>12</v>
      </c>
      <c r="E287">
        <v>168</v>
      </c>
      <c r="F287">
        <v>156</v>
      </c>
    </row>
    <row r="288" spans="1:6" x14ac:dyDescent="0.25">
      <c r="A288" s="75"/>
      <c r="B288" s="1" t="s">
        <v>445</v>
      </c>
      <c r="C288" t="s">
        <v>446</v>
      </c>
      <c r="D288">
        <v>344.57055103899683</v>
      </c>
      <c r="E288">
        <v>113.7579088605803</v>
      </c>
      <c r="F288">
        <v>4586.4094754170837</v>
      </c>
    </row>
    <row r="289" spans="1:5" x14ac:dyDescent="0.25">
      <c r="A289" s="1" t="s">
        <v>304</v>
      </c>
      <c r="B289" s="1" t="s">
        <v>310</v>
      </c>
      <c r="C289" t="s">
        <v>306</v>
      </c>
      <c r="D289">
        <v>155372.11786960109</v>
      </c>
      <c r="E289">
        <v>88584.090595515256</v>
      </c>
    </row>
    <row r="292" spans="1:5" x14ac:dyDescent="0.25">
      <c r="A292" s="1" t="s">
        <v>74</v>
      </c>
      <c r="B292" s="1"/>
      <c r="C292" s="1" t="s">
        <v>300</v>
      </c>
      <c r="D292" s="1" t="s">
        <v>73</v>
      </c>
    </row>
    <row r="293" spans="1:5" x14ac:dyDescent="0.25">
      <c r="A293" s="1" t="s">
        <v>301</v>
      </c>
      <c r="B293" s="1" t="s">
        <v>302</v>
      </c>
      <c r="C293" t="s">
        <v>303</v>
      </c>
      <c r="D293">
        <v>25376.936542318192</v>
      </c>
    </row>
    <row r="294" spans="1:5" x14ac:dyDescent="0.25">
      <c r="A294" s="1" t="s">
        <v>304</v>
      </c>
      <c r="B294" s="1" t="s">
        <v>311</v>
      </c>
      <c r="C294" t="s">
        <v>306</v>
      </c>
      <c r="D294">
        <v>2815.0234550460982</v>
      </c>
    </row>
    <row r="297" spans="1:5" x14ac:dyDescent="0.25">
      <c r="A297" s="1" t="s">
        <v>76</v>
      </c>
      <c r="B297" s="1"/>
      <c r="C297" s="1" t="s">
        <v>300</v>
      </c>
      <c r="D297" s="1" t="s">
        <v>75</v>
      </c>
    </row>
    <row r="298" spans="1:5" x14ac:dyDescent="0.25">
      <c r="A298" s="1" t="s">
        <v>301</v>
      </c>
      <c r="B298" s="1" t="s">
        <v>302</v>
      </c>
      <c r="C298" t="s">
        <v>303</v>
      </c>
      <c r="D298">
        <v>1925.972769432721</v>
      </c>
    </row>
    <row r="299" spans="1:5" x14ac:dyDescent="0.25">
      <c r="A299" s="75" t="s">
        <v>304</v>
      </c>
      <c r="B299" s="1" t="s">
        <v>57</v>
      </c>
      <c r="C299" t="s">
        <v>306</v>
      </c>
      <c r="D299">
        <v>7964.5937572640551</v>
      </c>
    </row>
    <row r="300" spans="1:5" x14ac:dyDescent="0.25">
      <c r="A300" s="75"/>
      <c r="B300" s="1" t="s">
        <v>310</v>
      </c>
      <c r="C300" t="s">
        <v>306</v>
      </c>
      <c r="D300">
        <v>102329.9030782442</v>
      </c>
    </row>
    <row r="303" spans="1:5" x14ac:dyDescent="0.25">
      <c r="A303" s="1" t="s">
        <v>78</v>
      </c>
      <c r="B303" s="1"/>
      <c r="C303" s="1" t="s">
        <v>300</v>
      </c>
      <c r="D303" s="1" t="s">
        <v>77</v>
      </c>
    </row>
    <row r="304" spans="1:5" x14ac:dyDescent="0.25">
      <c r="A304" s="1" t="s">
        <v>301</v>
      </c>
      <c r="B304" s="1" t="s">
        <v>302</v>
      </c>
      <c r="C304" t="s">
        <v>303</v>
      </c>
      <c r="D304">
        <v>1925.972769432721</v>
      </c>
    </row>
    <row r="305" spans="1:4" x14ac:dyDescent="0.25">
      <c r="A305" s="75" t="s">
        <v>304</v>
      </c>
      <c r="B305" s="1" t="s">
        <v>57</v>
      </c>
      <c r="C305" t="s">
        <v>306</v>
      </c>
      <c r="D305">
        <v>5136.5451744198499</v>
      </c>
    </row>
    <row r="306" spans="1:4" x14ac:dyDescent="0.25">
      <c r="A306" s="75"/>
      <c r="B306" s="1" t="s">
        <v>310</v>
      </c>
      <c r="C306" t="s">
        <v>306</v>
      </c>
      <c r="D306">
        <v>6271.0726787752928</v>
      </c>
    </row>
    <row r="309" spans="1:4" x14ac:dyDescent="0.25">
      <c r="A309" s="1" t="s">
        <v>80</v>
      </c>
      <c r="B309" s="1"/>
      <c r="C309" s="1" t="s">
        <v>300</v>
      </c>
      <c r="D309" s="1" t="s">
        <v>79</v>
      </c>
    </row>
    <row r="310" spans="1:4" x14ac:dyDescent="0.25">
      <c r="A310" s="1" t="s">
        <v>301</v>
      </c>
      <c r="B310" s="1" t="s">
        <v>302</v>
      </c>
      <c r="C310" t="s">
        <v>303</v>
      </c>
      <c r="D310">
        <v>20841.05304697013</v>
      </c>
    </row>
    <row r="311" spans="1:4" x14ac:dyDescent="0.25">
      <c r="A311" s="1" t="s">
        <v>304</v>
      </c>
      <c r="B311" s="1" t="s">
        <v>80</v>
      </c>
      <c r="C311" t="s">
        <v>306</v>
      </c>
      <c r="D311">
        <v>222601.62556690731</v>
      </c>
    </row>
    <row r="314" spans="1:4" x14ac:dyDescent="0.25">
      <c r="A314" s="1" t="s">
        <v>82</v>
      </c>
      <c r="B314" s="1"/>
      <c r="C314" s="1" t="s">
        <v>300</v>
      </c>
      <c r="D314" s="1" t="s">
        <v>81</v>
      </c>
    </row>
    <row r="315" spans="1:4" x14ac:dyDescent="0.25">
      <c r="A315" s="1" t="s">
        <v>301</v>
      </c>
      <c r="B315" s="1" t="s">
        <v>320</v>
      </c>
      <c r="C315" t="s">
        <v>381</v>
      </c>
      <c r="D315">
        <v>-14.95851843687932</v>
      </c>
    </row>
    <row r="316" spans="1:4" x14ac:dyDescent="0.25">
      <c r="A316" s="1" t="s">
        <v>304</v>
      </c>
      <c r="B316" s="1" t="s">
        <v>447</v>
      </c>
      <c r="C316" t="s">
        <v>306</v>
      </c>
      <c r="D316">
        <v>151173.36828779269</v>
      </c>
    </row>
    <row r="319" spans="1:4" x14ac:dyDescent="0.25">
      <c r="A319" s="1" t="s">
        <v>84</v>
      </c>
      <c r="B319" s="1"/>
      <c r="C319" s="1" t="s">
        <v>300</v>
      </c>
      <c r="D319" s="1" t="s">
        <v>83</v>
      </c>
    </row>
    <row r="320" spans="1:4" x14ac:dyDescent="0.25">
      <c r="A320" s="1" t="s">
        <v>301</v>
      </c>
      <c r="B320" s="1" t="s">
        <v>302</v>
      </c>
      <c r="C320" t="s">
        <v>303</v>
      </c>
      <c r="D320">
        <v>386640.64031331392</v>
      </c>
    </row>
    <row r="321" spans="1:4" x14ac:dyDescent="0.25">
      <c r="A321" s="1" t="s">
        <v>304</v>
      </c>
      <c r="B321" s="1" t="s">
        <v>448</v>
      </c>
      <c r="C321" t="s">
        <v>306</v>
      </c>
      <c r="D321">
        <v>51273492.628304347</v>
      </c>
    </row>
  </sheetData>
  <mergeCells count="34">
    <mergeCell ref="A305:A306"/>
    <mergeCell ref="A68:A69"/>
    <mergeCell ref="A57:A59"/>
    <mergeCell ref="A28:A30"/>
    <mergeCell ref="A4:A6"/>
    <mergeCell ref="A181:A183"/>
    <mergeCell ref="A206:A207"/>
    <mergeCell ref="A124:A135"/>
    <mergeCell ref="A299:A300"/>
    <mergeCell ref="A188:A202"/>
    <mergeCell ref="A276:A283"/>
    <mergeCell ref="A98:A106"/>
    <mergeCell ref="A208:A210"/>
    <mergeCell ref="A155:A160"/>
    <mergeCell ref="A249:A254"/>
    <mergeCell ref="A223:A225"/>
    <mergeCell ref="A11:A12"/>
    <mergeCell ref="A270:A275"/>
    <mergeCell ref="A89:A97"/>
    <mergeCell ref="A39:A41"/>
    <mergeCell ref="A244:A245"/>
    <mergeCell ref="A229:A230"/>
    <mergeCell ref="A231:A233"/>
    <mergeCell ref="A287:A288"/>
    <mergeCell ref="A214:A222"/>
    <mergeCell ref="A42:A47"/>
    <mergeCell ref="A76:A77"/>
    <mergeCell ref="A237:A243"/>
    <mergeCell ref="A264:A266"/>
    <mergeCell ref="A255:A259"/>
    <mergeCell ref="A150:A151"/>
    <mergeCell ref="A70:A71"/>
    <mergeCell ref="A110:A123"/>
    <mergeCell ref="A82:A8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39C6-5362-474E-827A-8080307A1C24}">
  <dimension ref="B2:J42"/>
  <sheetViews>
    <sheetView topLeftCell="A12" zoomScale="115" zoomScaleNormal="115" workbookViewId="0">
      <selection activeCell="L21" sqref="L21"/>
    </sheetView>
  </sheetViews>
  <sheetFormatPr defaultRowHeight="15" x14ac:dyDescent="0.25"/>
  <cols>
    <col min="1" max="1" width="6.140625" customWidth="1"/>
    <col min="2" max="2" width="31.42578125" style="36" customWidth="1"/>
    <col min="3" max="3" width="9.140625" style="26"/>
    <col min="4" max="4" width="11.85546875" style="27" customWidth="1"/>
    <col min="5" max="5" width="27.42578125" customWidth="1"/>
    <col min="7" max="7" width="32.28515625" bestFit="1" customWidth="1"/>
    <col min="9" max="9" width="10.85546875" bestFit="1" customWidth="1"/>
  </cols>
  <sheetData>
    <row r="2" spans="2:10" ht="17.25" thickBot="1" x14ac:dyDescent="0.35">
      <c r="B2" s="39" t="s">
        <v>1267</v>
      </c>
      <c r="C2" s="11"/>
      <c r="D2" s="12"/>
      <c r="E2" s="5"/>
      <c r="G2" s="8" t="s">
        <v>1298</v>
      </c>
      <c r="H2" s="5"/>
      <c r="I2" s="5"/>
    </row>
    <row r="3" spans="2:10" ht="18.75" customHeight="1" x14ac:dyDescent="0.3">
      <c r="B3" s="29" t="s">
        <v>618</v>
      </c>
      <c r="C3" s="13" t="s">
        <v>300</v>
      </c>
      <c r="D3" s="14" t="s">
        <v>676</v>
      </c>
      <c r="E3" s="5"/>
      <c r="G3" s="63" t="s">
        <v>618</v>
      </c>
      <c r="H3" s="64" t="s">
        <v>300</v>
      </c>
      <c r="I3" s="65" t="s">
        <v>676</v>
      </c>
    </row>
    <row r="4" spans="2:10" ht="18.75" customHeight="1" x14ac:dyDescent="0.3">
      <c r="B4" s="30" t="s">
        <v>616</v>
      </c>
      <c r="C4" s="15" t="s">
        <v>375</v>
      </c>
      <c r="D4" s="16">
        <v>321</v>
      </c>
      <c r="E4" s="5"/>
      <c r="G4" s="47" t="s">
        <v>636</v>
      </c>
      <c r="H4" s="15" t="s">
        <v>1265</v>
      </c>
      <c r="I4" s="71"/>
    </row>
    <row r="5" spans="2:10" ht="18.75" customHeight="1" x14ac:dyDescent="0.3">
      <c r="B5" s="30" t="s">
        <v>617</v>
      </c>
      <c r="C5" s="15" t="s">
        <v>624</v>
      </c>
      <c r="D5" s="16">
        <f>101325*2</f>
        <v>202650</v>
      </c>
      <c r="E5" s="5"/>
      <c r="G5" s="47" t="s">
        <v>405</v>
      </c>
      <c r="H5" s="15" t="s">
        <v>337</v>
      </c>
      <c r="I5" s="71">
        <v>12</v>
      </c>
    </row>
    <row r="6" spans="2:10" ht="18.75" customHeight="1" x14ac:dyDescent="0.3">
      <c r="B6" s="30" t="s">
        <v>636</v>
      </c>
      <c r="C6" s="15" t="s">
        <v>683</v>
      </c>
      <c r="D6" s="16">
        <v>300</v>
      </c>
      <c r="E6" s="5"/>
      <c r="G6" s="47" t="s">
        <v>338</v>
      </c>
      <c r="H6" s="15" t="s">
        <v>337</v>
      </c>
      <c r="I6" s="71">
        <v>15</v>
      </c>
    </row>
    <row r="7" spans="2:10" ht="18.75" customHeight="1" x14ac:dyDescent="0.3">
      <c r="B7" s="30" t="s">
        <v>619</v>
      </c>
      <c r="C7" s="15"/>
      <c r="D7" s="16" t="s">
        <v>656</v>
      </c>
      <c r="E7" s="5"/>
      <c r="G7" s="47" t="s">
        <v>619</v>
      </c>
      <c r="H7" s="15"/>
      <c r="I7" s="71" t="s">
        <v>1280</v>
      </c>
      <c r="J7" t="s">
        <v>1269</v>
      </c>
    </row>
    <row r="8" spans="2:10" ht="18.75" customHeight="1" x14ac:dyDescent="0.3">
      <c r="B8" s="30" t="s">
        <v>621</v>
      </c>
      <c r="C8" s="15"/>
      <c r="D8" s="16" t="s">
        <v>404</v>
      </c>
      <c r="E8" s="5"/>
      <c r="G8" s="47" t="s">
        <v>1266</v>
      </c>
      <c r="H8" s="15"/>
      <c r="I8" s="71">
        <v>1.83</v>
      </c>
    </row>
    <row r="9" spans="2:10" ht="18.75" customHeight="1" x14ac:dyDescent="0.3">
      <c r="B9" s="30" t="s">
        <v>679</v>
      </c>
      <c r="C9" s="15"/>
      <c r="D9" s="16" t="s">
        <v>678</v>
      </c>
      <c r="E9" s="5"/>
      <c r="G9" s="47" t="s">
        <v>1268</v>
      </c>
      <c r="H9" s="15"/>
      <c r="I9" s="71" t="s">
        <v>1251</v>
      </c>
    </row>
    <row r="10" spans="2:10" ht="18.75" customHeight="1" thickBot="1" x14ac:dyDescent="0.35">
      <c r="B10" s="31" t="s">
        <v>665</v>
      </c>
      <c r="C10" s="17"/>
      <c r="D10" s="18">
        <v>0.85</v>
      </c>
      <c r="E10" s="5"/>
      <c r="G10" s="53" t="s">
        <v>1270</v>
      </c>
      <c r="H10" s="17"/>
      <c r="I10" s="72">
        <v>0.85</v>
      </c>
    </row>
    <row r="11" spans="2:10" ht="18.75" customHeight="1" x14ac:dyDescent="0.3">
      <c r="B11" s="28"/>
      <c r="C11" s="11"/>
      <c r="D11" s="12"/>
      <c r="E11" s="5"/>
      <c r="G11" s="5"/>
      <c r="H11" s="5"/>
      <c r="I11" s="5"/>
    </row>
    <row r="12" spans="2:10" ht="18.75" customHeight="1" thickBot="1" x14ac:dyDescent="0.35">
      <c r="B12" s="28"/>
      <c r="C12" s="11"/>
      <c r="D12" s="12"/>
      <c r="E12" s="5"/>
      <c r="G12" s="5"/>
      <c r="H12" s="5"/>
      <c r="I12" s="5"/>
    </row>
    <row r="13" spans="2:10" ht="18.75" customHeight="1" x14ac:dyDescent="0.3">
      <c r="B13" s="29" t="s">
        <v>622</v>
      </c>
      <c r="C13" s="13" t="s">
        <v>300</v>
      </c>
      <c r="D13" s="14" t="s">
        <v>623</v>
      </c>
      <c r="E13" s="9" t="s">
        <v>637</v>
      </c>
      <c r="G13" s="63" t="s">
        <v>622</v>
      </c>
      <c r="H13" s="13" t="s">
        <v>300</v>
      </c>
      <c r="I13" s="14" t="s">
        <v>623</v>
      </c>
      <c r="J13" s="5"/>
    </row>
    <row r="14" spans="2:10" ht="18.75" customHeight="1" x14ac:dyDescent="0.3">
      <c r="B14" s="32" t="s">
        <v>631</v>
      </c>
      <c r="C14" s="19" t="s">
        <v>630</v>
      </c>
      <c r="D14" s="20">
        <f>D5/6892.79</f>
        <v>29.400286386209359</v>
      </c>
      <c r="E14" s="10"/>
      <c r="G14" s="47" t="s">
        <v>677</v>
      </c>
      <c r="H14" s="15" t="s">
        <v>340</v>
      </c>
      <c r="I14" s="16">
        <f>IF(I9="Y", 0.125, 0)</f>
        <v>0.125</v>
      </c>
      <c r="J14" s="5"/>
    </row>
    <row r="15" spans="2:10" ht="18.75" customHeight="1" x14ac:dyDescent="0.3">
      <c r="B15" s="32" t="s">
        <v>632</v>
      </c>
      <c r="C15" s="19" t="s">
        <v>625</v>
      </c>
      <c r="D15" s="20">
        <f>D14-14.7</f>
        <v>14.70028638620936</v>
      </c>
      <c r="E15" s="10"/>
      <c r="G15" s="47" t="s">
        <v>677</v>
      </c>
      <c r="H15" s="15" t="s">
        <v>680</v>
      </c>
      <c r="I15" s="16">
        <f>(I14/12)*0.3048*1000</f>
        <v>3.1749999999999998</v>
      </c>
      <c r="J15" s="5"/>
    </row>
    <row r="16" spans="2:10" ht="18.75" customHeight="1" x14ac:dyDescent="0.3">
      <c r="B16" s="33" t="s">
        <v>633</v>
      </c>
      <c r="C16" s="21" t="s">
        <v>625</v>
      </c>
      <c r="D16" s="22">
        <f>IF(AND(D15&gt;=0, D15&lt;=5), 5,
   IF(AND(D15&gt;10, D15&lt;=1000), EXP((0.6068+0.9165*LN(D15))+(0.0015655*(LN(D15))^2)),
   IF(D15&gt;1000, 1.1*D15, "")))</f>
        <v>21.79194137362451</v>
      </c>
      <c r="E16" s="10" t="s">
        <v>674</v>
      </c>
      <c r="G16" s="47" t="s">
        <v>1284</v>
      </c>
      <c r="H16" s="15" t="s">
        <v>1271</v>
      </c>
      <c r="I16" s="68">
        <f>IFERROR(_xlfn.XLOOKUP(I7,Data!$B:$B,Data!$D:$D,""),"")</f>
        <v>137</v>
      </c>
      <c r="J16" s="5"/>
    </row>
    <row r="17" spans="2:10" ht="18.75" customHeight="1" x14ac:dyDescent="0.3">
      <c r="B17" s="32" t="s">
        <v>635</v>
      </c>
      <c r="C17" s="19" t="s">
        <v>626</v>
      </c>
      <c r="D17" s="20">
        <f>((D4-273.15)*(9/5))+32</f>
        <v>118.13000000000004</v>
      </c>
      <c r="E17" s="10"/>
      <c r="G17" s="47" t="s">
        <v>1285</v>
      </c>
      <c r="H17" s="15" t="s">
        <v>1272</v>
      </c>
      <c r="I17" s="68">
        <f>IFERROR(_xlfn.XLOOKUP(I7,Data!$B:$B,Data!$E:$E,""),"")</f>
        <v>154</v>
      </c>
      <c r="J17" s="5"/>
    </row>
    <row r="18" spans="2:10" ht="18.75" customHeight="1" x14ac:dyDescent="0.3">
      <c r="B18" s="33" t="s">
        <v>634</v>
      </c>
      <c r="C18" s="21" t="s">
        <v>626</v>
      </c>
      <c r="D18" s="22">
        <f>D17+50</f>
        <v>168.13000000000005</v>
      </c>
      <c r="E18" s="10" t="s">
        <v>674</v>
      </c>
      <c r="G18" s="47" t="s">
        <v>1299</v>
      </c>
      <c r="H18" s="48"/>
      <c r="I18" s="71">
        <f>IF(ISBLANK(I4),(I5/I6),1)</f>
        <v>0.8</v>
      </c>
    </row>
    <row r="19" spans="2:10" ht="18.75" customHeight="1" x14ac:dyDescent="0.3">
      <c r="B19" s="33" t="s">
        <v>640</v>
      </c>
      <c r="C19" s="21"/>
      <c r="D19" s="37">
        <f>IF(D15=0, 1,
   IF(AND(D15&gt;0, D15&lt;250), 3,
   IF(AND(D15&gt;=250, D15&lt;500), 4,
   IF(D15&gt;=500, 5, ""))))</f>
        <v>3</v>
      </c>
      <c r="E19" s="10" t="s">
        <v>638</v>
      </c>
      <c r="G19" s="47" t="s">
        <v>636</v>
      </c>
      <c r="H19" s="15" t="s">
        <v>323</v>
      </c>
      <c r="I19" s="71">
        <f>I4/264.172</f>
        <v>0</v>
      </c>
    </row>
    <row r="20" spans="2:10" ht="18.75" customHeight="1" x14ac:dyDescent="0.3">
      <c r="B20" s="33" t="s">
        <v>669</v>
      </c>
      <c r="C20" s="21" t="s">
        <v>639</v>
      </c>
      <c r="D20" s="22">
        <f>((4*D6)/(D19*PI()))^(0.33)</f>
        <v>4.9501725680999149</v>
      </c>
      <c r="E20" s="10"/>
      <c r="G20" s="47" t="s">
        <v>338</v>
      </c>
      <c r="H20" s="15" t="s">
        <v>639</v>
      </c>
      <c r="I20" s="16">
        <f>IF(ISBLANK(I4),I6*0.3048,((4*I19)/(I18*PI()))^(0.33))</f>
        <v>4.5720000000000001</v>
      </c>
      <c r="J20" s="5"/>
    </row>
    <row r="21" spans="2:10" ht="18.75" customHeight="1" x14ac:dyDescent="0.3">
      <c r="B21" s="32" t="s">
        <v>669</v>
      </c>
      <c r="C21" s="19" t="s">
        <v>337</v>
      </c>
      <c r="D21" s="20">
        <f>D20/0.3048</f>
        <v>16.240723648621767</v>
      </c>
      <c r="E21" s="10"/>
      <c r="G21" s="47" t="s">
        <v>405</v>
      </c>
      <c r="H21" s="15" t="s">
        <v>639</v>
      </c>
      <c r="I21" s="16">
        <f>IF(ISBLANK(I4),I5*0.3048,I20*I18)</f>
        <v>3.6576000000000004</v>
      </c>
      <c r="J21" s="5"/>
    </row>
    <row r="22" spans="2:10" ht="18.75" customHeight="1" x14ac:dyDescent="0.3">
      <c r="B22" s="32" t="s">
        <v>669</v>
      </c>
      <c r="C22" s="19" t="s">
        <v>340</v>
      </c>
      <c r="D22" s="20">
        <f>D21*12</f>
        <v>194.8886837834612</v>
      </c>
      <c r="E22" s="10"/>
      <c r="G22" s="47" t="s">
        <v>1273</v>
      </c>
      <c r="H22" s="15" t="s">
        <v>680</v>
      </c>
      <c r="I22" s="16">
        <f>((4.9*I20*(I21-0.3)*I8)/I16)+I15</f>
        <v>4.1797587119883213</v>
      </c>
      <c r="J22" s="5"/>
    </row>
    <row r="23" spans="2:10" ht="18.75" customHeight="1" x14ac:dyDescent="0.3">
      <c r="B23" s="33" t="s">
        <v>681</v>
      </c>
      <c r="C23" s="21" t="s">
        <v>639</v>
      </c>
      <c r="D23" s="22">
        <f>D19*D20</f>
        <v>14.850517704299744</v>
      </c>
      <c r="E23" s="10"/>
      <c r="G23" s="47" t="s">
        <v>1274</v>
      </c>
      <c r="H23" s="15" t="s">
        <v>680</v>
      </c>
      <c r="I23" s="16">
        <f>(4.9*I20*(I21-0.3))/I17</f>
        <v>0.4884392290909092</v>
      </c>
      <c r="J23" s="5"/>
    </row>
    <row r="24" spans="2:10" ht="18.75" customHeight="1" x14ac:dyDescent="0.3">
      <c r="B24" s="32" t="s">
        <v>405</v>
      </c>
      <c r="C24" s="19" t="s">
        <v>337</v>
      </c>
      <c r="D24" s="20">
        <f>D23/0.3048</f>
        <v>48.722170945865301</v>
      </c>
      <c r="E24" s="10"/>
      <c r="G24" s="47" t="s">
        <v>1275</v>
      </c>
      <c r="H24" s="15" t="s">
        <v>680</v>
      </c>
      <c r="I24" s="16">
        <f>MAX(I22:I23)</f>
        <v>4.1797587119883213</v>
      </c>
      <c r="J24" s="5" t="s">
        <v>1286</v>
      </c>
    </row>
    <row r="25" spans="2:10" ht="18.75" customHeight="1" x14ac:dyDescent="0.3">
      <c r="B25" s="32" t="s">
        <v>405</v>
      </c>
      <c r="C25" s="19" t="s">
        <v>340</v>
      </c>
      <c r="D25" s="20">
        <f>D24*12</f>
        <v>584.66605135038367</v>
      </c>
      <c r="E25" s="10"/>
      <c r="G25" s="47" t="s">
        <v>1275</v>
      </c>
      <c r="H25" s="15" t="s">
        <v>680</v>
      </c>
      <c r="I25" s="16">
        <f>IF(AND(I20&gt;=0,I20&lt;=15),5,
IF(AND(I20&gt;15,I20&lt;=36),6,
IF(AND(I20&gt;36,I20&lt;=60),8,
IF(I20&gt;60,10,""))))</f>
        <v>5</v>
      </c>
      <c r="J25" s="5" t="s">
        <v>1287</v>
      </c>
    </row>
    <row r="26" spans="2:10" ht="18.75" customHeight="1" x14ac:dyDescent="0.3">
      <c r="B26" s="32" t="s">
        <v>664</v>
      </c>
      <c r="C26" s="19" t="s">
        <v>666</v>
      </c>
      <c r="D26" s="20">
        <f>IF($D$7="","",
 IF($D$18&gt;INDEX(Data!$G:$G, MATCH($D$7, Data!$B:$B, 0)),"Over max temp",
  INDEX(Data!$H:$L,
        MATCH($D$7, Data!$B:$B, 0),
        MATCH(MAX(100,MIN($D$18, INDEX(Data!$G:$G, MATCH($D$7, Data!$B:$B, 0)))),{100,300,500,700,900},1)
  )
 ))</f>
        <v>20</v>
      </c>
      <c r="E26" s="10"/>
      <c r="G26" s="66" t="s">
        <v>1275</v>
      </c>
      <c r="H26" s="21" t="s">
        <v>680</v>
      </c>
      <c r="I26" s="22">
        <f>MAX(I24:I25)</f>
        <v>5</v>
      </c>
    </row>
    <row r="27" spans="2:10" ht="18.75" customHeight="1" x14ac:dyDescent="0.3">
      <c r="B27" s="33" t="s">
        <v>664</v>
      </c>
      <c r="C27" s="21" t="s">
        <v>378</v>
      </c>
      <c r="D27" s="37">
        <f>D26*1000</f>
        <v>20000</v>
      </c>
      <c r="E27" s="10" t="s">
        <v>641</v>
      </c>
      <c r="G27" s="47" t="s">
        <v>1275</v>
      </c>
      <c r="H27" s="15" t="s">
        <v>639</v>
      </c>
      <c r="I27" s="16">
        <f>I26/1000</f>
        <v>5.0000000000000001E-3</v>
      </c>
      <c r="J27" s="5"/>
    </row>
    <row r="28" spans="2:10" ht="18.75" customHeight="1" x14ac:dyDescent="0.3">
      <c r="B28" s="32" t="s">
        <v>670</v>
      </c>
      <c r="C28" s="19" t="s">
        <v>340</v>
      </c>
      <c r="D28" s="20">
        <f>(D16*D22)/((2*D27*D10)-(1.2*D16))</f>
        <v>0.12500799328309012</v>
      </c>
      <c r="E28" s="10" t="s">
        <v>673</v>
      </c>
      <c r="G28" s="47" t="s">
        <v>1276</v>
      </c>
      <c r="H28" s="15" t="s">
        <v>1277</v>
      </c>
      <c r="I28" s="69">
        <f>(2*PI()*(I20/2)*I21)+(2*PI()*(I20/2)^2)</f>
        <v>85.370076078346429</v>
      </c>
      <c r="J28" s="5" t="s">
        <v>1297</v>
      </c>
    </row>
    <row r="29" spans="2:10" ht="18.75" customHeight="1" x14ac:dyDescent="0.3">
      <c r="B29" s="32" t="s">
        <v>671</v>
      </c>
      <c r="C29" s="19"/>
      <c r="D29" s="20">
        <f>IF(D28&gt;=0.25,
     D28,
     LOOKUP(D21,{0,4,6,8,10},{0.25,0.3125,0.375,0.4375,0.5})
)</f>
        <v>0.5</v>
      </c>
      <c r="E29" s="10" t="s">
        <v>674</v>
      </c>
      <c r="G29" s="47" t="s">
        <v>1278</v>
      </c>
      <c r="H29" s="15" t="s">
        <v>628</v>
      </c>
      <c r="I29" s="16">
        <v>0.2833</v>
      </c>
      <c r="J29" s="5"/>
    </row>
    <row r="30" spans="2:10" ht="18.75" customHeight="1" x14ac:dyDescent="0.3">
      <c r="B30" s="32" t="s">
        <v>672</v>
      </c>
      <c r="C30" s="19"/>
      <c r="D30" s="20">
        <f>(0.22*(D22+18)*(D25^2))/(D27*(D22^2))</f>
        <v>2.1075979694562662E-2</v>
      </c>
      <c r="E30" s="10" t="s">
        <v>675</v>
      </c>
      <c r="G30" s="47" t="s">
        <v>1278</v>
      </c>
      <c r="H30" s="15" t="s">
        <v>682</v>
      </c>
      <c r="I30" s="16">
        <f>I29*12^3</f>
        <v>489.54239999999999</v>
      </c>
      <c r="J30" s="5"/>
    </row>
    <row r="31" spans="2:10" ht="18.75" customHeight="1" x14ac:dyDescent="0.3">
      <c r="B31" s="32" t="s">
        <v>668</v>
      </c>
      <c r="C31" s="19" t="s">
        <v>340</v>
      </c>
      <c r="D31" s="20">
        <f>IF(D8="Vertical",
     (D29+D29+D30)/2,
     D29
)</f>
        <v>0.5</v>
      </c>
      <c r="E31" s="10"/>
      <c r="G31" s="47" t="s">
        <v>1278</v>
      </c>
      <c r="H31" s="15" t="s">
        <v>1279</v>
      </c>
      <c r="I31" s="69">
        <f>I30*(1/0.3048)^3</f>
        <v>17288.026702037649</v>
      </c>
      <c r="J31" s="5"/>
    </row>
    <row r="32" spans="2:10" ht="18.75" customHeight="1" x14ac:dyDescent="0.3">
      <c r="B32" s="32" t="s">
        <v>677</v>
      </c>
      <c r="C32" s="19" t="s">
        <v>680</v>
      </c>
      <c r="D32" s="20">
        <f>IF(AND(D7="CS",D9="N"),2,IF(AND(D7="CS",D9="Y"),4,3.175))</f>
        <v>3.1749999999999998</v>
      </c>
      <c r="E32" s="10"/>
      <c r="G32" s="47" t="s">
        <v>1294</v>
      </c>
      <c r="H32" s="15" t="s">
        <v>342</v>
      </c>
      <c r="I32" s="69">
        <f>I31*I28*I27</f>
        <v>7379.4007739871931</v>
      </c>
      <c r="J32" s="5"/>
    </row>
    <row r="33" spans="2:10" ht="18.75" customHeight="1" x14ac:dyDescent="0.3">
      <c r="B33" s="32" t="s">
        <v>677</v>
      </c>
      <c r="C33" s="19" t="s">
        <v>340</v>
      </c>
      <c r="D33" s="20">
        <f>(D32/1000/0.3048)*12</f>
        <v>0.125</v>
      </c>
      <c r="E33" s="10"/>
      <c r="G33" s="66" t="s">
        <v>1294</v>
      </c>
      <c r="H33" s="21" t="s">
        <v>629</v>
      </c>
      <c r="I33" s="70">
        <f>I32/2.2</f>
        <v>3354.2730790850874</v>
      </c>
      <c r="J33" s="5"/>
    </row>
    <row r="34" spans="2:10" ht="18.75" customHeight="1" x14ac:dyDescent="0.3">
      <c r="B34" s="32" t="s">
        <v>668</v>
      </c>
      <c r="C34" s="19" t="s">
        <v>340</v>
      </c>
      <c r="D34" s="20">
        <f>D31+D33</f>
        <v>0.625</v>
      </c>
      <c r="E34" s="10"/>
      <c r="G34" s="47" t="s">
        <v>1288</v>
      </c>
      <c r="H34" s="15" t="s">
        <v>680</v>
      </c>
      <c r="I34" s="16">
        <f>I25</f>
        <v>5</v>
      </c>
      <c r="J34" s="5" t="s">
        <v>1289</v>
      </c>
    </row>
    <row r="35" spans="2:10" ht="18.75" customHeight="1" x14ac:dyDescent="0.3">
      <c r="B35" s="33" t="s">
        <v>684</v>
      </c>
      <c r="C35" s="21" t="s">
        <v>340</v>
      </c>
      <c r="D35" s="22">
        <f>CEILING(
  D34,
  IF(AND(D34&gt;=3/16, D34&lt;=1/2), 1/16,
     IF(AND(D34&gt;=1/2, D34&lt;=2),   1/8,
        IF(AND(D34&gt;2, D34&lt;=3), 1/4,
           1/4 )))
)</f>
        <v>0.625</v>
      </c>
      <c r="E35" s="10"/>
      <c r="G35" s="47" t="s">
        <v>1290</v>
      </c>
      <c r="H35" s="15" t="s">
        <v>680</v>
      </c>
      <c r="I35" s="16">
        <f>I25</f>
        <v>5</v>
      </c>
      <c r="J35" s="5" t="s">
        <v>1289</v>
      </c>
    </row>
    <row r="36" spans="2:10" ht="18.75" customHeight="1" x14ac:dyDescent="0.3">
      <c r="B36" s="34" t="s">
        <v>627</v>
      </c>
      <c r="C36" s="23" t="s">
        <v>628</v>
      </c>
      <c r="D36" s="24">
        <f>IF($D$7="","", INDEX(Data!$F:$F, MATCH($D$7, Data!$B:$B, 0)))</f>
        <v>0.28599999999999998</v>
      </c>
      <c r="E36" s="10"/>
      <c r="G36" s="47" t="s">
        <v>1292</v>
      </c>
      <c r="H36" s="15" t="s">
        <v>1277</v>
      </c>
      <c r="I36" s="16">
        <f>(PI()*(I20)^2)/4</f>
        <v>16.417322322758928</v>
      </c>
      <c r="J36" s="5" t="s">
        <v>1297</v>
      </c>
    </row>
    <row r="37" spans="2:10" ht="18.75" customHeight="1" x14ac:dyDescent="0.3">
      <c r="B37" s="32" t="s">
        <v>627</v>
      </c>
      <c r="C37" s="19" t="s">
        <v>682</v>
      </c>
      <c r="D37" s="20">
        <f>D36*12^3</f>
        <v>494.20799999999997</v>
      </c>
      <c r="E37" s="10"/>
      <c r="G37" s="47" t="s">
        <v>1293</v>
      </c>
      <c r="H37" s="15" t="s">
        <v>1277</v>
      </c>
      <c r="I37" s="16">
        <f>(PI()*(I20)^2)/4</f>
        <v>16.417322322758928</v>
      </c>
      <c r="J37" s="5" t="s">
        <v>1297</v>
      </c>
    </row>
    <row r="38" spans="2:10" ht="18.75" customHeight="1" x14ac:dyDescent="0.3">
      <c r="B38" s="32" t="s">
        <v>341</v>
      </c>
      <c r="C38" s="19" t="s">
        <v>342</v>
      </c>
      <c r="D38" s="20">
        <f>PI()*(D22+D35)*(D25+0.8*D22)*(D35*D36)</f>
        <v>81309.876400606896</v>
      </c>
      <c r="E38" s="10"/>
      <c r="G38" s="47" t="s">
        <v>1291</v>
      </c>
      <c r="H38" s="15" t="s">
        <v>342</v>
      </c>
      <c r="I38" s="69">
        <f>I36*I34*0.001*I31</f>
        <v>1419.1155334590756</v>
      </c>
      <c r="J38" s="5"/>
    </row>
    <row r="39" spans="2:10" ht="18.75" customHeight="1" thickBot="1" x14ac:dyDescent="0.35">
      <c r="B39" s="57" t="s">
        <v>1253</v>
      </c>
      <c r="C39" s="58" t="s">
        <v>342</v>
      </c>
      <c r="D39" s="59">
        <f>IF(AND(D38&gt;=0,D38&lt;=50000),D38*1.1,
IF(AND(D38&gt;50000,D38&lt;=75000),D38*1.08,
IF(AND(D38&gt;75000,D38&lt;=100000),D38*1.06,
IF(D38&gt;100000,1.05*D38,""))))</f>
        <v>86188.468984643318</v>
      </c>
      <c r="E39" s="10" t="s">
        <v>1254</v>
      </c>
      <c r="G39" s="47" t="s">
        <v>1295</v>
      </c>
      <c r="H39" s="15" t="s">
        <v>342</v>
      </c>
      <c r="I39" s="69">
        <f>I37*I35*0.001*I31</f>
        <v>1419.1155334590756</v>
      </c>
      <c r="J39" s="5"/>
    </row>
    <row r="40" spans="2:10" ht="18.75" customHeight="1" thickBot="1" x14ac:dyDescent="0.35">
      <c r="B40" s="35" t="s">
        <v>687</v>
      </c>
      <c r="C40" s="25" t="s">
        <v>629</v>
      </c>
      <c r="D40" s="38">
        <f>D39/2.2</f>
        <v>39176.576811201507</v>
      </c>
      <c r="E40" s="10"/>
      <c r="G40" s="66" t="s">
        <v>1291</v>
      </c>
      <c r="H40" s="21" t="s">
        <v>629</v>
      </c>
      <c r="I40" s="70">
        <f>I38/2.2</f>
        <v>645.05251520867068</v>
      </c>
      <c r="J40" s="5"/>
    </row>
    <row r="41" spans="2:10" ht="16.5" x14ac:dyDescent="0.3">
      <c r="G41" s="66" t="s">
        <v>1295</v>
      </c>
      <c r="H41" s="21" t="s">
        <v>629</v>
      </c>
      <c r="I41" s="70">
        <f>I39/2.2</f>
        <v>645.05251520867068</v>
      </c>
      <c r="J41" s="5"/>
    </row>
    <row r="42" spans="2:10" ht="17.25" thickBot="1" x14ac:dyDescent="0.35">
      <c r="G42" s="67" t="s">
        <v>1296</v>
      </c>
      <c r="H42" s="25" t="s">
        <v>629</v>
      </c>
      <c r="I42" s="38">
        <f>I33+I40+I41</f>
        <v>4644.3781095024287</v>
      </c>
      <c r="J42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E9F963-58ED-47F8-BBA4-C389E98BF894}">
          <x14:formula1>
            <xm:f>Data!$B$4:$B$11</xm:f>
          </x14:formula1>
          <xm:sqref>D7</xm:sqref>
        </x14:dataValidation>
        <x14:dataValidation type="list" allowBlank="1" showInputMessage="1" showErrorMessage="1" xr:uid="{49E10B81-DDF4-4EE2-8244-E83A702F53F5}">
          <x14:formula1>
            <xm:f>Data!$C$15:$C$18</xm:f>
          </x14:formula1>
          <xm:sqref>I7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A88A-1004-4815-8BD9-566CE6C3905C}">
  <dimension ref="B2:L22"/>
  <sheetViews>
    <sheetView topLeftCell="A9" zoomScale="160" zoomScaleNormal="160" workbookViewId="0">
      <selection activeCell="D30" sqref="D30"/>
    </sheetView>
  </sheetViews>
  <sheetFormatPr defaultRowHeight="15" x14ac:dyDescent="0.25"/>
  <cols>
    <col min="1" max="1" width="3" customWidth="1"/>
    <col min="2" max="2" width="21.28515625" customWidth="1"/>
    <col min="3" max="3" width="33.140625" customWidth="1"/>
    <col min="4" max="4" width="19" customWidth="1"/>
    <col min="5" max="6" width="17" customWidth="1"/>
    <col min="7" max="7" width="19.140625" bestFit="1" customWidth="1"/>
    <col min="8" max="12" width="7.42578125" bestFit="1" customWidth="1"/>
  </cols>
  <sheetData>
    <row r="2" spans="2:12" ht="16.5" x14ac:dyDescent="0.3">
      <c r="B2" s="8" t="s">
        <v>688</v>
      </c>
    </row>
    <row r="3" spans="2:12" ht="18.75" customHeight="1" x14ac:dyDescent="0.3">
      <c r="B3" s="6" t="s">
        <v>642</v>
      </c>
      <c r="C3" s="6" t="s">
        <v>619</v>
      </c>
      <c r="D3" s="6" t="s">
        <v>643</v>
      </c>
      <c r="E3" s="6" t="s">
        <v>644</v>
      </c>
      <c r="F3" s="6" t="s">
        <v>685</v>
      </c>
      <c r="G3" s="6" t="s">
        <v>667</v>
      </c>
      <c r="H3" s="6" t="s">
        <v>645</v>
      </c>
      <c r="I3" s="6" t="s">
        <v>646</v>
      </c>
      <c r="J3" s="6" t="s">
        <v>647</v>
      </c>
      <c r="K3" s="6" t="s">
        <v>648</v>
      </c>
      <c r="L3" s="6" t="s">
        <v>649</v>
      </c>
    </row>
    <row r="4" spans="2:12" ht="18.75" customHeight="1" x14ac:dyDescent="0.3">
      <c r="B4" s="7" t="s">
        <v>620</v>
      </c>
      <c r="C4" s="7" t="s">
        <v>399</v>
      </c>
      <c r="D4" s="7">
        <v>45</v>
      </c>
      <c r="E4" s="7">
        <v>24</v>
      </c>
      <c r="F4" s="7">
        <v>0.2833</v>
      </c>
      <c r="G4" s="7">
        <v>900</v>
      </c>
      <c r="H4" s="7">
        <v>12.9</v>
      </c>
      <c r="I4" s="7">
        <v>12.9</v>
      </c>
      <c r="J4" s="7">
        <v>12.9</v>
      </c>
      <c r="K4" s="7">
        <v>11.5</v>
      </c>
      <c r="L4" s="7">
        <v>5.9</v>
      </c>
    </row>
    <row r="5" spans="2:12" ht="18.75" customHeight="1" x14ac:dyDescent="0.3">
      <c r="B5" s="7" t="s">
        <v>650</v>
      </c>
      <c r="C5" s="7" t="s">
        <v>651</v>
      </c>
      <c r="D5" s="7">
        <v>60</v>
      </c>
      <c r="E5" s="7">
        <v>32</v>
      </c>
      <c r="F5" s="7">
        <v>0.2833</v>
      </c>
      <c r="G5" s="7">
        <v>1000</v>
      </c>
      <c r="H5" s="7">
        <v>17.100000000000001</v>
      </c>
      <c r="I5" s="7">
        <v>17.100000000000001</v>
      </c>
      <c r="J5" s="7">
        <v>17.100000000000001</v>
      </c>
      <c r="K5" s="7">
        <v>14.3</v>
      </c>
      <c r="L5" s="7">
        <v>5.9</v>
      </c>
    </row>
    <row r="6" spans="2:12" ht="18.75" customHeight="1" x14ac:dyDescent="0.3">
      <c r="B6" s="7" t="s">
        <v>652</v>
      </c>
      <c r="C6" s="7" t="s">
        <v>653</v>
      </c>
      <c r="D6" s="7">
        <v>60</v>
      </c>
      <c r="E6" s="7">
        <v>30</v>
      </c>
      <c r="F6" s="7">
        <v>0.2833</v>
      </c>
      <c r="G6" s="7">
        <v>1200</v>
      </c>
      <c r="H6" s="7">
        <v>17.100000000000001</v>
      </c>
      <c r="I6" s="7">
        <v>16.600000000000001</v>
      </c>
      <c r="J6" s="7">
        <v>16.600000000000001</v>
      </c>
      <c r="K6" s="7">
        <v>16.600000000000001</v>
      </c>
      <c r="L6" s="7">
        <v>13.6</v>
      </c>
    </row>
    <row r="7" spans="2:12" ht="18.75" customHeight="1" x14ac:dyDescent="0.3">
      <c r="B7" s="7" t="s">
        <v>654</v>
      </c>
      <c r="C7" s="7" t="s">
        <v>655</v>
      </c>
      <c r="D7" s="7">
        <v>65</v>
      </c>
      <c r="E7" s="7">
        <v>30</v>
      </c>
      <c r="F7" s="7">
        <v>0.28299999999999997</v>
      </c>
      <c r="G7" s="7">
        <v>1200</v>
      </c>
      <c r="H7" s="7">
        <v>18.600000000000001</v>
      </c>
      <c r="I7" s="7">
        <v>17.8</v>
      </c>
      <c r="J7" s="7">
        <v>17.2</v>
      </c>
      <c r="K7" s="7">
        <v>16.2</v>
      </c>
      <c r="L7" s="7">
        <v>12.3</v>
      </c>
    </row>
    <row r="8" spans="2:12" ht="18.75" customHeight="1" x14ac:dyDescent="0.3">
      <c r="B8" s="7" t="s">
        <v>656</v>
      </c>
      <c r="C8" s="7" t="s">
        <v>657</v>
      </c>
      <c r="D8" s="7">
        <v>75</v>
      </c>
      <c r="E8" s="7">
        <v>30</v>
      </c>
      <c r="F8" s="7">
        <v>0.28599999999999998</v>
      </c>
      <c r="G8" s="7">
        <v>1500</v>
      </c>
      <c r="H8" s="7">
        <v>20</v>
      </c>
      <c r="I8" s="7">
        <v>15</v>
      </c>
      <c r="J8" s="7">
        <v>12.9</v>
      </c>
      <c r="K8" s="7">
        <v>11.7</v>
      </c>
      <c r="L8" s="7">
        <v>10.8</v>
      </c>
    </row>
    <row r="9" spans="2:12" ht="18.75" customHeight="1" x14ac:dyDescent="0.3">
      <c r="B9" s="7" t="s">
        <v>658</v>
      </c>
      <c r="C9" s="7" t="s">
        <v>659</v>
      </c>
      <c r="D9" s="7">
        <v>75</v>
      </c>
      <c r="E9" s="7">
        <v>30</v>
      </c>
      <c r="F9" s="7">
        <v>0.28599999999999998</v>
      </c>
      <c r="G9" s="7">
        <v>1500</v>
      </c>
      <c r="H9" s="7">
        <v>20</v>
      </c>
      <c r="I9" s="7">
        <v>17.100000000000001</v>
      </c>
      <c r="J9" s="7">
        <v>15</v>
      </c>
      <c r="K9" s="7">
        <v>13.8</v>
      </c>
      <c r="L9" s="7">
        <v>13.4</v>
      </c>
    </row>
    <row r="10" spans="2:12" ht="18.75" customHeight="1" x14ac:dyDescent="0.3">
      <c r="B10" s="7" t="s">
        <v>660</v>
      </c>
      <c r="C10" s="7" t="s">
        <v>661</v>
      </c>
      <c r="D10" s="7">
        <v>75</v>
      </c>
      <c r="E10" s="7">
        <v>30</v>
      </c>
      <c r="F10" s="7">
        <v>0.28599999999999998</v>
      </c>
      <c r="G10" s="7">
        <v>1500</v>
      </c>
      <c r="H10" s="7">
        <v>20</v>
      </c>
      <c r="I10" s="7">
        <v>16.5</v>
      </c>
      <c r="J10" s="7">
        <v>14.3</v>
      </c>
      <c r="K10" s="7">
        <v>13</v>
      </c>
      <c r="L10" s="7">
        <v>12.3</v>
      </c>
    </row>
    <row r="11" spans="2:12" ht="18.75" customHeight="1" x14ac:dyDescent="0.3">
      <c r="B11" s="7" t="s">
        <v>662</v>
      </c>
      <c r="C11" s="7" t="s">
        <v>663</v>
      </c>
      <c r="D11" s="7">
        <v>75</v>
      </c>
      <c r="E11" s="7">
        <v>30</v>
      </c>
      <c r="F11" s="7">
        <v>0.28599999999999998</v>
      </c>
      <c r="G11" s="7">
        <v>1500</v>
      </c>
      <c r="H11" s="7">
        <v>20</v>
      </c>
      <c r="I11" s="7">
        <v>15.6</v>
      </c>
      <c r="J11" s="7">
        <v>13.3</v>
      </c>
      <c r="K11" s="7">
        <v>12.1</v>
      </c>
      <c r="L11" s="7">
        <v>11.5</v>
      </c>
    </row>
    <row r="14" spans="2:12" x14ac:dyDescent="0.25">
      <c r="B14" t="s">
        <v>619</v>
      </c>
      <c r="C14" t="s">
        <v>1283</v>
      </c>
      <c r="D14" t="s">
        <v>1301</v>
      </c>
      <c r="E14" t="s">
        <v>1302</v>
      </c>
    </row>
    <row r="15" spans="2:12" x14ac:dyDescent="0.25">
      <c r="B15" t="s">
        <v>1280</v>
      </c>
      <c r="C15" t="s">
        <v>1280</v>
      </c>
      <c r="D15">
        <v>137</v>
      </c>
      <c r="E15">
        <v>154</v>
      </c>
    </row>
    <row r="16" spans="2:12" x14ac:dyDescent="0.25">
      <c r="B16" t="s">
        <v>1281</v>
      </c>
      <c r="C16" t="s">
        <v>1281</v>
      </c>
      <c r="D16">
        <v>137</v>
      </c>
      <c r="E16">
        <v>154</v>
      </c>
    </row>
    <row r="17" spans="2:5" x14ac:dyDescent="0.25">
      <c r="B17" t="s">
        <v>1282</v>
      </c>
      <c r="C17" t="s">
        <v>1282</v>
      </c>
      <c r="D17">
        <v>157</v>
      </c>
      <c r="E17">
        <v>171</v>
      </c>
    </row>
    <row r="18" spans="2:5" x14ac:dyDescent="0.25">
      <c r="B18" t="s">
        <v>1300</v>
      </c>
      <c r="C18" t="s">
        <v>1300</v>
      </c>
      <c r="D18">
        <v>173</v>
      </c>
      <c r="E18">
        <v>195</v>
      </c>
    </row>
    <row r="19" spans="2:5" x14ac:dyDescent="0.25">
      <c r="B19" t="s">
        <v>656</v>
      </c>
      <c r="C19" t="s">
        <v>656</v>
      </c>
      <c r="D19">
        <v>155</v>
      </c>
      <c r="E19">
        <v>186</v>
      </c>
    </row>
    <row r="20" spans="2:5" x14ac:dyDescent="0.25">
      <c r="B20" t="s">
        <v>1306</v>
      </c>
      <c r="C20" t="s">
        <v>1306</v>
      </c>
      <c r="D20">
        <v>145</v>
      </c>
      <c r="E20">
        <v>155</v>
      </c>
    </row>
    <row r="21" spans="2:5" x14ac:dyDescent="0.25">
      <c r="B21" t="s">
        <v>662</v>
      </c>
      <c r="C21" t="s">
        <v>662</v>
      </c>
      <c r="D21">
        <v>155</v>
      </c>
      <c r="E21">
        <v>186</v>
      </c>
    </row>
    <row r="22" spans="2:5" x14ac:dyDescent="0.25">
      <c r="B22" t="s">
        <v>1307</v>
      </c>
      <c r="C22" t="s">
        <v>1307</v>
      </c>
      <c r="D22">
        <v>155</v>
      </c>
      <c r="E22">
        <v>186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BF1D-91AF-4C2C-809C-9D9423D43BFD}">
  <dimension ref="B1:P85"/>
  <sheetViews>
    <sheetView topLeftCell="A58" zoomScaleNormal="100" workbookViewId="0">
      <selection activeCell="G88" sqref="G88"/>
    </sheetView>
  </sheetViews>
  <sheetFormatPr defaultRowHeight="15" x14ac:dyDescent="0.25"/>
  <cols>
    <col min="1" max="1" width="6.140625" customWidth="1"/>
    <col min="2" max="2" width="31.42578125" style="36" customWidth="1"/>
    <col min="3" max="3" width="10.7109375" style="26" bestFit="1" customWidth="1"/>
    <col min="4" max="4" width="11.85546875" style="27" customWidth="1"/>
    <col min="5" max="5" width="14.85546875" customWidth="1"/>
    <col min="6" max="6" width="33.85546875" customWidth="1"/>
    <col min="7" max="7" width="14.85546875" customWidth="1"/>
    <col min="8" max="8" width="12.140625" bestFit="1" customWidth="1"/>
    <col min="9" max="9" width="14.85546875" customWidth="1"/>
    <col min="10" max="10" width="34.28515625" style="36" customWidth="1"/>
    <col min="11" max="11" width="9.140625" style="26"/>
    <col min="12" max="12" width="11.85546875" style="27" customWidth="1"/>
    <col min="14" max="14" width="31.140625" customWidth="1"/>
    <col min="16" max="16" width="12.140625" bestFit="1" customWidth="1"/>
  </cols>
  <sheetData>
    <row r="1" spans="2:16" ht="16.5" x14ac:dyDescent="0.3">
      <c r="B1" s="28"/>
      <c r="C1" s="11"/>
      <c r="D1" s="12"/>
      <c r="E1" s="5"/>
      <c r="F1" s="5"/>
      <c r="G1" s="5"/>
      <c r="H1" s="5"/>
      <c r="I1" s="5"/>
      <c r="J1" s="28"/>
      <c r="K1" s="11"/>
      <c r="L1" s="12"/>
    </row>
    <row r="2" spans="2:16" ht="17.25" thickBot="1" x14ac:dyDescent="0.35">
      <c r="B2" s="39" t="s">
        <v>1255</v>
      </c>
      <c r="C2" s="11"/>
      <c r="D2" s="12"/>
      <c r="E2" s="5"/>
      <c r="F2" s="39" t="s">
        <v>1256</v>
      </c>
      <c r="G2" s="11"/>
      <c r="H2" s="12"/>
      <c r="I2" s="5"/>
      <c r="J2" s="39" t="s">
        <v>1257</v>
      </c>
      <c r="K2" s="11"/>
      <c r="L2" s="12"/>
      <c r="N2" s="39" t="s">
        <v>1258</v>
      </c>
      <c r="O2" s="11"/>
      <c r="P2" s="12"/>
    </row>
    <row r="3" spans="2:16" ht="16.5" x14ac:dyDescent="0.3">
      <c r="B3" s="29" t="s">
        <v>618</v>
      </c>
      <c r="C3" s="13" t="s">
        <v>300</v>
      </c>
      <c r="D3" s="14" t="s">
        <v>676</v>
      </c>
      <c r="E3" s="5"/>
      <c r="F3" s="29" t="s">
        <v>618</v>
      </c>
      <c r="G3" s="13" t="s">
        <v>300</v>
      </c>
      <c r="H3" s="14" t="s">
        <v>676</v>
      </c>
      <c r="I3" s="5"/>
      <c r="J3" s="29" t="s">
        <v>618</v>
      </c>
      <c r="K3" s="13" t="s">
        <v>300</v>
      </c>
      <c r="L3" s="14" t="s">
        <v>676</v>
      </c>
      <c r="N3" s="29" t="s">
        <v>618</v>
      </c>
      <c r="O3" s="13" t="s">
        <v>300</v>
      </c>
      <c r="P3" s="14" t="s">
        <v>676</v>
      </c>
    </row>
    <row r="4" spans="2:16" ht="16.5" x14ac:dyDescent="0.3">
      <c r="B4" s="30" t="s">
        <v>616</v>
      </c>
      <c r="C4" s="15" t="s">
        <v>375</v>
      </c>
      <c r="D4" s="16">
        <v>431.15</v>
      </c>
      <c r="E4" s="5"/>
      <c r="F4" s="30" t="s">
        <v>616</v>
      </c>
      <c r="G4" s="15" t="s">
        <v>375</v>
      </c>
      <c r="H4" s="16">
        <v>321.14999999999998</v>
      </c>
      <c r="I4" s="5"/>
      <c r="J4" s="30" t="s">
        <v>616</v>
      </c>
      <c r="K4" s="15" t="s">
        <v>375</v>
      </c>
      <c r="L4" s="16">
        <f>'Stream table'!AO6</f>
        <v>321.14999999999998</v>
      </c>
      <c r="N4" s="30" t="s">
        <v>616</v>
      </c>
      <c r="O4" s="15" t="s">
        <v>375</v>
      </c>
      <c r="P4" s="16">
        <v>305.14999999999998</v>
      </c>
    </row>
    <row r="5" spans="2:16" ht="16.5" x14ac:dyDescent="0.3">
      <c r="B5" s="30" t="s">
        <v>617</v>
      </c>
      <c r="C5" s="15" t="s">
        <v>624</v>
      </c>
      <c r="D5" s="16">
        <v>557288</v>
      </c>
      <c r="E5" s="5"/>
      <c r="F5" s="30" t="s">
        <v>617</v>
      </c>
      <c r="G5" s="15" t="s">
        <v>624</v>
      </c>
      <c r="H5" s="16">
        <f>101325</f>
        <v>101325</v>
      </c>
      <c r="I5" s="5"/>
      <c r="J5" s="30" t="s">
        <v>617</v>
      </c>
      <c r="K5" s="15" t="s">
        <v>624</v>
      </c>
      <c r="L5" s="16">
        <f>101325</f>
        <v>101325</v>
      </c>
      <c r="N5" s="30" t="s">
        <v>617</v>
      </c>
      <c r="O5" s="15" t="s">
        <v>624</v>
      </c>
      <c r="P5" s="16">
        <f>101325</f>
        <v>101325</v>
      </c>
    </row>
    <row r="6" spans="2:16" ht="18" x14ac:dyDescent="0.3">
      <c r="B6" s="30" t="s">
        <v>636</v>
      </c>
      <c r="C6" s="15" t="s">
        <v>683</v>
      </c>
      <c r="D6" s="16">
        <f>'Design requirements'!D215</f>
        <v>66.232281870284496</v>
      </c>
      <c r="E6" s="5"/>
      <c r="F6" s="30" t="s">
        <v>636</v>
      </c>
      <c r="G6" s="15" t="s">
        <v>683</v>
      </c>
      <c r="H6" s="16">
        <f>'Design requirements'!D68</f>
        <v>1350.416915484416</v>
      </c>
      <c r="I6" s="5"/>
      <c r="J6" s="30" t="s">
        <v>636</v>
      </c>
      <c r="K6" s="15" t="s">
        <v>683</v>
      </c>
      <c r="L6" s="16">
        <f>'Design requirements'!D250</f>
        <v>4001.9475015678959</v>
      </c>
      <c r="N6" s="30" t="s">
        <v>636</v>
      </c>
      <c r="O6" s="15" t="s">
        <v>683</v>
      </c>
      <c r="P6" s="16">
        <f>SUM('Design requirements'!D270:D274)</f>
        <v>52.947372276370778</v>
      </c>
    </row>
    <row r="7" spans="2:16" ht="16.5" x14ac:dyDescent="0.3">
      <c r="B7" s="30" t="s">
        <v>619</v>
      </c>
      <c r="C7" s="15"/>
      <c r="D7" s="16" t="s">
        <v>662</v>
      </c>
      <c r="E7" s="5"/>
      <c r="F7" s="30" t="s">
        <v>619</v>
      </c>
      <c r="G7" s="15"/>
      <c r="H7" s="16" t="s">
        <v>656</v>
      </c>
      <c r="I7" s="5"/>
      <c r="J7" s="30" t="s">
        <v>619</v>
      </c>
      <c r="K7" s="15"/>
      <c r="L7" s="16" t="s">
        <v>656</v>
      </c>
      <c r="N7" s="30" t="s">
        <v>619</v>
      </c>
      <c r="O7" s="15"/>
      <c r="P7" s="16" t="s">
        <v>656</v>
      </c>
    </row>
    <row r="8" spans="2:16" ht="16.5" x14ac:dyDescent="0.3">
      <c r="B8" s="30" t="s">
        <v>621</v>
      </c>
      <c r="C8" s="15"/>
      <c r="D8" s="16" t="s">
        <v>404</v>
      </c>
      <c r="E8" s="5"/>
      <c r="F8" s="30" t="s">
        <v>621</v>
      </c>
      <c r="G8" s="15"/>
      <c r="H8" s="16" t="s">
        <v>404</v>
      </c>
      <c r="I8" s="5"/>
      <c r="J8" s="30" t="s">
        <v>621</v>
      </c>
      <c r="K8" s="15"/>
      <c r="L8" s="16" t="s">
        <v>404</v>
      </c>
      <c r="N8" s="30" t="s">
        <v>621</v>
      </c>
      <c r="O8" s="15"/>
      <c r="P8" s="16" t="s">
        <v>404</v>
      </c>
    </row>
    <row r="9" spans="2:16" ht="16.5" x14ac:dyDescent="0.3">
      <c r="B9" s="30" t="s">
        <v>679</v>
      </c>
      <c r="C9" s="15"/>
      <c r="D9" s="16" t="s">
        <v>1251</v>
      </c>
      <c r="E9" s="5"/>
      <c r="F9" s="30" t="s">
        <v>679</v>
      </c>
      <c r="G9" s="15"/>
      <c r="H9" s="16" t="s">
        <v>1251</v>
      </c>
      <c r="I9" s="5"/>
      <c r="J9" s="30" t="s">
        <v>679</v>
      </c>
      <c r="K9" s="15"/>
      <c r="L9" s="16" t="s">
        <v>1251</v>
      </c>
      <c r="N9" s="30" t="s">
        <v>679</v>
      </c>
      <c r="O9" s="15"/>
      <c r="P9" s="16" t="s">
        <v>1251</v>
      </c>
    </row>
    <row r="10" spans="2:16" ht="17.25" thickBot="1" x14ac:dyDescent="0.35">
      <c r="B10" s="31" t="s">
        <v>665</v>
      </c>
      <c r="C10" s="17"/>
      <c r="D10" s="18">
        <v>0.85</v>
      </c>
      <c r="E10" s="5"/>
      <c r="F10" s="31" t="s">
        <v>665</v>
      </c>
      <c r="G10" s="17"/>
      <c r="H10" s="18">
        <v>0.85</v>
      </c>
      <c r="I10" s="5"/>
      <c r="J10" s="31" t="s">
        <v>665</v>
      </c>
      <c r="K10" s="17"/>
      <c r="L10" s="18">
        <v>0.85</v>
      </c>
      <c r="N10" s="31" t="s">
        <v>665</v>
      </c>
      <c r="O10" s="17"/>
      <c r="P10" s="18">
        <v>0.85</v>
      </c>
    </row>
    <row r="11" spans="2:16" ht="16.5" x14ac:dyDescent="0.3">
      <c r="B11" s="28"/>
      <c r="C11" s="11"/>
      <c r="D11" s="12"/>
      <c r="E11" s="5"/>
      <c r="F11" s="28"/>
      <c r="G11" s="11"/>
      <c r="H11" s="12"/>
      <c r="I11" s="5"/>
      <c r="J11" s="28"/>
      <c r="K11" s="11"/>
      <c r="L11" s="12"/>
      <c r="N11" s="28"/>
      <c r="O11" s="11"/>
      <c r="P11" s="12"/>
    </row>
    <row r="12" spans="2:16" ht="17.25" thickBot="1" x14ac:dyDescent="0.35">
      <c r="B12" s="28"/>
      <c r="C12" s="11"/>
      <c r="D12" s="12"/>
      <c r="E12" s="5"/>
      <c r="F12" s="28"/>
      <c r="G12" s="11"/>
      <c r="H12" s="12"/>
      <c r="I12" s="5"/>
      <c r="J12" s="28"/>
      <c r="K12" s="11"/>
      <c r="L12" s="12"/>
      <c r="N12" s="28"/>
      <c r="O12" s="11"/>
      <c r="P12" s="12"/>
    </row>
    <row r="13" spans="2:16" ht="16.5" x14ac:dyDescent="0.3">
      <c r="B13" s="29" t="s">
        <v>622</v>
      </c>
      <c r="C13" s="13" t="s">
        <v>300</v>
      </c>
      <c r="D13" s="14" t="s">
        <v>623</v>
      </c>
      <c r="E13" s="9"/>
      <c r="F13" s="29" t="s">
        <v>622</v>
      </c>
      <c r="G13" s="13" t="s">
        <v>300</v>
      </c>
      <c r="H13" s="14" t="s">
        <v>623</v>
      </c>
      <c r="I13" s="9"/>
      <c r="J13" s="29" t="s">
        <v>622</v>
      </c>
      <c r="K13" s="13" t="s">
        <v>300</v>
      </c>
      <c r="L13" s="14" t="s">
        <v>623</v>
      </c>
      <c r="M13" s="5"/>
      <c r="N13" s="29" t="s">
        <v>622</v>
      </c>
      <c r="O13" s="13" t="s">
        <v>300</v>
      </c>
      <c r="P13" s="14" t="s">
        <v>623</v>
      </c>
    </row>
    <row r="14" spans="2:16" ht="16.5" x14ac:dyDescent="0.3">
      <c r="B14" s="32" t="s">
        <v>631</v>
      </c>
      <c r="C14" s="19" t="s">
        <v>630</v>
      </c>
      <c r="D14" s="20">
        <f>D5/6892.79</f>
        <v>80.850860101642439</v>
      </c>
      <c r="E14" s="10"/>
      <c r="F14" s="32" t="s">
        <v>631</v>
      </c>
      <c r="G14" s="19" t="s">
        <v>630</v>
      </c>
      <c r="H14" s="20">
        <f>H5/6892.79</f>
        <v>14.70014319310468</v>
      </c>
      <c r="I14" s="10"/>
      <c r="J14" s="32" t="s">
        <v>631</v>
      </c>
      <c r="K14" s="19" t="s">
        <v>630</v>
      </c>
      <c r="L14" s="20">
        <f>L5/6892.79</f>
        <v>14.70014319310468</v>
      </c>
      <c r="M14" s="5"/>
      <c r="N14" s="32" t="s">
        <v>631</v>
      </c>
      <c r="O14" s="19" t="s">
        <v>630</v>
      </c>
      <c r="P14" s="20">
        <f>P5/6892.79</f>
        <v>14.70014319310468</v>
      </c>
    </row>
    <row r="15" spans="2:16" ht="16.5" x14ac:dyDescent="0.3">
      <c r="B15" s="32" t="s">
        <v>632</v>
      </c>
      <c r="C15" s="19" t="s">
        <v>625</v>
      </c>
      <c r="D15" s="20">
        <f>D14-14.7</f>
        <v>66.150860101642436</v>
      </c>
      <c r="E15" s="10"/>
      <c r="F15" s="32" t="s">
        <v>632</v>
      </c>
      <c r="G15" s="19" t="s">
        <v>625</v>
      </c>
      <c r="H15" s="20">
        <f>H14-14.7</f>
        <v>1.4319310468025037E-4</v>
      </c>
      <c r="I15" s="10"/>
      <c r="J15" s="32" t="s">
        <v>632</v>
      </c>
      <c r="K15" s="19" t="s">
        <v>625</v>
      </c>
      <c r="L15" s="20">
        <f>L14-14.7</f>
        <v>1.4319310468025037E-4</v>
      </c>
      <c r="M15" s="5"/>
      <c r="N15" s="32" t="s">
        <v>632</v>
      </c>
      <c r="O15" s="19" t="s">
        <v>625</v>
      </c>
      <c r="P15" s="20">
        <f>P14-14.7</f>
        <v>1.4319310468025037E-4</v>
      </c>
    </row>
    <row r="16" spans="2:16" ht="16.5" x14ac:dyDescent="0.3">
      <c r="B16" s="33" t="s">
        <v>633</v>
      </c>
      <c r="C16" s="21" t="s">
        <v>625</v>
      </c>
      <c r="D16" s="22">
        <f>IF(AND(D15&gt;=0, D15&lt;=5), 5,
   IF(AND(D15&gt;10, D15&lt;=1000), EXP((0.6068+0.9165*LN(D15))+(0.0015655*(LN(D15))^2)),
   IF(D15&gt;1000, 1.1*D15, "")))</f>
        <v>87.901826357944657</v>
      </c>
      <c r="E16" s="10"/>
      <c r="F16" s="33" t="s">
        <v>633</v>
      </c>
      <c r="G16" s="21" t="s">
        <v>625</v>
      </c>
      <c r="H16" s="22">
        <f>IF(AND(H15&gt;=0, H15&lt;=5), 5,
   IF(AND(H15&gt;10, H15&lt;=1000), EXP((0.6068+0.9165*LN(H15))+(0.0015655*(LN(H15))^2)),
   IF(H15&gt;1000, 1.1*H15, "")))</f>
        <v>5</v>
      </c>
      <c r="I16" s="10"/>
      <c r="J16" s="33" t="s">
        <v>633</v>
      </c>
      <c r="K16" s="21" t="s">
        <v>625</v>
      </c>
      <c r="L16" s="22">
        <f>IF(AND(L15&gt;=0, L15&lt;=5), 5,
   IF(AND(L15&gt;10, L15&lt;=1000), EXP((0.6068+0.9165*LN(L15))+(0.0015655*(LN(L15))^2)),
   IF(L15&gt;1000, 1.1*L15, "")))</f>
        <v>5</v>
      </c>
      <c r="M16" s="5"/>
      <c r="N16" s="33" t="s">
        <v>633</v>
      </c>
      <c r="O16" s="21" t="s">
        <v>625</v>
      </c>
      <c r="P16" s="22">
        <f>IF(AND(P15&gt;=0, P15&lt;=5), 5,
   IF(AND(P15&gt;10, P15&lt;=1000), EXP((0.6068+0.9165*LN(P15))+(0.0015655*(LN(P15))^2)),
   IF(P15&gt;1000, 1.1*P15, "")))</f>
        <v>5</v>
      </c>
    </row>
    <row r="17" spans="2:16" ht="16.5" x14ac:dyDescent="0.3">
      <c r="B17" s="32" t="s">
        <v>635</v>
      </c>
      <c r="C17" s="19" t="s">
        <v>626</v>
      </c>
      <c r="D17" s="20">
        <f>((D4-273.15)*(9/5))+32</f>
        <v>316.40000000000003</v>
      </c>
      <c r="E17" s="10"/>
      <c r="F17" s="32" t="s">
        <v>635</v>
      </c>
      <c r="G17" s="19" t="s">
        <v>626</v>
      </c>
      <c r="H17" s="20">
        <f>((H4-273.15)*(9/5))+32</f>
        <v>118.4</v>
      </c>
      <c r="I17" s="10"/>
      <c r="J17" s="32" t="s">
        <v>635</v>
      </c>
      <c r="K17" s="19" t="s">
        <v>626</v>
      </c>
      <c r="L17" s="20">
        <f>((L4-273.15)*(9/5))+32</f>
        <v>118.4</v>
      </c>
      <c r="M17" s="5"/>
      <c r="N17" s="32" t="s">
        <v>635</v>
      </c>
      <c r="O17" s="19" t="s">
        <v>626</v>
      </c>
      <c r="P17" s="20">
        <f>((P4-273.15)*(9/5))+32</f>
        <v>89.6</v>
      </c>
    </row>
    <row r="18" spans="2:16" ht="16.5" x14ac:dyDescent="0.3">
      <c r="B18" s="33" t="s">
        <v>634</v>
      </c>
      <c r="C18" s="21" t="s">
        <v>626</v>
      </c>
      <c r="D18" s="22">
        <f>D17+50</f>
        <v>366.40000000000003</v>
      </c>
      <c r="E18" s="10"/>
      <c r="F18" s="33" t="s">
        <v>634</v>
      </c>
      <c r="G18" s="21" t="s">
        <v>626</v>
      </c>
      <c r="H18" s="22">
        <f>H17+50</f>
        <v>168.4</v>
      </c>
      <c r="I18" s="10"/>
      <c r="J18" s="33" t="s">
        <v>634</v>
      </c>
      <c r="K18" s="21" t="s">
        <v>626</v>
      </c>
      <c r="L18" s="22">
        <f>L17+50</f>
        <v>168.4</v>
      </c>
      <c r="M18" s="5"/>
      <c r="N18" s="33" t="s">
        <v>634</v>
      </c>
      <c r="O18" s="21" t="s">
        <v>626</v>
      </c>
      <c r="P18" s="22">
        <f>P17+50</f>
        <v>139.6</v>
      </c>
    </row>
    <row r="19" spans="2:16" ht="16.5" x14ac:dyDescent="0.3">
      <c r="B19" s="33" t="s">
        <v>640</v>
      </c>
      <c r="C19" s="21"/>
      <c r="D19" s="37">
        <f>IF(D15=0, 1,
   IF(AND(D15&gt;0, D15&lt;250), 3,
   IF(AND(D15&gt;=250, D15&lt;500), 4,
   IF(D15&gt;=500, 5, ""))))</f>
        <v>3</v>
      </c>
      <c r="E19" s="10"/>
      <c r="F19" s="33" t="s">
        <v>640</v>
      </c>
      <c r="G19" s="21"/>
      <c r="H19" s="37">
        <f>IF(H15=0, 1,
   IF(AND(H15&gt;0, H15&lt;250), 3,
   IF(AND(H15&gt;=250, H15&lt;500), 4,
   IF(H15&gt;=500, 5, ""))))</f>
        <v>3</v>
      </c>
      <c r="I19" s="10"/>
      <c r="J19" s="33" t="s">
        <v>640</v>
      </c>
      <c r="K19" s="21"/>
      <c r="L19" s="37">
        <f>IF(L15=0, 1,
   IF(AND(L15&gt;0, L15&lt;250), 3,
   IF(AND(L15&gt;=250, L15&lt;500), 4,
   IF(L15&gt;=500, 5, ""))))</f>
        <v>3</v>
      </c>
      <c r="M19" s="5"/>
      <c r="N19" s="33" t="s">
        <v>640</v>
      </c>
      <c r="O19" s="21"/>
      <c r="P19" s="37">
        <f>IF(P15=0, 1,
   IF(AND(P15&gt;0, P15&lt;250), 3,
   IF(AND(P15&gt;=250, P15&lt;500), 4,
   IF(P15&gt;=500, 5, ""))))</f>
        <v>3</v>
      </c>
    </row>
    <row r="20" spans="2:16" ht="16.5" x14ac:dyDescent="0.3">
      <c r="B20" s="33" t="s">
        <v>669</v>
      </c>
      <c r="C20" s="21" t="s">
        <v>639</v>
      </c>
      <c r="D20" s="22">
        <f>((4*D6)/(D19*PI()))^(0.33)</f>
        <v>3.0069300965727739</v>
      </c>
      <c r="E20" s="10"/>
      <c r="F20" s="33" t="s">
        <v>669</v>
      </c>
      <c r="G20" s="21" t="s">
        <v>639</v>
      </c>
      <c r="H20" s="22">
        <f>((4*H6)/(H19*PI()))^(0.33)</f>
        <v>8.1325121721388705</v>
      </c>
      <c r="I20" s="10"/>
      <c r="J20" s="33" t="s">
        <v>669</v>
      </c>
      <c r="K20" s="21" t="s">
        <v>639</v>
      </c>
      <c r="L20" s="22">
        <f>((4*L6)/(L19*PI()))^(0.33)</f>
        <v>11.639112952757555</v>
      </c>
      <c r="M20" s="5"/>
      <c r="N20" s="33" t="s">
        <v>669</v>
      </c>
      <c r="O20" s="21" t="s">
        <v>639</v>
      </c>
      <c r="P20" s="22">
        <f>((4*P6)/(P19*PI()))^(0.33)</f>
        <v>2.7927945020757017</v>
      </c>
    </row>
    <row r="21" spans="2:16" ht="16.5" x14ac:dyDescent="0.3">
      <c r="B21" s="32" t="s">
        <v>669</v>
      </c>
      <c r="C21" s="19" t="s">
        <v>337</v>
      </c>
      <c r="D21" s="20">
        <f>D20/0.3048</f>
        <v>9.8652562223516203</v>
      </c>
      <c r="E21" s="10"/>
      <c r="F21" s="32" t="s">
        <v>669</v>
      </c>
      <c r="G21" s="19" t="s">
        <v>337</v>
      </c>
      <c r="H21" s="20">
        <f>H20/0.3048</f>
        <v>26.681470381033037</v>
      </c>
      <c r="I21" s="10"/>
      <c r="J21" s="32" t="s">
        <v>669</v>
      </c>
      <c r="K21" s="19" t="s">
        <v>337</v>
      </c>
      <c r="L21" s="20">
        <f>L20/0.3048</f>
        <v>38.186066117970981</v>
      </c>
      <c r="M21" s="5"/>
      <c r="N21" s="32" t="s">
        <v>669</v>
      </c>
      <c r="O21" s="19" t="s">
        <v>337</v>
      </c>
      <c r="P21" s="20">
        <f>P20/0.3048</f>
        <v>9.1627116209832735</v>
      </c>
    </row>
    <row r="22" spans="2:16" ht="16.5" x14ac:dyDescent="0.3">
      <c r="B22" s="32" t="s">
        <v>669</v>
      </c>
      <c r="C22" s="19" t="s">
        <v>340</v>
      </c>
      <c r="D22" s="20">
        <f>D21*12</f>
        <v>118.38307466821945</v>
      </c>
      <c r="E22" s="10"/>
      <c r="F22" s="32" t="s">
        <v>669</v>
      </c>
      <c r="G22" s="19" t="s">
        <v>340</v>
      </c>
      <c r="H22" s="20">
        <f>H21*12</f>
        <v>320.17764457239645</v>
      </c>
      <c r="I22" s="10"/>
      <c r="J22" s="32" t="s">
        <v>669</v>
      </c>
      <c r="K22" s="19" t="s">
        <v>340</v>
      </c>
      <c r="L22" s="20">
        <f>L21*12</f>
        <v>458.23279341565177</v>
      </c>
      <c r="M22" s="5"/>
      <c r="N22" s="32" t="s">
        <v>669</v>
      </c>
      <c r="O22" s="19" t="s">
        <v>340</v>
      </c>
      <c r="P22" s="20">
        <f>P21*12</f>
        <v>109.95253945179928</v>
      </c>
    </row>
    <row r="23" spans="2:16" ht="16.5" x14ac:dyDescent="0.3">
      <c r="B23" s="33" t="s">
        <v>681</v>
      </c>
      <c r="C23" s="21" t="s">
        <v>639</v>
      </c>
      <c r="D23" s="22">
        <f>D19*D20</f>
        <v>9.0207902897183221</v>
      </c>
      <c r="E23" s="10"/>
      <c r="F23" s="33" t="s">
        <v>681</v>
      </c>
      <c r="G23" s="21" t="s">
        <v>639</v>
      </c>
      <c r="H23" s="22">
        <f>H19*H20</f>
        <v>24.397536516416611</v>
      </c>
      <c r="I23" s="10"/>
      <c r="J23" s="33" t="s">
        <v>681</v>
      </c>
      <c r="K23" s="21" t="s">
        <v>639</v>
      </c>
      <c r="L23" s="22">
        <f>L19*L20</f>
        <v>34.917338858272664</v>
      </c>
      <c r="M23" s="5"/>
      <c r="N23" s="33" t="s">
        <v>681</v>
      </c>
      <c r="O23" s="21" t="s">
        <v>639</v>
      </c>
      <c r="P23" s="22">
        <f>P19*P20</f>
        <v>8.3783835062271059</v>
      </c>
    </row>
    <row r="24" spans="2:16" ht="16.5" x14ac:dyDescent="0.3">
      <c r="B24" s="32" t="s">
        <v>405</v>
      </c>
      <c r="C24" s="19" t="s">
        <v>337</v>
      </c>
      <c r="D24" s="20">
        <f>D23/0.3048</f>
        <v>29.595768667054863</v>
      </c>
      <c r="E24" s="10"/>
      <c r="F24" s="32" t="s">
        <v>405</v>
      </c>
      <c r="G24" s="19" t="s">
        <v>337</v>
      </c>
      <c r="H24" s="20">
        <f>H23/0.3048</f>
        <v>80.044411143099111</v>
      </c>
      <c r="I24" s="10"/>
      <c r="J24" s="32" t="s">
        <v>405</v>
      </c>
      <c r="K24" s="19" t="s">
        <v>337</v>
      </c>
      <c r="L24" s="20">
        <f>L23/0.3048</f>
        <v>114.55819835391294</v>
      </c>
      <c r="M24" s="5"/>
      <c r="N24" s="32" t="s">
        <v>405</v>
      </c>
      <c r="O24" s="19" t="s">
        <v>337</v>
      </c>
      <c r="P24" s="20">
        <f>P23/0.3048</f>
        <v>27.488134862949821</v>
      </c>
    </row>
    <row r="25" spans="2:16" ht="16.5" x14ac:dyDescent="0.3">
      <c r="B25" s="32" t="s">
        <v>405</v>
      </c>
      <c r="C25" s="19" t="s">
        <v>340</v>
      </c>
      <c r="D25" s="20">
        <f>D24*12</f>
        <v>355.14922400465832</v>
      </c>
      <c r="E25" s="10"/>
      <c r="F25" s="32" t="s">
        <v>405</v>
      </c>
      <c r="G25" s="19" t="s">
        <v>340</v>
      </c>
      <c r="H25" s="20">
        <f>H24*12</f>
        <v>960.53293371718928</v>
      </c>
      <c r="I25" s="10"/>
      <c r="J25" s="32" t="s">
        <v>405</v>
      </c>
      <c r="K25" s="19" t="s">
        <v>340</v>
      </c>
      <c r="L25" s="20">
        <f>L24*12</f>
        <v>1374.6983802469554</v>
      </c>
      <c r="M25" s="5"/>
      <c r="N25" s="32" t="s">
        <v>405</v>
      </c>
      <c r="O25" s="19" t="s">
        <v>340</v>
      </c>
      <c r="P25" s="20">
        <f>P24*12</f>
        <v>329.85761835539785</v>
      </c>
    </row>
    <row r="26" spans="2:16" ht="16.5" x14ac:dyDescent="0.3">
      <c r="B26" s="32" t="s">
        <v>664</v>
      </c>
      <c r="C26" s="19" t="s">
        <v>666</v>
      </c>
      <c r="D26" s="20">
        <f>IF($D$7="","",
 IF($D$18&gt;INDEX(Data!$G:$G, MATCH($D$7, Data!$B:$B, 0)),"Over max temp",
  INDEX(Data!$H:$L,
        MATCH($D$7, Data!$B:$B, 0),
        MATCH(MAX(100,MIN($D$18, INDEX(Data!$G:$G, MATCH($D$7, Data!$B:$B, 0)))),{100,300,500,700,900},1)
  )
 ))</f>
        <v>15.6</v>
      </c>
      <c r="E26" s="10"/>
      <c r="F26" s="32" t="s">
        <v>664</v>
      </c>
      <c r="G26" s="19" t="s">
        <v>666</v>
      </c>
      <c r="H26" s="20">
        <f>IF($H$7="","",
 IF($H$18&gt;INDEX(Data!$G:$G, MATCH($H$7, Data!$B:$B, 0)),"Over max temp",
  INDEX(Data!$H:$L,
        MATCH($H$7, Data!$B:$B, 0),
        MATCH(MAX(100,MIN($H$18, INDEX(Data!$G:$G, MATCH($H$7, Data!$B:$B, 0)))),{100,300,500,700,900},1)
  )
 ))</f>
        <v>20</v>
      </c>
      <c r="I26" s="10"/>
      <c r="J26" s="32" t="s">
        <v>664</v>
      </c>
      <c r="K26" s="19" t="s">
        <v>666</v>
      </c>
      <c r="L26" s="20">
        <f>IF($L$7="","",
 IF($L$18&gt;INDEX(Data!$G:$G, MATCH($L$7, Data!$B:$B, 0)),"Over max temp",
  INDEX(Data!$H:$L,
        MATCH($L$7, Data!$B:$B, 0),
        MATCH(MAX(100,MIN($L$18, INDEX(Data!$G:$G, MATCH($L$7, Data!$B:$B, 0)))),{100,300,500,700,900},1)
  )
 ))</f>
        <v>20</v>
      </c>
      <c r="M26" s="5"/>
      <c r="N26" s="32" t="s">
        <v>664</v>
      </c>
      <c r="O26" s="19" t="s">
        <v>666</v>
      </c>
      <c r="P26" s="20">
        <f>IF($P$7="","",
 IF($P$18&gt;INDEX(Data!$G:$G, MATCH($P$7, Data!$B:$B, 0)),"Over max temp",
  INDEX(Data!$H:$L,
        MATCH($P$7, Data!$B:$B, 0),
        MATCH(MAX(100,MIN($P$18, INDEX(Data!$G:$G, MATCH($P$7, Data!$B:$B, 0)))),{100,300,500,700,900},1)
  )
 ))</f>
        <v>20</v>
      </c>
    </row>
    <row r="27" spans="2:16" ht="16.5" x14ac:dyDescent="0.3">
      <c r="B27" s="33" t="s">
        <v>664</v>
      </c>
      <c r="C27" s="21" t="s">
        <v>378</v>
      </c>
      <c r="D27" s="37">
        <f>D26*1000</f>
        <v>15600</v>
      </c>
      <c r="E27" s="10"/>
      <c r="F27" s="33" t="s">
        <v>664</v>
      </c>
      <c r="G27" s="21" t="s">
        <v>378</v>
      </c>
      <c r="H27" s="37">
        <f>H26*1000</f>
        <v>20000</v>
      </c>
      <c r="I27" s="10"/>
      <c r="J27" s="33" t="s">
        <v>664</v>
      </c>
      <c r="K27" s="21" t="s">
        <v>378</v>
      </c>
      <c r="L27" s="37">
        <f>L26*1000</f>
        <v>20000</v>
      </c>
      <c r="M27" s="5"/>
      <c r="N27" s="33" t="s">
        <v>664</v>
      </c>
      <c r="O27" s="21" t="s">
        <v>378</v>
      </c>
      <c r="P27" s="37">
        <f>P26*1000</f>
        <v>20000</v>
      </c>
    </row>
    <row r="28" spans="2:16" ht="16.5" x14ac:dyDescent="0.3">
      <c r="B28" s="32" t="s">
        <v>670</v>
      </c>
      <c r="C28" s="19" t="s">
        <v>340</v>
      </c>
      <c r="D28" s="20">
        <f>(D16*D22)/((2*D27*D10)-(1.2*D16))</f>
        <v>0.39395337627203819</v>
      </c>
      <c r="E28" s="10"/>
      <c r="F28" s="32" t="s">
        <v>670</v>
      </c>
      <c r="G28" s="19" t="s">
        <v>340</v>
      </c>
      <c r="H28" s="20">
        <f>(H16*H22)/((2*H27*H10)-(1.2*H16))</f>
        <v>4.7093258306229992E-2</v>
      </c>
      <c r="I28" s="10"/>
      <c r="J28" s="32" t="s">
        <v>670</v>
      </c>
      <c r="K28" s="19" t="s">
        <v>340</v>
      </c>
      <c r="L28" s="20">
        <f>(L16*L22)/((2*L27*L10)-(1.2*L16))</f>
        <v>6.7399069455735094E-2</v>
      </c>
      <c r="M28" s="5"/>
      <c r="N28" s="32" t="s">
        <v>670</v>
      </c>
      <c r="O28" s="19" t="s">
        <v>340</v>
      </c>
      <c r="P28" s="20">
        <f>(P16*P22)/((2*P27*P10)-(1.2*P16))</f>
        <v>1.617234503909503E-2</v>
      </c>
    </row>
    <row r="29" spans="2:16" ht="16.5" x14ac:dyDescent="0.3">
      <c r="B29" s="32" t="s">
        <v>671</v>
      </c>
      <c r="C29" s="19"/>
      <c r="D29" s="20">
        <f>IF(D28&gt;=0.25,
     D28,
     LOOKUP(D21,{0,4,6,8,10},{0.25,0.3125,0.375,0.4375,0.5})
)</f>
        <v>0.39395337627203819</v>
      </c>
      <c r="E29" s="10"/>
      <c r="F29" s="32" t="s">
        <v>671</v>
      </c>
      <c r="G29" s="19"/>
      <c r="H29" s="20">
        <f>IF(H28&gt;=0.25,
     H28,
     LOOKUP(H21,{0,4,6,8,10},{0.25,0.3125,0.375,0.4375,0.5})
)</f>
        <v>0.5</v>
      </c>
      <c r="I29" s="10"/>
      <c r="J29" s="32" t="s">
        <v>671</v>
      </c>
      <c r="K29" s="19"/>
      <c r="L29" s="20">
        <f>IF(L28&gt;=0.25,
     L28,
     LOOKUP(L21,{0,4,6,8,10},{0.25,0.3125,0.375,0.4375,0.5})
)</f>
        <v>0.5</v>
      </c>
      <c r="M29" s="5"/>
      <c r="N29" s="32" t="s">
        <v>671</v>
      </c>
      <c r="O29" s="19"/>
      <c r="P29" s="20">
        <f>IF(P28&gt;=0.25,
     P28,
     LOOKUP(P21,{0,4,6,8,10},{0.25,0.3125,0.375,0.4375,0.5})
)</f>
        <v>0.4375</v>
      </c>
    </row>
    <row r="30" spans="2:16" ht="16.5" x14ac:dyDescent="0.3">
      <c r="B30" s="32" t="s">
        <v>672</v>
      </c>
      <c r="C30" s="19"/>
      <c r="D30" s="20">
        <f>(0.22*(D22+18)*(D25^2))/(D27*(D22^2))</f>
        <v>1.7310159477120158E-2</v>
      </c>
      <c r="E30" s="10"/>
      <c r="F30" s="32" t="s">
        <v>672</v>
      </c>
      <c r="G30" s="19"/>
      <c r="H30" s="20">
        <f>(0.22*(H22+18)*(H25^2))/(H27*(H22^2))</f>
        <v>3.3479586812667245E-2</v>
      </c>
      <c r="I30" s="10"/>
      <c r="J30" s="32" t="s">
        <v>672</v>
      </c>
      <c r="K30" s="19"/>
      <c r="L30" s="20">
        <f>(0.22*(L22+18)*(L25^2))/(L27*(L22^2))</f>
        <v>4.7147046548149531E-2</v>
      </c>
      <c r="M30" s="5"/>
      <c r="N30" s="32" t="s">
        <v>672</v>
      </c>
      <c r="O30" s="19"/>
      <c r="P30" s="20">
        <f>(0.22*(P22+18)*(P25^2))/(P27*(P22^2))</f>
        <v>1.2667301405728129E-2</v>
      </c>
    </row>
    <row r="31" spans="2:16" ht="16.5" x14ac:dyDescent="0.3">
      <c r="B31" s="32" t="s">
        <v>668</v>
      </c>
      <c r="C31" s="19" t="s">
        <v>340</v>
      </c>
      <c r="D31" s="20">
        <f>IF(D8="Vertical",
     (D29+D29+D30)/2,
     D29
)</f>
        <v>0.39395337627203819</v>
      </c>
      <c r="E31" s="10"/>
      <c r="F31" s="32" t="s">
        <v>668</v>
      </c>
      <c r="G31" s="19" t="s">
        <v>340</v>
      </c>
      <c r="H31" s="20">
        <f>IF(H8="Vertical",
     (H29+H29+H30)/2,
     H29
)</f>
        <v>0.5</v>
      </c>
      <c r="I31" s="10"/>
      <c r="J31" s="32" t="s">
        <v>668</v>
      </c>
      <c r="K31" s="19" t="s">
        <v>340</v>
      </c>
      <c r="L31" s="20">
        <f>IF(L8="Vertical",
     (L29+L29+L30)/2,
     L29
)</f>
        <v>0.5</v>
      </c>
      <c r="M31" s="5"/>
      <c r="N31" s="32" t="s">
        <v>668</v>
      </c>
      <c r="O31" s="19" t="s">
        <v>340</v>
      </c>
      <c r="P31" s="20">
        <f>IF(P8="Vertical",
     (P29+P29+P30)/2,
     P29
)</f>
        <v>0.4375</v>
      </c>
    </row>
    <row r="32" spans="2:16" ht="16.5" x14ac:dyDescent="0.3">
      <c r="B32" s="32" t="s">
        <v>677</v>
      </c>
      <c r="C32" s="19" t="s">
        <v>680</v>
      </c>
      <c r="D32" s="20">
        <f>IF(AND(D7="CS",D9="N"),2,IF(AND(D7="CS",D9="Y"),4,3.175))</f>
        <v>3.1749999999999998</v>
      </c>
      <c r="E32" s="10"/>
      <c r="F32" s="32" t="s">
        <v>677</v>
      </c>
      <c r="G32" s="19" t="s">
        <v>680</v>
      </c>
      <c r="H32" s="20">
        <f>IF(AND(H7="CS",H9="N"),2,IF(AND(H7="CS",H9="Y"),4,3.175))</f>
        <v>3.1749999999999998</v>
      </c>
      <c r="I32" s="10"/>
      <c r="J32" s="32" t="s">
        <v>677</v>
      </c>
      <c r="K32" s="19" t="s">
        <v>680</v>
      </c>
      <c r="L32" s="20">
        <f>IF(AND(L7="CS",L9="N"),2,IF(AND(L7="CS",L9="Y"),4,3.175))</f>
        <v>3.1749999999999998</v>
      </c>
      <c r="M32" s="5"/>
      <c r="N32" s="32" t="s">
        <v>677</v>
      </c>
      <c r="O32" s="19" t="s">
        <v>680</v>
      </c>
      <c r="P32" s="20">
        <f>IF(AND(P7="CS",P9="N"),2,IF(AND(P7="CS",P9="Y"),4,3.175))</f>
        <v>3.1749999999999998</v>
      </c>
    </row>
    <row r="33" spans="2:16" ht="16.5" x14ac:dyDescent="0.3">
      <c r="B33" s="32" t="s">
        <v>677</v>
      </c>
      <c r="C33" s="19" t="s">
        <v>340</v>
      </c>
      <c r="D33" s="20">
        <f>(D32/1000/0.3048)*12</f>
        <v>0.125</v>
      </c>
      <c r="E33" s="10"/>
      <c r="F33" s="32" t="s">
        <v>677</v>
      </c>
      <c r="G33" s="19" t="s">
        <v>340</v>
      </c>
      <c r="H33" s="20">
        <f>(H32/1000/0.3048)*12</f>
        <v>0.125</v>
      </c>
      <c r="I33" s="10"/>
      <c r="J33" s="32" t="s">
        <v>677</v>
      </c>
      <c r="K33" s="19" t="s">
        <v>340</v>
      </c>
      <c r="L33" s="20">
        <f>(L32/1000/0.3048)*12</f>
        <v>0.125</v>
      </c>
      <c r="M33" s="5"/>
      <c r="N33" s="32" t="s">
        <v>677</v>
      </c>
      <c r="O33" s="19" t="s">
        <v>340</v>
      </c>
      <c r="P33" s="20">
        <f>(P32/1000/0.3048)*12</f>
        <v>0.125</v>
      </c>
    </row>
    <row r="34" spans="2:16" ht="16.5" x14ac:dyDescent="0.3">
      <c r="B34" s="32" t="s">
        <v>668</v>
      </c>
      <c r="C34" s="19" t="s">
        <v>340</v>
      </c>
      <c r="D34" s="20">
        <f>D31+D33</f>
        <v>0.51895337627203819</v>
      </c>
      <c r="E34" s="10"/>
      <c r="F34" s="32" t="s">
        <v>668</v>
      </c>
      <c r="G34" s="19" t="s">
        <v>340</v>
      </c>
      <c r="H34" s="20">
        <f>H31+H33</f>
        <v>0.625</v>
      </c>
      <c r="I34" s="10"/>
      <c r="J34" s="32" t="s">
        <v>668</v>
      </c>
      <c r="K34" s="19" t="s">
        <v>340</v>
      </c>
      <c r="L34" s="20">
        <f>L31+L33</f>
        <v>0.625</v>
      </c>
      <c r="M34" s="5"/>
      <c r="N34" s="32" t="s">
        <v>668</v>
      </c>
      <c r="O34" s="19" t="s">
        <v>340</v>
      </c>
      <c r="P34" s="20">
        <f>P31+P33</f>
        <v>0.5625</v>
      </c>
    </row>
    <row r="35" spans="2:16" ht="16.5" x14ac:dyDescent="0.3">
      <c r="B35" s="33" t="s">
        <v>684</v>
      </c>
      <c r="C35" s="21" t="s">
        <v>340</v>
      </c>
      <c r="D35" s="22">
        <f>CEILING(
  D34,
  IF(AND(D34&gt;=3/16, D34&lt;=1/2), 1/16,
     IF(AND(D34&gt;=1/2, D34&lt;=2),   1/8,
        IF(AND(D34&gt;2, D34&lt;=3), 1/4,
           1/4 )))
)</f>
        <v>0.625</v>
      </c>
      <c r="E35" s="10"/>
      <c r="F35" s="33" t="s">
        <v>684</v>
      </c>
      <c r="G35" s="21" t="s">
        <v>340</v>
      </c>
      <c r="H35" s="22">
        <f>CEILING(
  H34,
  IF(AND(H34&gt;=3/16, H34&lt;=1/2), 1/16,
     IF(AND(H34&gt;=1/2, H34&lt;=2),   1/8,
        IF(AND(H34&gt;2, H34&lt;=3), 1/4,
           1/4 )))
)</f>
        <v>0.625</v>
      </c>
      <c r="I35" s="10"/>
      <c r="J35" s="33" t="s">
        <v>684</v>
      </c>
      <c r="K35" s="21" t="s">
        <v>340</v>
      </c>
      <c r="L35" s="22">
        <f>CEILING(
  L34,
  IF(AND(L34&gt;=3/16, L34&lt;=1/2), 1/16,
     IF(AND(L34&gt;=1/2, L34&lt;=2),   1/8,
        IF(AND(L34&gt;2, L34&lt;=3), 1/4,
           1/4 )))
)</f>
        <v>0.625</v>
      </c>
      <c r="M35" s="5"/>
      <c r="N35" s="33" t="s">
        <v>684</v>
      </c>
      <c r="O35" s="21" t="s">
        <v>340</v>
      </c>
      <c r="P35" s="22">
        <f>CEILING(
  P34,
  IF(AND(P34&gt;=3/16, P34&lt;=1/2), 1/16,
     IF(AND(P34&gt;=1/2, P34&lt;=2),   1/8,
        IF(AND(P34&gt;2, P34&lt;=3), 1/4,
           1/4 )))
)</f>
        <v>0.625</v>
      </c>
    </row>
    <row r="36" spans="2:16" ht="16.5" x14ac:dyDescent="0.3">
      <c r="B36" s="34" t="s">
        <v>627</v>
      </c>
      <c r="C36" s="23" t="s">
        <v>628</v>
      </c>
      <c r="D36" s="24">
        <f>IF($D$7="","", INDEX(Data!$F:$F, MATCH($D$7, Data!$B:$B, 0)))</f>
        <v>0.28599999999999998</v>
      </c>
      <c r="E36" s="10"/>
      <c r="F36" s="34" t="s">
        <v>627</v>
      </c>
      <c r="G36" s="23" t="s">
        <v>628</v>
      </c>
      <c r="H36" s="24">
        <f>IF($D$7="","", INDEX(Data!$F:$F, MATCH($D$7, Data!$B:$B, 0)))</f>
        <v>0.28599999999999998</v>
      </c>
      <c r="I36" s="10"/>
      <c r="J36" s="34" t="s">
        <v>627</v>
      </c>
      <c r="K36" s="23" t="s">
        <v>628</v>
      </c>
      <c r="L36" s="24">
        <f>IF($D$7="","", INDEX(Data!$F:$F, MATCH($D$7, Data!$B:$B, 0)))</f>
        <v>0.28599999999999998</v>
      </c>
      <c r="M36" s="5"/>
      <c r="N36" s="34" t="s">
        <v>627</v>
      </c>
      <c r="O36" s="23" t="s">
        <v>628</v>
      </c>
      <c r="P36" s="24">
        <f>IF($D$7="","", INDEX(Data!$F:$F, MATCH($D$7, Data!$B:$B, 0)))</f>
        <v>0.28599999999999998</v>
      </c>
    </row>
    <row r="37" spans="2:16" ht="16.5" x14ac:dyDescent="0.3">
      <c r="B37" s="32" t="s">
        <v>627</v>
      </c>
      <c r="C37" s="19" t="s">
        <v>682</v>
      </c>
      <c r="D37" s="20">
        <f>D36*12^3</f>
        <v>494.20799999999997</v>
      </c>
      <c r="E37" s="10"/>
      <c r="F37" s="32" t="s">
        <v>627</v>
      </c>
      <c r="G37" s="19" t="s">
        <v>682</v>
      </c>
      <c r="H37" s="20">
        <f>H36*12^3</f>
        <v>494.20799999999997</v>
      </c>
      <c r="I37" s="10"/>
      <c r="J37" s="32" t="s">
        <v>627</v>
      </c>
      <c r="K37" s="19" t="s">
        <v>682</v>
      </c>
      <c r="L37" s="20">
        <f>L36*12^3</f>
        <v>494.20799999999997</v>
      </c>
      <c r="M37" s="5"/>
      <c r="N37" s="32" t="s">
        <v>627</v>
      </c>
      <c r="O37" s="19" t="s">
        <v>682</v>
      </c>
      <c r="P37" s="20">
        <f>P36*12^3</f>
        <v>494.20799999999997</v>
      </c>
    </row>
    <row r="38" spans="2:16" ht="16.5" x14ac:dyDescent="0.3">
      <c r="B38" s="32" t="s">
        <v>341</v>
      </c>
      <c r="C38" s="19" t="s">
        <v>342</v>
      </c>
      <c r="D38" s="20">
        <f>PI()*(D22+D35)*(D25+0.8*D22)*(D35*D36)</f>
        <v>30063.917037874151</v>
      </c>
      <c r="E38" s="10"/>
      <c r="F38" s="32" t="s">
        <v>341</v>
      </c>
      <c r="G38" s="19" t="s">
        <v>342</v>
      </c>
      <c r="H38" s="20">
        <f>PI()*(H22+H35)*(H25+0.8*H22)*(H35*H36)</f>
        <v>219183.80649791192</v>
      </c>
      <c r="I38" s="10"/>
      <c r="J38" s="32" t="s">
        <v>341</v>
      </c>
      <c r="K38" s="19" t="s">
        <v>342</v>
      </c>
      <c r="L38" s="20">
        <f>PI()*(L22+L35)*(L25+0.8*L22)*(L35*L36)</f>
        <v>448687.32195839437</v>
      </c>
      <c r="M38" s="5"/>
      <c r="N38" s="32" t="s">
        <v>341</v>
      </c>
      <c r="O38" s="19" t="s">
        <v>342</v>
      </c>
      <c r="P38" s="20">
        <f>PI()*(P22+P35)*(P25+0.8*P22)*(P35*P36)</f>
        <v>25944.882362963868</v>
      </c>
    </row>
    <row r="39" spans="2:16" ht="17.25" thickBot="1" x14ac:dyDescent="0.35">
      <c r="B39" s="57" t="s">
        <v>1253</v>
      </c>
      <c r="C39" s="58" t="s">
        <v>342</v>
      </c>
      <c r="D39" s="59">
        <f>IF(AND(D38&gt;=0,D38&lt;=50000),D38*1.1,
IF(AND(D38&gt;50000,D38&lt;=75000),D38*1.08,
IF(AND(D38&gt;75000,D38&lt;=100000),D38*1.06,
IF(D38&gt;100000,1.05*D38,""))))</f>
        <v>33070.308741661567</v>
      </c>
      <c r="F39" s="57" t="s">
        <v>1253</v>
      </c>
      <c r="G39" s="58" t="s">
        <v>342</v>
      </c>
      <c r="H39" s="59">
        <f>IF(AND(H38&gt;=0,H38&lt;=50000),H38*1.1,
IF(AND(H38&gt;50000,H38&lt;=75000),H38*1.08,
IF(AND(H38&gt;75000,H38&lt;=100000),H38*1.06,
IF(H38&gt;100000,1.05*H38,""))))</f>
        <v>230142.99682280753</v>
      </c>
      <c r="J39" s="57" t="s">
        <v>1253</v>
      </c>
      <c r="K39" s="58" t="s">
        <v>342</v>
      </c>
      <c r="L39" s="59">
        <f>IF(AND(L38&gt;=0,L38&lt;=50000),L38*1.1,
IF(AND(L38&gt;50000,L38&lt;=75000),L38*1.08,
IF(AND(L38&gt;75000,L38&lt;=100000),L38*1.06,
IF(L38&gt;100000,1.05*L38,""))))</f>
        <v>471121.68805631413</v>
      </c>
      <c r="M39" s="5"/>
      <c r="N39" s="57" t="s">
        <v>1253</v>
      </c>
      <c r="O39" s="58" t="s">
        <v>342</v>
      </c>
      <c r="P39" s="59">
        <f>IF(AND(P38&gt;=0,P38&lt;=50000),P38*1.1,
IF(AND(P38&gt;50000,P38&lt;=75000),P38*1.08,
IF(AND(P38&gt;75000,P38&lt;=100000),P38*1.06,
IF(P38&gt;100000,1.05*P38,""))))</f>
        <v>28539.370599260259</v>
      </c>
    </row>
    <row r="40" spans="2:16" ht="17.25" thickBot="1" x14ac:dyDescent="0.35">
      <c r="B40" s="35" t="s">
        <v>687</v>
      </c>
      <c r="C40" s="25" t="s">
        <v>629</v>
      </c>
      <c r="D40" s="38">
        <f>D39/2.2</f>
        <v>15031.958518937075</v>
      </c>
      <c r="E40" s="10"/>
      <c r="F40" s="35" t="s">
        <v>687</v>
      </c>
      <c r="G40" s="25" t="s">
        <v>629</v>
      </c>
      <c r="H40" s="38">
        <f>H39/2.2</f>
        <v>104610.45310127614</v>
      </c>
      <c r="I40" s="10"/>
      <c r="J40" s="35" t="s">
        <v>687</v>
      </c>
      <c r="K40" s="25" t="s">
        <v>629</v>
      </c>
      <c r="L40" s="38">
        <f>L39/2.2</f>
        <v>214146.22184377915</v>
      </c>
      <c r="M40" s="5"/>
      <c r="N40" s="35" t="s">
        <v>687</v>
      </c>
      <c r="O40" s="25" t="s">
        <v>629</v>
      </c>
      <c r="P40" s="38">
        <f>P39/2.2</f>
        <v>12972.441181481934</v>
      </c>
    </row>
    <row r="43" spans="2:16" ht="17.25" thickBot="1" x14ac:dyDescent="0.35">
      <c r="B43" s="39" t="s">
        <v>1260</v>
      </c>
      <c r="C43" s="11"/>
      <c r="D43" s="12"/>
      <c r="F43" s="39" t="s">
        <v>1262</v>
      </c>
      <c r="G43" s="11"/>
      <c r="H43" s="12"/>
      <c r="J43" s="39" t="s">
        <v>1263</v>
      </c>
      <c r="K43" s="11"/>
      <c r="L43" s="12"/>
      <c r="N43" s="39" t="s">
        <v>1264</v>
      </c>
      <c r="O43" s="11"/>
      <c r="P43" s="12"/>
    </row>
    <row r="44" spans="2:16" ht="16.5" x14ac:dyDescent="0.3">
      <c r="B44" s="29" t="s">
        <v>618</v>
      </c>
      <c r="C44" s="13" t="s">
        <v>300</v>
      </c>
      <c r="D44" s="14" t="s">
        <v>676</v>
      </c>
      <c r="F44" s="29" t="s">
        <v>618</v>
      </c>
      <c r="G44" s="13" t="s">
        <v>300</v>
      </c>
      <c r="H44" s="14" t="s">
        <v>676</v>
      </c>
      <c r="J44" s="29" t="s">
        <v>618</v>
      </c>
      <c r="K44" s="13" t="s">
        <v>300</v>
      </c>
      <c r="L44" s="14" t="s">
        <v>676</v>
      </c>
      <c r="N44" s="29" t="s">
        <v>618</v>
      </c>
      <c r="O44" s="13" t="s">
        <v>300</v>
      </c>
      <c r="P44" s="14" t="s">
        <v>676</v>
      </c>
    </row>
    <row r="45" spans="2:16" ht="16.5" x14ac:dyDescent="0.3">
      <c r="B45" s="30" t="s">
        <v>616</v>
      </c>
      <c r="C45" s="15" t="s">
        <v>375</v>
      </c>
      <c r="D45" s="16">
        <v>395.32</v>
      </c>
      <c r="F45" s="30" t="s">
        <v>616</v>
      </c>
      <c r="G45" s="15" t="s">
        <v>375</v>
      </c>
      <c r="H45" s="16">
        <v>386.85</v>
      </c>
      <c r="J45" s="30" t="s">
        <v>616</v>
      </c>
      <c r="K45" s="15" t="s">
        <v>375</v>
      </c>
      <c r="L45" s="16">
        <v>386.85</v>
      </c>
      <c r="N45" s="30" t="s">
        <v>616</v>
      </c>
      <c r="O45" s="15" t="s">
        <v>375</v>
      </c>
      <c r="P45" s="16">
        <v>403.15</v>
      </c>
    </row>
    <row r="46" spans="2:16" ht="16.5" x14ac:dyDescent="0.3">
      <c r="B46" s="30" t="s">
        <v>617</v>
      </c>
      <c r="C46" s="15" t="s">
        <v>624</v>
      </c>
      <c r="D46" s="16">
        <v>212782</v>
      </c>
      <c r="F46" s="30" t="s">
        <v>617</v>
      </c>
      <c r="G46" s="15" t="s">
        <v>624</v>
      </c>
      <c r="H46" s="16">
        <v>162120</v>
      </c>
      <c r="J46" s="30" t="s">
        <v>617</v>
      </c>
      <c r="K46" s="15" t="s">
        <v>624</v>
      </c>
      <c r="L46" s="16">
        <v>162120</v>
      </c>
      <c r="N46" s="30" t="s">
        <v>617</v>
      </c>
      <c r="O46" s="15" t="s">
        <v>624</v>
      </c>
      <c r="P46" s="16">
        <v>269022</v>
      </c>
    </row>
    <row r="47" spans="2:16" ht="16.5" x14ac:dyDescent="0.3">
      <c r="B47" s="30" t="s">
        <v>619</v>
      </c>
      <c r="C47" s="15"/>
      <c r="D47" s="16" t="s">
        <v>662</v>
      </c>
      <c r="F47" s="30" t="s">
        <v>619</v>
      </c>
      <c r="G47" s="15"/>
      <c r="H47" s="16" t="s">
        <v>662</v>
      </c>
      <c r="J47" s="30" t="s">
        <v>619</v>
      </c>
      <c r="K47" s="15"/>
      <c r="L47" s="16" t="s">
        <v>662</v>
      </c>
      <c r="N47" s="30" t="s">
        <v>619</v>
      </c>
      <c r="O47" s="15"/>
      <c r="P47" s="16" t="s">
        <v>662</v>
      </c>
    </row>
    <row r="48" spans="2:16" ht="16.5" x14ac:dyDescent="0.3">
      <c r="B48" s="30" t="s">
        <v>338</v>
      </c>
      <c r="C48" s="15" t="s">
        <v>337</v>
      </c>
      <c r="D48" s="16">
        <f>'Design requirements'!D95</f>
        <v>9.7541469040455944</v>
      </c>
      <c r="F48" s="30" t="s">
        <v>338</v>
      </c>
      <c r="G48" s="15" t="s">
        <v>337</v>
      </c>
      <c r="H48" s="16">
        <f>'Design requirements'!D118</f>
        <v>12.437537130074301</v>
      </c>
      <c r="J48" s="30" t="s">
        <v>338</v>
      </c>
      <c r="K48" s="15" t="s">
        <v>337</v>
      </c>
      <c r="L48" s="16">
        <f>'Design requirements'!D119</f>
        <v>5.306671946199315</v>
      </c>
      <c r="N48" s="30" t="s">
        <v>338</v>
      </c>
      <c r="O48" s="15" t="s">
        <v>337</v>
      </c>
      <c r="P48" s="16">
        <v>48</v>
      </c>
    </row>
    <row r="49" spans="2:16" ht="16.5" x14ac:dyDescent="0.3">
      <c r="B49" s="30" t="s">
        <v>405</v>
      </c>
      <c r="C49" s="15" t="s">
        <v>337</v>
      </c>
      <c r="D49" s="16">
        <f>'Design requirements'!D94</f>
        <v>71.560415999999989</v>
      </c>
      <c r="F49" s="30" t="s">
        <v>405</v>
      </c>
      <c r="G49" s="15" t="s">
        <v>337</v>
      </c>
      <c r="H49" s="16">
        <f>'Design requirements'!D116</f>
        <v>36.136415999999997</v>
      </c>
      <c r="J49" s="30" t="s">
        <v>405</v>
      </c>
      <c r="K49" s="15" t="s">
        <v>337</v>
      </c>
      <c r="L49" s="16">
        <f>'Design requirements'!D117</f>
        <v>31.708416</v>
      </c>
      <c r="N49" s="30" t="s">
        <v>405</v>
      </c>
      <c r="O49" s="15" t="s">
        <v>337</v>
      </c>
      <c r="P49" s="16">
        <v>23</v>
      </c>
    </row>
    <row r="50" spans="2:16" ht="16.5" x14ac:dyDescent="0.3">
      <c r="B50" s="30" t="s">
        <v>621</v>
      </c>
      <c r="C50" s="15"/>
      <c r="D50" s="16" t="s">
        <v>1259</v>
      </c>
      <c r="F50" s="30" t="s">
        <v>621</v>
      </c>
      <c r="G50" s="15"/>
      <c r="H50" s="16" t="s">
        <v>1259</v>
      </c>
      <c r="J50" s="30" t="s">
        <v>621</v>
      </c>
      <c r="K50" s="15"/>
      <c r="L50" s="16" t="s">
        <v>1259</v>
      </c>
      <c r="N50" s="30" t="s">
        <v>621</v>
      </c>
      <c r="O50" s="15"/>
      <c r="P50" s="16" t="s">
        <v>404</v>
      </c>
    </row>
    <row r="51" spans="2:16" ht="16.5" x14ac:dyDescent="0.3">
      <c r="B51" s="30" t="s">
        <v>679</v>
      </c>
      <c r="C51" s="15"/>
      <c r="D51" s="16" t="s">
        <v>1251</v>
      </c>
      <c r="F51" s="30" t="s">
        <v>679</v>
      </c>
      <c r="G51" s="15"/>
      <c r="H51" s="16" t="s">
        <v>1251</v>
      </c>
      <c r="J51" s="30" t="s">
        <v>679</v>
      </c>
      <c r="K51" s="15"/>
      <c r="L51" s="16" t="s">
        <v>1251</v>
      </c>
      <c r="N51" s="30" t="s">
        <v>679</v>
      </c>
      <c r="O51" s="15"/>
      <c r="P51" s="16" t="s">
        <v>1251</v>
      </c>
    </row>
    <row r="52" spans="2:16" ht="17.25" thickBot="1" x14ac:dyDescent="0.35">
      <c r="B52" s="31" t="s">
        <v>665</v>
      </c>
      <c r="C52" s="17"/>
      <c r="D52" s="18">
        <v>0.85</v>
      </c>
      <c r="F52" s="31" t="s">
        <v>665</v>
      </c>
      <c r="G52" s="17"/>
      <c r="H52" s="18">
        <v>0.85</v>
      </c>
      <c r="J52" s="31" t="s">
        <v>665</v>
      </c>
      <c r="K52" s="17"/>
      <c r="L52" s="18">
        <v>0.85</v>
      </c>
      <c r="N52" s="31" t="s">
        <v>665</v>
      </c>
      <c r="O52" s="17"/>
      <c r="P52" s="18">
        <v>0.85</v>
      </c>
    </row>
    <row r="53" spans="2:16" ht="16.5" x14ac:dyDescent="0.3">
      <c r="B53" s="28"/>
      <c r="C53" s="11"/>
      <c r="D53" s="12"/>
      <c r="F53" s="28"/>
      <c r="G53" s="11"/>
      <c r="H53" s="12"/>
      <c r="J53" s="28"/>
      <c r="K53" s="11"/>
      <c r="L53" s="12"/>
      <c r="N53" s="28"/>
      <c r="O53" s="11"/>
      <c r="P53" s="12"/>
    </row>
    <row r="54" spans="2:16" ht="17.25" thickBot="1" x14ac:dyDescent="0.35">
      <c r="B54" s="28"/>
      <c r="C54" s="11"/>
      <c r="D54" s="12"/>
      <c r="F54" s="28"/>
      <c r="G54" s="11"/>
      <c r="H54" s="12"/>
      <c r="J54" s="28"/>
      <c r="K54" s="11"/>
      <c r="L54" s="12"/>
      <c r="N54" s="28"/>
      <c r="O54" s="11"/>
      <c r="P54" s="12"/>
    </row>
    <row r="55" spans="2:16" ht="16.5" x14ac:dyDescent="0.3">
      <c r="B55" s="29" t="s">
        <v>622</v>
      </c>
      <c r="C55" s="13" t="s">
        <v>300</v>
      </c>
      <c r="D55" s="14" t="s">
        <v>623</v>
      </c>
      <c r="F55" s="29" t="s">
        <v>622</v>
      </c>
      <c r="G55" s="13" t="s">
        <v>300</v>
      </c>
      <c r="H55" s="14" t="s">
        <v>623</v>
      </c>
      <c r="J55" s="29" t="s">
        <v>622</v>
      </c>
      <c r="K55" s="13" t="s">
        <v>300</v>
      </c>
      <c r="L55" s="14" t="s">
        <v>623</v>
      </c>
      <c r="N55" s="29" t="s">
        <v>622</v>
      </c>
      <c r="O55" s="13" t="s">
        <v>300</v>
      </c>
      <c r="P55" s="14" t="s">
        <v>623</v>
      </c>
    </row>
    <row r="56" spans="2:16" ht="16.5" x14ac:dyDescent="0.3">
      <c r="B56" s="32" t="s">
        <v>631</v>
      </c>
      <c r="C56" s="19" t="s">
        <v>630</v>
      </c>
      <c r="D56" s="20">
        <f>D46/6892.79</f>
        <v>30.870228165953119</v>
      </c>
      <c r="F56" s="32" t="s">
        <v>631</v>
      </c>
      <c r="G56" s="19" t="s">
        <v>630</v>
      </c>
      <c r="H56" s="20">
        <f>H46/6892.79</f>
        <v>23.520229108967488</v>
      </c>
      <c r="J56" s="32" t="s">
        <v>631</v>
      </c>
      <c r="K56" s="19" t="s">
        <v>630</v>
      </c>
      <c r="L56" s="20">
        <f>L46/6892.79</f>
        <v>23.520229108967488</v>
      </c>
      <c r="N56" s="32" t="s">
        <v>631</v>
      </c>
      <c r="O56" s="19" t="s">
        <v>630</v>
      </c>
      <c r="P56" s="20">
        <f>P46/6892.79</f>
        <v>39.029478629118252</v>
      </c>
    </row>
    <row r="57" spans="2:16" ht="16.5" x14ac:dyDescent="0.3">
      <c r="B57" s="32" t="s">
        <v>632</v>
      </c>
      <c r="C57" s="19" t="s">
        <v>625</v>
      </c>
      <c r="D57" s="20">
        <f>D56-14.7</f>
        <v>16.17022816595312</v>
      </c>
      <c r="F57" s="32" t="s">
        <v>632</v>
      </c>
      <c r="G57" s="19" t="s">
        <v>625</v>
      </c>
      <c r="H57" s="20">
        <f>H56-14.7</f>
        <v>8.8202291089674887</v>
      </c>
      <c r="J57" s="32" t="s">
        <v>632</v>
      </c>
      <c r="K57" s="19" t="s">
        <v>625</v>
      </c>
      <c r="L57" s="20">
        <f>L56-14.7</f>
        <v>8.8202291089674887</v>
      </c>
      <c r="N57" s="32" t="s">
        <v>632</v>
      </c>
      <c r="O57" s="19" t="s">
        <v>625</v>
      </c>
      <c r="P57" s="20">
        <f>P56-14.7</f>
        <v>24.329478629118253</v>
      </c>
    </row>
    <row r="58" spans="2:16" ht="16.5" x14ac:dyDescent="0.3">
      <c r="B58" s="40" t="s">
        <v>633</v>
      </c>
      <c r="C58" s="41" t="s">
        <v>625</v>
      </c>
      <c r="D58" s="42">
        <f>IF(AND(D57&gt;=0, D57&lt;=5), 5,
   IF(AND(D57&gt;10, D57&lt;=1000), EXP((0.6068+0.9165*LN(D57))+(0.0015655*(LN(D57))^2)),
   IF(D57&gt;1000, 1.1*D57, "")))</f>
        <v>23.800423477865913</v>
      </c>
      <c r="F58" s="40" t="s">
        <v>633</v>
      </c>
      <c r="G58" s="41" t="s">
        <v>625</v>
      </c>
      <c r="H58" s="42">
        <f>IF(AND(H57&gt;=0, H57&lt;=10), 5,
   IF(AND(H57&gt;10, H57&lt;=1000), EXP((0.6068+0.9165*LN(H57))+(0.0015655*(LN(H57))^2)),
   IF(H57&gt;1000, 1.1*H57, "")))</f>
        <v>5</v>
      </c>
      <c r="J58" s="40" t="s">
        <v>633</v>
      </c>
      <c r="K58" s="41" t="s">
        <v>625</v>
      </c>
      <c r="L58" s="42">
        <f>IF(AND(L57&gt;=0, L57&lt;=10), 5,
   IF(AND(L57&gt;10, L57&lt;=1000), EXP((0.6068+0.9165*LN(L57))+(0.0015655*(LN(L57))^2)),
   IF(L57&gt;1000, 1.1*L57, "")))</f>
        <v>5</v>
      </c>
      <c r="N58" s="40" t="s">
        <v>633</v>
      </c>
      <c r="O58" s="41" t="s">
        <v>625</v>
      </c>
      <c r="P58" s="42">
        <f>IF(AND(P57&gt;=0, P57&lt;=10), 5,
   IF(AND(P57&gt;10, P57&lt;=1000), EXP((0.6068+0.9165*LN(P57))+(0.0015655*(LN(P57))^2)),
   IF(P57&gt;1000, 1.1*P57, "")))</f>
        <v>34.741337992212941</v>
      </c>
    </row>
    <row r="59" spans="2:16" ht="16.5" x14ac:dyDescent="0.3">
      <c r="B59" s="32" t="s">
        <v>635</v>
      </c>
      <c r="C59" s="19" t="s">
        <v>626</v>
      </c>
      <c r="D59" s="20">
        <f>((D45-273.15)*(9/5))+32</f>
        <v>251.90600000000003</v>
      </c>
      <c r="F59" s="32" t="s">
        <v>635</v>
      </c>
      <c r="G59" s="19" t="s">
        <v>626</v>
      </c>
      <c r="H59" s="20">
        <f>((H45-273.15)*(9/5))+32</f>
        <v>236.66000000000008</v>
      </c>
      <c r="J59" s="32" t="s">
        <v>635</v>
      </c>
      <c r="K59" s="19" t="s">
        <v>626</v>
      </c>
      <c r="L59" s="20">
        <f>((L45-273.15)*(9/5))+32</f>
        <v>236.66000000000008</v>
      </c>
      <c r="N59" s="32" t="s">
        <v>635</v>
      </c>
      <c r="O59" s="19" t="s">
        <v>626</v>
      </c>
      <c r="P59" s="20">
        <f>((P45-273.15)*(9/5))+32</f>
        <v>266</v>
      </c>
    </row>
    <row r="60" spans="2:16" ht="16.5" x14ac:dyDescent="0.3">
      <c r="B60" s="40" t="s">
        <v>634</v>
      </c>
      <c r="C60" s="41" t="s">
        <v>626</v>
      </c>
      <c r="D60" s="42">
        <f>D59+50</f>
        <v>301.90600000000006</v>
      </c>
      <c r="F60" s="40" t="s">
        <v>634</v>
      </c>
      <c r="G60" s="41" t="s">
        <v>626</v>
      </c>
      <c r="H60" s="42">
        <f>H59+50</f>
        <v>286.66000000000008</v>
      </c>
      <c r="J60" s="40" t="s">
        <v>634</v>
      </c>
      <c r="K60" s="41" t="s">
        <v>626</v>
      </c>
      <c r="L60" s="42">
        <f>L59+50</f>
        <v>286.66000000000008</v>
      </c>
      <c r="N60" s="40" t="s">
        <v>634</v>
      </c>
      <c r="O60" s="41" t="s">
        <v>626</v>
      </c>
      <c r="P60" s="42">
        <f>P59+50</f>
        <v>316</v>
      </c>
    </row>
    <row r="61" spans="2:16" ht="16.5" x14ac:dyDescent="0.3">
      <c r="B61" s="32" t="s">
        <v>669</v>
      </c>
      <c r="C61" s="19" t="s">
        <v>337</v>
      </c>
      <c r="D61" s="20">
        <f>D48</f>
        <v>9.7541469040455944</v>
      </c>
      <c r="F61" s="32" t="s">
        <v>669</v>
      </c>
      <c r="G61" s="19" t="s">
        <v>337</v>
      </c>
      <c r="H61" s="20">
        <f>H48</f>
        <v>12.437537130074301</v>
      </c>
      <c r="J61" s="32" t="s">
        <v>669</v>
      </c>
      <c r="K61" s="19" t="s">
        <v>337</v>
      </c>
      <c r="L61" s="20">
        <f>L48</f>
        <v>5.306671946199315</v>
      </c>
      <c r="N61" s="32" t="s">
        <v>669</v>
      </c>
      <c r="O61" s="19" t="s">
        <v>337</v>
      </c>
      <c r="P61" s="20">
        <f>P48</f>
        <v>48</v>
      </c>
    </row>
    <row r="62" spans="2:16" ht="16.5" x14ac:dyDescent="0.3">
      <c r="B62" s="32" t="s">
        <v>669</v>
      </c>
      <c r="C62" s="19" t="s">
        <v>340</v>
      </c>
      <c r="D62" s="20">
        <f>D61*12</f>
        <v>117.04976284854713</v>
      </c>
      <c r="F62" s="32" t="s">
        <v>669</v>
      </c>
      <c r="G62" s="19" t="s">
        <v>340</v>
      </c>
      <c r="H62" s="20">
        <f>H61*12</f>
        <v>149.25044556089159</v>
      </c>
      <c r="J62" s="32" t="s">
        <v>669</v>
      </c>
      <c r="K62" s="19" t="s">
        <v>340</v>
      </c>
      <c r="L62" s="20">
        <f>L61*12</f>
        <v>63.680063354391777</v>
      </c>
      <c r="N62" s="32" t="s">
        <v>669</v>
      </c>
      <c r="O62" s="19" t="s">
        <v>340</v>
      </c>
      <c r="P62" s="20">
        <f>P61*12</f>
        <v>576</v>
      </c>
    </row>
    <row r="63" spans="2:16" ht="16.5" x14ac:dyDescent="0.3">
      <c r="B63" s="40" t="s">
        <v>1261</v>
      </c>
      <c r="C63" s="41" t="s">
        <v>639</v>
      </c>
      <c r="D63" s="42">
        <f>D61*0.3048</f>
        <v>2.9730639763530973</v>
      </c>
      <c r="F63" s="40" t="s">
        <v>1261</v>
      </c>
      <c r="G63" s="41" t="s">
        <v>639</v>
      </c>
      <c r="H63" s="42">
        <f>H61*0.3048</f>
        <v>3.790961317246647</v>
      </c>
      <c r="J63" s="40" t="s">
        <v>1261</v>
      </c>
      <c r="K63" s="41" t="s">
        <v>639</v>
      </c>
      <c r="L63" s="42">
        <f>L61*0.3048</f>
        <v>1.6174736092015514</v>
      </c>
      <c r="N63" s="40" t="s">
        <v>1261</v>
      </c>
      <c r="O63" s="41" t="s">
        <v>639</v>
      </c>
      <c r="P63" s="42">
        <f>P61*0.3048</f>
        <v>14.630400000000002</v>
      </c>
    </row>
    <row r="64" spans="2:16" ht="16.5" x14ac:dyDescent="0.3">
      <c r="B64" s="60" t="s">
        <v>681</v>
      </c>
      <c r="C64" s="61" t="s">
        <v>337</v>
      </c>
      <c r="D64" s="62">
        <f>D49</f>
        <v>71.560415999999989</v>
      </c>
      <c r="F64" s="60" t="s">
        <v>681</v>
      </c>
      <c r="G64" s="61" t="s">
        <v>337</v>
      </c>
      <c r="H64" s="62">
        <f>H49</f>
        <v>36.136415999999997</v>
      </c>
      <c r="J64" s="60" t="s">
        <v>681</v>
      </c>
      <c r="K64" s="61" t="s">
        <v>337</v>
      </c>
      <c r="L64" s="62">
        <f>L49</f>
        <v>31.708416</v>
      </c>
      <c r="N64" s="60" t="s">
        <v>681</v>
      </c>
      <c r="O64" s="61" t="s">
        <v>337</v>
      </c>
      <c r="P64" s="62">
        <f>P49</f>
        <v>23</v>
      </c>
    </row>
    <row r="65" spans="2:16" ht="16.5" x14ac:dyDescent="0.3">
      <c r="B65" s="40" t="s">
        <v>681</v>
      </c>
      <c r="C65" s="41" t="s">
        <v>639</v>
      </c>
      <c r="D65" s="42">
        <f>D64*0.3048</f>
        <v>21.811614796799997</v>
      </c>
      <c r="F65" s="40" t="s">
        <v>681</v>
      </c>
      <c r="G65" s="41" t="s">
        <v>639</v>
      </c>
      <c r="H65" s="42">
        <f>H64*0.3048</f>
        <v>11.0143795968</v>
      </c>
      <c r="J65" s="40" t="s">
        <v>681</v>
      </c>
      <c r="K65" s="41" t="s">
        <v>639</v>
      </c>
      <c r="L65" s="42">
        <f>L64*0.3048</f>
        <v>9.664725196800001</v>
      </c>
      <c r="N65" s="40" t="s">
        <v>681</v>
      </c>
      <c r="O65" s="41" t="s">
        <v>639</v>
      </c>
      <c r="P65" s="42">
        <f>P64*0.3048</f>
        <v>7.0104000000000006</v>
      </c>
    </row>
    <row r="66" spans="2:16" ht="16.5" x14ac:dyDescent="0.3">
      <c r="B66" s="60" t="s">
        <v>681</v>
      </c>
      <c r="C66" s="61" t="s">
        <v>340</v>
      </c>
      <c r="D66" s="62">
        <f>D64*12</f>
        <v>858.72499199999993</v>
      </c>
      <c r="F66" s="60" t="s">
        <v>681</v>
      </c>
      <c r="G66" s="61" t="s">
        <v>340</v>
      </c>
      <c r="H66" s="62">
        <f>H64*12</f>
        <v>433.63699199999996</v>
      </c>
      <c r="J66" s="60" t="s">
        <v>681</v>
      </c>
      <c r="K66" s="61" t="s">
        <v>340</v>
      </c>
      <c r="L66" s="62">
        <f>L64*12</f>
        <v>380.500992</v>
      </c>
      <c r="N66" s="60" t="s">
        <v>681</v>
      </c>
      <c r="O66" s="61" t="s">
        <v>340</v>
      </c>
      <c r="P66" s="62">
        <f>P64*12</f>
        <v>276</v>
      </c>
    </row>
    <row r="67" spans="2:16" ht="16.5" x14ac:dyDescent="0.3">
      <c r="B67" s="32" t="s">
        <v>664</v>
      </c>
      <c r="C67" s="19" t="s">
        <v>666</v>
      </c>
      <c r="D67" s="20">
        <f>IF($D$47="","",
 IF($D$60&gt;INDEX(Data!$G:$G, MATCH($D$47, Data!$B:$B, 0)),"Over max temp",
  INDEX(Data!$H:$L,
        MATCH($D$47, Data!$B:$B, 0),
        MATCH(MAX(100,MIN($D$60, INDEX(Data!$G:$G, MATCH($D$47, Data!$B:$B, 0)))),{100,300,500,700,900},1)
  )
 ))</f>
        <v>15.6</v>
      </c>
      <c r="F67" s="32" t="s">
        <v>664</v>
      </c>
      <c r="G67" s="19" t="s">
        <v>666</v>
      </c>
      <c r="H67" s="20">
        <f>IF($H$47="","",
 IF($H$60&gt;INDEX(Data!$G:$G, MATCH($H$47, Data!$B:$B, 0)),"Over max temp",
  INDEX(Data!$H:$L,
        MATCH($H$47, Data!$B:$B, 0),
        MATCH(MAX(100,MIN($H$60, INDEX(Data!$G:$G, MATCH($H$47, Data!$B:$B, 0)))),{100,300,500,700,900},1)
  )
 ))</f>
        <v>20</v>
      </c>
      <c r="J67" s="32" t="s">
        <v>664</v>
      </c>
      <c r="K67" s="19" t="s">
        <v>666</v>
      </c>
      <c r="L67" s="20">
        <f>IF($L$47="","",
 IF($L$60&gt;INDEX(Data!$G:$G, MATCH($L$47, Data!$B:$B, 0)),"Over max temp",
  INDEX(Data!$H:$L,
        MATCH($L$47, Data!$B:$B, 0),
        MATCH(MAX(100,MIN($L$60, INDEX(Data!$G:$G, MATCH($L$47, Data!$B:$B, 0)))),{100,300,500,700,900},1)
  )
 ))</f>
        <v>20</v>
      </c>
      <c r="N67" s="32" t="s">
        <v>664</v>
      </c>
      <c r="O67" s="19" t="s">
        <v>666</v>
      </c>
      <c r="P67" s="20">
        <f>IF($P$47="","",
 IF($P$60&gt;INDEX(Data!$G:$G, MATCH($P$47, Data!$B:$B, 0)),"Over max temp",
  INDEX(Data!$H:$L,
        MATCH($P$47, Data!$B:$B, 0),
        MATCH(MAX(100,MIN($P$60, INDEX(Data!$G:$G, MATCH($P$47, Data!$B:$B, 0)))),{100,300,500,700,900},1)
  )
 ))</f>
        <v>15.6</v>
      </c>
    </row>
    <row r="68" spans="2:16" ht="16.5" x14ac:dyDescent="0.3">
      <c r="B68" s="40" t="s">
        <v>664</v>
      </c>
      <c r="C68" s="41" t="s">
        <v>378</v>
      </c>
      <c r="D68" s="43">
        <f>D67*1000</f>
        <v>15600</v>
      </c>
      <c r="F68" s="40" t="s">
        <v>664</v>
      </c>
      <c r="G68" s="41" t="s">
        <v>378</v>
      </c>
      <c r="H68" s="43">
        <f>H67*1000</f>
        <v>20000</v>
      </c>
      <c r="J68" s="40" t="s">
        <v>664</v>
      </c>
      <c r="K68" s="41" t="s">
        <v>378</v>
      </c>
      <c r="L68" s="43">
        <f>L67*1000</f>
        <v>20000</v>
      </c>
      <c r="N68" s="40" t="s">
        <v>664</v>
      </c>
      <c r="O68" s="41" t="s">
        <v>378</v>
      </c>
      <c r="P68" s="43">
        <f>P67*1000</f>
        <v>15600</v>
      </c>
    </row>
    <row r="69" spans="2:16" ht="16.5" x14ac:dyDescent="0.3">
      <c r="B69" s="32" t="s">
        <v>670</v>
      </c>
      <c r="C69" s="19" t="s">
        <v>340</v>
      </c>
      <c r="D69" s="20">
        <f>(D58*D62)/((2*D68*D52)-(1.2*D58))</f>
        <v>0.10515977905386061</v>
      </c>
      <c r="F69" s="32" t="s">
        <v>670</v>
      </c>
      <c r="G69" s="19" t="s">
        <v>340</v>
      </c>
      <c r="H69" s="20">
        <f>(H58*H62)/((2*H68*H52)-(1.2*H58))</f>
        <v>2.1952468900525327E-2</v>
      </c>
      <c r="J69" s="32" t="s">
        <v>670</v>
      </c>
      <c r="K69" s="19" t="s">
        <v>340</v>
      </c>
      <c r="L69" s="20">
        <f>(L58*L62)/((2*L68*L52)-(1.2*L58))</f>
        <v>9.3663680876613191E-3</v>
      </c>
      <c r="N69" s="32" t="s">
        <v>670</v>
      </c>
      <c r="O69" s="19" t="s">
        <v>340</v>
      </c>
      <c r="P69" s="20">
        <f>(P58*P62)/((2*P68*P52)-(1.2*P58))</f>
        <v>0.7557510424736088</v>
      </c>
    </row>
    <row r="70" spans="2:16" ht="16.5" x14ac:dyDescent="0.3">
      <c r="B70" s="32" t="s">
        <v>671</v>
      </c>
      <c r="C70" s="19"/>
      <c r="D70" s="20">
        <f>IF(D69&gt;=0.25,
     D69,
     LOOKUP(D61,{0,4,6,8,10},{0.25,0.3125,0.375,0.4375,0.5})
)</f>
        <v>0.4375</v>
      </c>
      <c r="F70" s="32" t="s">
        <v>671</v>
      </c>
      <c r="G70" s="19"/>
      <c r="H70" s="20">
        <f>IF(H69&gt;=0.25,
     H69,
     LOOKUP(H61,{0,4,6,8,10},{0.25,0.3125,0.375,0.4375,0.5})
)</f>
        <v>0.5</v>
      </c>
      <c r="J70" s="32" t="s">
        <v>671</v>
      </c>
      <c r="K70" s="19"/>
      <c r="L70" s="20">
        <f>IF(L69&gt;=0.25,
     L69,
     LOOKUP(L61,{0,4,6,8,10},{0.25,0.3125,0.375,0.4375,0.5})
)</f>
        <v>0.3125</v>
      </c>
      <c r="N70" s="32" t="s">
        <v>671</v>
      </c>
      <c r="O70" s="19"/>
      <c r="P70" s="20">
        <f>IF(P69&gt;=0.25,
     P69,
     LOOKUP(P61,{0,4,6,8,10},{0.25,0.3125,0.375,0.4375,0.5})
)</f>
        <v>0.7557510424736088</v>
      </c>
    </row>
    <row r="71" spans="2:16" ht="16.5" x14ac:dyDescent="0.3">
      <c r="B71" s="32" t="s">
        <v>672</v>
      </c>
      <c r="C71" s="19"/>
      <c r="D71" s="20">
        <f>(0.22*(D62+18)*(D66^2))/(D68*(D62^2))</f>
        <v>0.10250830144687939</v>
      </c>
      <c r="F71" s="32" t="s">
        <v>672</v>
      </c>
      <c r="G71" s="19"/>
      <c r="H71" s="20">
        <f>(0.22*(H62+18)*(H66^2))/(H68*(H62^2))</f>
        <v>1.5530353541042742E-2</v>
      </c>
      <c r="J71" s="32" t="s">
        <v>672</v>
      </c>
      <c r="K71" s="19"/>
      <c r="L71" s="20">
        <f>(0.22*(L62+18)*(L66^2))/(L68*(L62^2))</f>
        <v>3.2078449170279216E-2</v>
      </c>
      <c r="N71" s="32" t="s">
        <v>672</v>
      </c>
      <c r="O71" s="19"/>
      <c r="P71" s="20">
        <f>(0.22*(P62+18)*(P66^2))/(P68*(P62^2))</f>
        <v>1.9233473557692306E-3</v>
      </c>
    </row>
    <row r="72" spans="2:16" ht="16.5" x14ac:dyDescent="0.3">
      <c r="B72" s="32" t="s">
        <v>668</v>
      </c>
      <c r="C72" s="19" t="s">
        <v>340</v>
      </c>
      <c r="D72" s="20">
        <f>IF(D50="Vertical",
     (D70+D70+D71)/2,
     D70
)</f>
        <v>0.4887541507234397</v>
      </c>
      <c r="F72" s="32" t="s">
        <v>668</v>
      </c>
      <c r="G72" s="19" t="s">
        <v>340</v>
      </c>
      <c r="H72" s="20">
        <f>IF(H50="Vertical",
     (H70+H70+H71)/2,
     H70
)</f>
        <v>0.50776517677052135</v>
      </c>
      <c r="J72" s="32" t="s">
        <v>668</v>
      </c>
      <c r="K72" s="19" t="s">
        <v>340</v>
      </c>
      <c r="L72" s="20">
        <f>IF(L50="Vertical",
     (L70+L70+L71)/2,
     L70
)</f>
        <v>0.32853922458513962</v>
      </c>
      <c r="N72" s="32" t="s">
        <v>668</v>
      </c>
      <c r="O72" s="19" t="s">
        <v>340</v>
      </c>
      <c r="P72" s="20">
        <f>IF(P50="Vertical",
     (P70+P70+P71)/2,
     P70
)</f>
        <v>0.7557510424736088</v>
      </c>
    </row>
    <row r="73" spans="2:16" ht="16.5" x14ac:dyDescent="0.3">
      <c r="B73" s="32" t="s">
        <v>677</v>
      </c>
      <c r="C73" s="19" t="s">
        <v>680</v>
      </c>
      <c r="D73" s="20">
        <f>IF(AND(D47="CS",D51="N"),2,IF(AND(D47="CS",D51="Y"),4,3.175))</f>
        <v>3.1749999999999998</v>
      </c>
      <c r="F73" s="32" t="s">
        <v>677</v>
      </c>
      <c r="G73" s="19" t="s">
        <v>680</v>
      </c>
      <c r="H73" s="20">
        <f>IF(AND(H47="CS",H51="N"),2,IF(AND(H47="CS",H51="Y"),4,3.175))</f>
        <v>3.1749999999999998</v>
      </c>
      <c r="J73" s="32" t="s">
        <v>677</v>
      </c>
      <c r="K73" s="19" t="s">
        <v>680</v>
      </c>
      <c r="L73" s="20">
        <f>IF(AND(L47="CS",L51="N"),2,IF(AND(L47="CS",L51="Y"),4,3.175))</f>
        <v>3.1749999999999998</v>
      </c>
      <c r="N73" s="32" t="s">
        <v>677</v>
      </c>
      <c r="O73" s="19" t="s">
        <v>680</v>
      </c>
      <c r="P73" s="20">
        <f>IF(AND(P47="CS",P51="N"),2,IF(AND(P47="CS",P51="Y"),4,3.175))</f>
        <v>3.1749999999999998</v>
      </c>
    </row>
    <row r="74" spans="2:16" ht="16.5" x14ac:dyDescent="0.3">
      <c r="B74" s="32" t="s">
        <v>677</v>
      </c>
      <c r="C74" s="19" t="s">
        <v>340</v>
      </c>
      <c r="D74" s="20">
        <f>(D73/1000/0.3048)*12</f>
        <v>0.125</v>
      </c>
      <c r="F74" s="32" t="s">
        <v>677</v>
      </c>
      <c r="G74" s="19" t="s">
        <v>340</v>
      </c>
      <c r="H74" s="20">
        <f>(H73/1000/0.3048)*12</f>
        <v>0.125</v>
      </c>
      <c r="J74" s="32" t="s">
        <v>677</v>
      </c>
      <c r="K74" s="19" t="s">
        <v>340</v>
      </c>
      <c r="L74" s="20">
        <f>(L73/1000/0.3048)*12</f>
        <v>0.125</v>
      </c>
      <c r="N74" s="32" t="s">
        <v>677</v>
      </c>
      <c r="O74" s="19" t="s">
        <v>340</v>
      </c>
      <c r="P74" s="20">
        <f>(P73/1000/0.3048)*12</f>
        <v>0.125</v>
      </c>
    </row>
    <row r="75" spans="2:16" ht="16.5" x14ac:dyDescent="0.3">
      <c r="B75" s="32" t="s">
        <v>668</v>
      </c>
      <c r="C75" s="19" t="s">
        <v>340</v>
      </c>
      <c r="D75" s="20">
        <f>D72+D74</f>
        <v>0.61375415072343964</v>
      </c>
      <c r="F75" s="32" t="s">
        <v>668</v>
      </c>
      <c r="G75" s="19" t="s">
        <v>340</v>
      </c>
      <c r="H75" s="20">
        <f>H72+H74</f>
        <v>0.63276517677052135</v>
      </c>
      <c r="J75" s="32" t="s">
        <v>668</v>
      </c>
      <c r="K75" s="19" t="s">
        <v>340</v>
      </c>
      <c r="L75" s="20">
        <f>L72+L74</f>
        <v>0.45353922458513962</v>
      </c>
      <c r="N75" s="32" t="s">
        <v>668</v>
      </c>
      <c r="O75" s="19" t="s">
        <v>340</v>
      </c>
      <c r="P75" s="20">
        <f>P72+P74</f>
        <v>0.8807510424736088</v>
      </c>
    </row>
    <row r="76" spans="2:16" ht="16.5" x14ac:dyDescent="0.3">
      <c r="B76" s="33" t="s">
        <v>684</v>
      </c>
      <c r="C76" s="21" t="s">
        <v>340</v>
      </c>
      <c r="D76" s="22">
        <f>CEILING(
  D75,
  IF(AND(D75&gt;=3/16, D75&lt;=1/2), 1/16,
     IF(AND(D75&gt;=1/2, D75&lt;=2),   1/8,
        IF(AND(D75&gt;2, D75&lt;=3), 1/4,
           1/4 )))
)</f>
        <v>0.625</v>
      </c>
      <c r="F76" s="33" t="s">
        <v>684</v>
      </c>
      <c r="G76" s="21" t="s">
        <v>340</v>
      </c>
      <c r="H76" s="22">
        <f>CEILING(
  H75,
  IF(AND(H75&gt;=3/16, H75&lt;=1/2), 1/16,
     IF(AND(H75&gt;=1/2, H75&lt;=2),   1/8,
        IF(AND(H75&gt;2, H75&lt;=3), 1/4,
           1/4 )))
)</f>
        <v>0.75</v>
      </c>
      <c r="J76" s="33" t="s">
        <v>684</v>
      </c>
      <c r="K76" s="21" t="s">
        <v>340</v>
      </c>
      <c r="L76" s="22">
        <f>CEILING(
  L75,
  IF(AND(L75&gt;=3/16, L75&lt;=1/2), 1/16,
     IF(AND(L75&gt;=1/2, L75&lt;=2),   1/8,
        IF(AND(L75&gt;2, L75&lt;=3), 1/4,
           1/4 )))
)</f>
        <v>0.5</v>
      </c>
      <c r="N76" s="33" t="s">
        <v>684</v>
      </c>
      <c r="O76" s="21" t="s">
        <v>340</v>
      </c>
      <c r="P76" s="22">
        <f>CEILING(
  P75,
  IF(AND(P75&gt;=3/16, P75&lt;=1/2), 1/16,
     IF(AND(P75&gt;=1/2, P75&lt;=2),   1/8,
        IF(AND(P75&gt;2, P75&lt;=3), 1/4,
           1/4 )))
)</f>
        <v>1</v>
      </c>
    </row>
    <row r="77" spans="2:16" ht="16.5" x14ac:dyDescent="0.3">
      <c r="B77" s="34" t="s">
        <v>627</v>
      </c>
      <c r="C77" s="23" t="s">
        <v>628</v>
      </c>
      <c r="D77" s="24">
        <f>IF($L$7="","", INDEX(Data!$F:$F, MATCH($L$7, Data!$B:$B, 0)))</f>
        <v>0.28599999999999998</v>
      </c>
      <c r="F77" s="34" t="s">
        <v>627</v>
      </c>
      <c r="G77" s="23" t="s">
        <v>628</v>
      </c>
      <c r="H77" s="24">
        <f>IF($L$7="","", INDEX(Data!$F:$F, MATCH($L$7, Data!$B:$B, 0)))</f>
        <v>0.28599999999999998</v>
      </c>
      <c r="J77" s="34" t="s">
        <v>627</v>
      </c>
      <c r="K77" s="23" t="s">
        <v>628</v>
      </c>
      <c r="L77" s="24">
        <f>IF($L$7="","", INDEX(Data!$F:$F, MATCH($L$7, Data!$B:$B, 0)))</f>
        <v>0.28599999999999998</v>
      </c>
      <c r="N77" s="34" t="s">
        <v>627</v>
      </c>
      <c r="O77" s="23" t="s">
        <v>628</v>
      </c>
      <c r="P77" s="24">
        <f>IF($L$7="","", INDEX(Data!$F:$F, MATCH($L$7, Data!$B:$B, 0)))</f>
        <v>0.28599999999999998</v>
      </c>
    </row>
    <row r="78" spans="2:16" ht="16.5" x14ac:dyDescent="0.3">
      <c r="B78" s="32" t="s">
        <v>627</v>
      </c>
      <c r="C78" s="19" t="s">
        <v>682</v>
      </c>
      <c r="D78" s="20">
        <f>D77*12^3</f>
        <v>494.20799999999997</v>
      </c>
      <c r="F78" s="32" t="s">
        <v>627</v>
      </c>
      <c r="G78" s="19" t="s">
        <v>682</v>
      </c>
      <c r="H78" s="20">
        <f>H77*12^3</f>
        <v>494.20799999999997</v>
      </c>
      <c r="J78" s="32" t="s">
        <v>627</v>
      </c>
      <c r="K78" s="19" t="s">
        <v>682</v>
      </c>
      <c r="L78" s="20">
        <f>L77*12^3</f>
        <v>494.20799999999997</v>
      </c>
      <c r="N78" s="32" t="s">
        <v>627</v>
      </c>
      <c r="O78" s="19" t="s">
        <v>682</v>
      </c>
      <c r="P78" s="20">
        <f>P77*12^3</f>
        <v>494.20799999999997</v>
      </c>
    </row>
    <row r="79" spans="2:16" ht="16.5" x14ac:dyDescent="0.3">
      <c r="B79" s="32" t="s">
        <v>341</v>
      </c>
      <c r="C79" s="19" t="s">
        <v>342</v>
      </c>
      <c r="D79" s="20">
        <f>PI()*(D62+D76)*(D66+0.8*D62)*(D76*D77)</f>
        <v>62933.602276620404</v>
      </c>
      <c r="F79" s="32" t="s">
        <v>341</v>
      </c>
      <c r="G79" s="19" t="s">
        <v>342</v>
      </c>
      <c r="H79" s="20">
        <f>PI()*(H62+H76)*(H66+0.8*H62)*(H76*H77)</f>
        <v>55901.592485874819</v>
      </c>
      <c r="J79" s="32" t="s">
        <v>341</v>
      </c>
      <c r="K79" s="19" t="s">
        <v>342</v>
      </c>
      <c r="L79" s="20">
        <f>PI()*(L62+L76)*(L66+0.8*L62)*(L76*L77)</f>
        <v>12439.74663264166</v>
      </c>
      <c r="N79" s="32" t="s">
        <v>341</v>
      </c>
      <c r="O79" s="19" t="s">
        <v>342</v>
      </c>
      <c r="P79" s="20">
        <f>PI()*(P62+P76)*(P66+0.8*P62)*(P76*P77)</f>
        <v>381980.62604249595</v>
      </c>
    </row>
    <row r="80" spans="2:16" ht="16.5" x14ac:dyDescent="0.3">
      <c r="B80" s="60" t="s">
        <v>1252</v>
      </c>
      <c r="C80" s="61" t="s">
        <v>342</v>
      </c>
      <c r="D80" s="62">
        <f>IF(AND(D79&gt;=0,D79&lt;=50000),D79*1.1,
IF(AND(D79&gt;50000,D79&lt;=75000),D79*1.08,
IF(AND(D79&gt;75000,D79&lt;=100000),D79*1.06,
IF(D79&gt;100000,1.05*D79,""))))</f>
        <v>67968.290458750038</v>
      </c>
      <c r="F80" s="60" t="s">
        <v>1252</v>
      </c>
      <c r="G80" s="61" t="s">
        <v>342</v>
      </c>
      <c r="H80" s="62">
        <f>IF(AND(H79&gt;=0,H79&lt;=50000),H79*1.1,
IF(AND(H79&gt;50000,H79&lt;=75000),H79*1.08,
IF(AND(H79&gt;75000,H79&lt;=100000),H79*1.06,
IF(H79&gt;100000,1.05*H79,""))))</f>
        <v>60373.719884744809</v>
      </c>
      <c r="J80" s="60" t="s">
        <v>1252</v>
      </c>
      <c r="K80" s="61" t="s">
        <v>342</v>
      </c>
      <c r="L80" s="62">
        <f>IF(AND(L79&gt;=0,L79&lt;=50000),L79*1.1,
IF(AND(L79&gt;50000,L79&lt;=75000),L79*1.08,
IF(AND(L79&gt;75000,L79&lt;=100000),L79*1.06,
IF(L79&gt;100000,1.05*L79,""))))</f>
        <v>13683.721295905827</v>
      </c>
      <c r="N80" s="60" t="s">
        <v>1252</v>
      </c>
      <c r="O80" s="61" t="s">
        <v>342</v>
      </c>
      <c r="P80" s="62">
        <f>IF(AND(P79&gt;=0,P79&lt;=50000),P79*1.1,
IF(AND(P79&gt;50000,P79&lt;=75000),P79*1.08,
IF(AND(P79&gt;75000,P79&lt;=100000),P79*1.06,
IF(P79&gt;100000,1.05*P79,""))))</f>
        <v>401079.65734462073</v>
      </c>
    </row>
    <row r="81" spans="2:16" ht="17.25" thickBot="1" x14ac:dyDescent="0.35">
      <c r="B81" s="35" t="s">
        <v>687</v>
      </c>
      <c r="C81" s="25" t="s">
        <v>629</v>
      </c>
      <c r="D81" s="38">
        <f>D79/2.2</f>
        <v>28606.182853009272</v>
      </c>
      <c r="F81" s="35" t="s">
        <v>687</v>
      </c>
      <c r="G81" s="25" t="s">
        <v>629</v>
      </c>
      <c r="H81" s="38">
        <f>H79/2.2</f>
        <v>25409.814766306732</v>
      </c>
      <c r="J81" s="35" t="s">
        <v>687</v>
      </c>
      <c r="K81" s="25" t="s">
        <v>629</v>
      </c>
      <c r="L81" s="38">
        <f>L79/2.2</f>
        <v>5654.4302875643907</v>
      </c>
      <c r="N81" s="35" t="s">
        <v>687</v>
      </c>
      <c r="O81" s="25" t="s">
        <v>629</v>
      </c>
      <c r="P81" s="38">
        <f>P79/2.2</f>
        <v>173627.55729204361</v>
      </c>
    </row>
    <row r="85" spans="2:16" ht="16.5" x14ac:dyDescent="0.3">
      <c r="B85" s="100" t="s">
        <v>1324</v>
      </c>
      <c r="C85" s="101">
        <f>D39+H39+L39+P39+D80+H80+L80+P80</f>
        <v>1305979.7532040649</v>
      </c>
      <c r="D85" s="95" t="s">
        <v>1323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09A454-6101-418D-A963-8C5B15E387BC}">
          <x14:formula1>
            <xm:f>Data!$B$4:$B$11</xm:f>
          </x14:formula1>
          <xm:sqref>D7 L7 P7 H7 D47 H47 L47 P47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9900-B96C-44D4-89F9-A857D404F90A}">
  <dimension ref="B2:N134"/>
  <sheetViews>
    <sheetView topLeftCell="A116" zoomScale="115" zoomScaleNormal="115" workbookViewId="0">
      <selection activeCell="B136" sqref="B136"/>
    </sheetView>
  </sheetViews>
  <sheetFormatPr defaultRowHeight="15" x14ac:dyDescent="0.25"/>
  <cols>
    <col min="2" max="2" width="32.28515625" bestFit="1" customWidth="1"/>
    <col min="3" max="3" width="12.140625" bestFit="1" customWidth="1"/>
    <col min="4" max="4" width="15.5703125" bestFit="1" customWidth="1"/>
    <col min="7" max="7" width="40.5703125" bestFit="1" customWidth="1"/>
    <col min="8" max="8" width="7.140625" bestFit="1" customWidth="1"/>
    <col min="9" max="9" width="16.85546875" bestFit="1" customWidth="1"/>
    <col min="12" max="12" width="37.7109375" customWidth="1"/>
    <col min="13" max="13" width="7.28515625" bestFit="1" customWidth="1"/>
    <col min="14" max="14" width="13.140625" customWidth="1"/>
  </cols>
  <sheetData>
    <row r="2" spans="2:14" ht="18.75" thickBot="1" x14ac:dyDescent="0.4">
      <c r="B2" s="73" t="s">
        <v>1303</v>
      </c>
      <c r="G2" s="74" t="s">
        <v>1310</v>
      </c>
      <c r="H2" s="11"/>
      <c r="I2" s="12"/>
      <c r="L2" s="73" t="s">
        <v>1304</v>
      </c>
    </row>
    <row r="3" spans="2:14" ht="16.5" x14ac:dyDescent="0.3">
      <c r="B3" s="63" t="s">
        <v>618</v>
      </c>
      <c r="C3" s="64" t="s">
        <v>300</v>
      </c>
      <c r="D3" s="65" t="s">
        <v>676</v>
      </c>
      <c r="G3" s="29" t="s">
        <v>618</v>
      </c>
      <c r="H3" s="13" t="s">
        <v>300</v>
      </c>
      <c r="I3" s="14" t="s">
        <v>676</v>
      </c>
      <c r="L3" s="63" t="s">
        <v>618</v>
      </c>
      <c r="M3" s="64" t="s">
        <v>300</v>
      </c>
      <c r="N3" s="65" t="s">
        <v>676</v>
      </c>
    </row>
    <row r="4" spans="2:14" ht="16.5" x14ac:dyDescent="0.3">
      <c r="B4" s="47" t="s">
        <v>636</v>
      </c>
      <c r="C4" s="15" t="s">
        <v>1265</v>
      </c>
      <c r="D4" s="71"/>
      <c r="G4" s="30" t="s">
        <v>616</v>
      </c>
      <c r="H4" s="15" t="s">
        <v>375</v>
      </c>
      <c r="I4" s="16">
        <v>298.14999999999998</v>
      </c>
      <c r="L4" s="47" t="s">
        <v>636</v>
      </c>
      <c r="M4" s="15" t="s">
        <v>1265</v>
      </c>
      <c r="N4" s="71">
        <v>70000</v>
      </c>
    </row>
    <row r="5" spans="2:14" ht="16.5" x14ac:dyDescent="0.3">
      <c r="B5" s="47" t="s">
        <v>405</v>
      </c>
      <c r="C5" s="15" t="s">
        <v>337</v>
      </c>
      <c r="D5" s="71">
        <v>12</v>
      </c>
      <c r="G5" s="30" t="s">
        <v>617</v>
      </c>
      <c r="H5" s="15" t="s">
        <v>624</v>
      </c>
      <c r="I5" s="16">
        <v>1215900</v>
      </c>
      <c r="L5" s="47" t="s">
        <v>405</v>
      </c>
      <c r="M5" s="15" t="s">
        <v>337</v>
      </c>
      <c r="N5" s="71"/>
    </row>
    <row r="6" spans="2:14" ht="18" x14ac:dyDescent="0.3">
      <c r="B6" s="47" t="s">
        <v>338</v>
      </c>
      <c r="C6" s="15" t="s">
        <v>337</v>
      </c>
      <c r="D6" s="71">
        <v>15</v>
      </c>
      <c r="G6" s="30" t="s">
        <v>636</v>
      </c>
      <c r="H6" s="15" t="s">
        <v>683</v>
      </c>
      <c r="I6" s="16">
        <f>28000/264.172</f>
        <v>105.99155095922353</v>
      </c>
      <c r="L6" s="47" t="s">
        <v>338</v>
      </c>
      <c r="M6" s="15" t="s">
        <v>337</v>
      </c>
      <c r="N6" s="71"/>
    </row>
    <row r="7" spans="2:14" ht="16.5" x14ac:dyDescent="0.3">
      <c r="B7" s="47" t="s">
        <v>619</v>
      </c>
      <c r="C7" s="15"/>
      <c r="D7" s="71" t="s">
        <v>1280</v>
      </c>
      <c r="G7" s="30" t="s">
        <v>619</v>
      </c>
      <c r="H7" s="15"/>
      <c r="I7" s="16" t="s">
        <v>650</v>
      </c>
      <c r="L7" s="47" t="s">
        <v>619</v>
      </c>
      <c r="M7" s="15"/>
      <c r="N7" s="71" t="s">
        <v>1280</v>
      </c>
    </row>
    <row r="8" spans="2:14" ht="16.5" x14ac:dyDescent="0.3">
      <c r="B8" s="47" t="s">
        <v>1266</v>
      </c>
      <c r="C8" s="15"/>
      <c r="D8" s="71">
        <v>1.83</v>
      </c>
      <c r="G8" s="30" t="s">
        <v>621</v>
      </c>
      <c r="H8" s="15"/>
      <c r="I8" s="16" t="s">
        <v>1259</v>
      </c>
      <c r="L8" s="47" t="s">
        <v>1266</v>
      </c>
      <c r="M8" s="15"/>
      <c r="N8" s="71">
        <v>1.25</v>
      </c>
    </row>
    <row r="9" spans="2:14" ht="16.5" x14ac:dyDescent="0.3">
      <c r="B9" s="47" t="s">
        <v>1268</v>
      </c>
      <c r="C9" s="15"/>
      <c r="D9" s="71" t="s">
        <v>1251</v>
      </c>
      <c r="G9" s="30" t="s">
        <v>679</v>
      </c>
      <c r="H9" s="15"/>
      <c r="I9" s="16" t="s">
        <v>678</v>
      </c>
      <c r="L9" s="47" t="s">
        <v>1268</v>
      </c>
      <c r="M9" s="15"/>
      <c r="N9" s="71" t="s">
        <v>678</v>
      </c>
    </row>
    <row r="10" spans="2:14" ht="17.25" thickBot="1" x14ac:dyDescent="0.35">
      <c r="B10" s="53" t="s">
        <v>1270</v>
      </c>
      <c r="C10" s="17"/>
      <c r="D10" s="72">
        <v>0.85</v>
      </c>
      <c r="G10" s="31" t="s">
        <v>665</v>
      </c>
      <c r="H10" s="17"/>
      <c r="I10" s="18">
        <v>0.85</v>
      </c>
      <c r="L10" s="53" t="s">
        <v>1270</v>
      </c>
      <c r="M10" s="17"/>
      <c r="N10" s="72">
        <v>0.85</v>
      </c>
    </row>
    <row r="11" spans="2:14" ht="16.5" x14ac:dyDescent="0.3">
      <c r="B11" s="5"/>
      <c r="C11" s="5"/>
      <c r="D11" s="5"/>
      <c r="G11" s="28"/>
      <c r="H11" s="11"/>
      <c r="I11" s="12"/>
      <c r="L11" s="5"/>
      <c r="M11" s="5"/>
      <c r="N11" s="5"/>
    </row>
    <row r="12" spans="2:14" ht="17.25" thickBot="1" x14ac:dyDescent="0.35">
      <c r="B12" s="5"/>
      <c r="C12" s="5"/>
      <c r="D12" s="5"/>
      <c r="G12" s="28"/>
      <c r="H12" s="11"/>
      <c r="I12" s="12"/>
      <c r="L12" s="5"/>
      <c r="M12" s="5"/>
      <c r="N12" s="5"/>
    </row>
    <row r="13" spans="2:14" ht="16.5" x14ac:dyDescent="0.3">
      <c r="B13" s="63" t="s">
        <v>622</v>
      </c>
      <c r="C13" s="13" t="s">
        <v>300</v>
      </c>
      <c r="D13" s="14" t="s">
        <v>623</v>
      </c>
      <c r="G13" s="29" t="s">
        <v>622</v>
      </c>
      <c r="H13" s="13" t="s">
        <v>300</v>
      </c>
      <c r="I13" s="14" t="s">
        <v>623</v>
      </c>
      <c r="L13" s="63" t="s">
        <v>622</v>
      </c>
      <c r="M13" s="13" t="s">
        <v>300</v>
      </c>
      <c r="N13" s="14" t="s">
        <v>623</v>
      </c>
    </row>
    <row r="14" spans="2:14" ht="16.5" x14ac:dyDescent="0.3">
      <c r="B14" s="47" t="s">
        <v>677</v>
      </c>
      <c r="C14" s="15" t="s">
        <v>340</v>
      </c>
      <c r="D14" s="16">
        <f>IF(D9="Y", 0.125, 0)</f>
        <v>0.125</v>
      </c>
      <c r="G14" s="32" t="s">
        <v>631</v>
      </c>
      <c r="H14" s="19" t="s">
        <v>630</v>
      </c>
      <c r="I14" s="20">
        <f>I5/6892.79</f>
        <v>176.40171831725615</v>
      </c>
      <c r="L14" s="47" t="s">
        <v>677</v>
      </c>
      <c r="M14" s="15" t="s">
        <v>340</v>
      </c>
      <c r="N14" s="16">
        <f>IF(N9="Y", 0.125, 0)</f>
        <v>0</v>
      </c>
    </row>
    <row r="15" spans="2:14" ht="16.5" x14ac:dyDescent="0.3">
      <c r="B15" s="47" t="s">
        <v>677</v>
      </c>
      <c r="C15" s="15" t="s">
        <v>680</v>
      </c>
      <c r="D15" s="16">
        <f>(D14/12)*0.3048*1000</f>
        <v>3.1749999999999998</v>
      </c>
      <c r="G15" s="32" t="s">
        <v>632</v>
      </c>
      <c r="H15" s="19" t="s">
        <v>625</v>
      </c>
      <c r="I15" s="20">
        <f>I14-14.7</f>
        <v>161.70171831725617</v>
      </c>
      <c r="L15" s="47" t="s">
        <v>677</v>
      </c>
      <c r="M15" s="15" t="s">
        <v>680</v>
      </c>
      <c r="N15" s="16">
        <f>(N14/12)*0.3048*1000</f>
        <v>0</v>
      </c>
    </row>
    <row r="16" spans="2:14" ht="16.5" x14ac:dyDescent="0.3">
      <c r="B16" s="47" t="s">
        <v>1284</v>
      </c>
      <c r="C16" s="15" t="s">
        <v>1271</v>
      </c>
      <c r="D16" s="68">
        <f>IFERROR(_xlfn.XLOOKUP(D7,Data!$B:$B,Data!$D:$D,""),"")</f>
        <v>137</v>
      </c>
      <c r="G16" s="33" t="s">
        <v>633</v>
      </c>
      <c r="H16" s="21" t="s">
        <v>625</v>
      </c>
      <c r="I16" s="22">
        <f>IF(AND(I15&gt;=0, I15&lt;=5), 5,
   IF(AND(I15&gt;10, I15&lt;=1000), EXP((0.6068+0.9165*LN(I15))+(0.0015655*(LN(I15))^2)),
   IF(I15&gt;1000, 1.1*I15, "")))</f>
        <v>202.02358869018263</v>
      </c>
      <c r="L16" s="47" t="s">
        <v>1284</v>
      </c>
      <c r="M16" s="15" t="s">
        <v>1271</v>
      </c>
      <c r="N16" s="68">
        <f>IFERROR(_xlfn.XLOOKUP(N7,Data!$B:$B,Data!$D:$D,""),"")</f>
        <v>137</v>
      </c>
    </row>
    <row r="17" spans="2:14" ht="16.5" x14ac:dyDescent="0.3">
      <c r="B17" s="47" t="s">
        <v>1285</v>
      </c>
      <c r="C17" s="15" t="s">
        <v>1272</v>
      </c>
      <c r="D17" s="68">
        <f>IFERROR(_xlfn.XLOOKUP(D7,Data!$B:$B,Data!$E:$E,""),"")</f>
        <v>154</v>
      </c>
      <c r="G17" s="32" t="s">
        <v>635</v>
      </c>
      <c r="H17" s="19" t="s">
        <v>626</v>
      </c>
      <c r="I17" s="20">
        <f>((I4-273.15)*(9/5))+32</f>
        <v>77</v>
      </c>
      <c r="L17" s="47" t="s">
        <v>1285</v>
      </c>
      <c r="M17" s="15" t="s">
        <v>1272</v>
      </c>
      <c r="N17" s="68">
        <f>IFERROR(_xlfn.XLOOKUP(N7,Data!$B:$B,Data!$E:$E,""),"")</f>
        <v>154</v>
      </c>
    </row>
    <row r="18" spans="2:14" ht="16.5" x14ac:dyDescent="0.3">
      <c r="B18" s="47" t="s">
        <v>1299</v>
      </c>
      <c r="C18" s="48"/>
      <c r="D18" s="71">
        <f>IF(ISBLANK(D4),(D5/D6),1)</f>
        <v>0.8</v>
      </c>
      <c r="G18" s="33" t="s">
        <v>634</v>
      </c>
      <c r="H18" s="21" t="s">
        <v>626</v>
      </c>
      <c r="I18" s="22">
        <f>I17+50</f>
        <v>127</v>
      </c>
      <c r="L18" s="47" t="s">
        <v>1299</v>
      </c>
      <c r="M18" s="48"/>
      <c r="N18" s="71">
        <f>IF(ISBLANK(N4),(N5/N6),1)</f>
        <v>1</v>
      </c>
    </row>
    <row r="19" spans="2:14" ht="16.5" x14ac:dyDescent="0.3">
      <c r="B19" s="47" t="s">
        <v>636</v>
      </c>
      <c r="C19" s="15" t="s">
        <v>323</v>
      </c>
      <c r="D19" s="71">
        <f>D4/264.172</f>
        <v>0</v>
      </c>
      <c r="G19" s="33" t="s">
        <v>640</v>
      </c>
      <c r="H19" s="21"/>
      <c r="I19" s="37">
        <f>IF(I15=0, 1,
   IF(AND(I15&gt;0, I15&lt;250), 3,
   IF(AND(I15&gt;=250, I15&lt;500), 4,
   IF(I15&gt;=500, 5, ""))))</f>
        <v>3</v>
      </c>
      <c r="L19" s="47" t="s">
        <v>636</v>
      </c>
      <c r="M19" s="15" t="s">
        <v>323</v>
      </c>
      <c r="N19" s="69">
        <f>N4/264.172</f>
        <v>264.97887739805884</v>
      </c>
    </row>
    <row r="20" spans="2:14" ht="16.5" x14ac:dyDescent="0.3">
      <c r="B20" s="47" t="s">
        <v>338</v>
      </c>
      <c r="C20" s="15" t="s">
        <v>639</v>
      </c>
      <c r="D20" s="16">
        <f>IF(ISBLANK(D4),D6*0.3048,((4*D19)/(D18*PI()))^(0.33))</f>
        <v>4.5720000000000001</v>
      </c>
      <c r="G20" s="33" t="s">
        <v>669</v>
      </c>
      <c r="H20" s="21" t="s">
        <v>639</v>
      </c>
      <c r="I20" s="22">
        <f>((4*I6)/(I19*PI()))^(0.33)</f>
        <v>3.511638781973323</v>
      </c>
      <c r="L20" s="47" t="s">
        <v>338</v>
      </c>
      <c r="M20" s="15" t="s">
        <v>639</v>
      </c>
      <c r="N20" s="16">
        <f>IF(ISBLANK(N4),N6*0.3048,((4*N19)/(N18*PI()))^(0.33))</f>
        <v>6.8277884023068305</v>
      </c>
    </row>
    <row r="21" spans="2:14" ht="16.5" x14ac:dyDescent="0.3">
      <c r="B21" s="47" t="s">
        <v>405</v>
      </c>
      <c r="C21" s="15" t="s">
        <v>639</v>
      </c>
      <c r="D21" s="16">
        <f>IF(ISBLANK(D4),D5*0.3048,D20*D18)</f>
        <v>3.6576000000000004</v>
      </c>
      <c r="G21" s="32" t="s">
        <v>669</v>
      </c>
      <c r="H21" s="19" t="s">
        <v>337</v>
      </c>
      <c r="I21" s="20">
        <f>I20/0.3048</f>
        <v>11.521124612773368</v>
      </c>
      <c r="L21" s="47" t="s">
        <v>405</v>
      </c>
      <c r="M21" s="15" t="s">
        <v>639</v>
      </c>
      <c r="N21" s="16">
        <f>IF(ISBLANK(N4),N5*0.3048,N20*N18)</f>
        <v>6.8277884023068305</v>
      </c>
    </row>
    <row r="22" spans="2:14" ht="16.5" x14ac:dyDescent="0.3">
      <c r="B22" s="47" t="s">
        <v>1273</v>
      </c>
      <c r="C22" s="15" t="s">
        <v>680</v>
      </c>
      <c r="D22" s="16">
        <f>((4.9*D20*(D21-0.3)*D8)/D16)+D15</f>
        <v>4.1797587119883213</v>
      </c>
      <c r="G22" s="32" t="s">
        <v>669</v>
      </c>
      <c r="H22" s="19" t="s">
        <v>340</v>
      </c>
      <c r="I22" s="20">
        <f>I21*12</f>
        <v>138.25349535328041</v>
      </c>
      <c r="L22" s="47" t="s">
        <v>1273</v>
      </c>
      <c r="M22" s="15" t="s">
        <v>680</v>
      </c>
      <c r="N22" s="16">
        <f>((4.9*N20*(N21-0.3)*N8)/N16)+N15</f>
        <v>1.9926528643733554</v>
      </c>
    </row>
    <row r="23" spans="2:14" ht="16.5" x14ac:dyDescent="0.3">
      <c r="B23" s="47" t="s">
        <v>1274</v>
      </c>
      <c r="C23" s="15" t="s">
        <v>680</v>
      </c>
      <c r="D23" s="16">
        <f>(4.9*D20*(D21-0.3))/D17</f>
        <v>0.4884392290909092</v>
      </c>
      <c r="G23" s="33" t="s">
        <v>681</v>
      </c>
      <c r="H23" s="21" t="s">
        <v>639</v>
      </c>
      <c r="I23" s="22">
        <f>I19*I20</f>
        <v>10.534916345919969</v>
      </c>
      <c r="L23" s="47" t="s">
        <v>1274</v>
      </c>
      <c r="M23" s="15" t="s">
        <v>680</v>
      </c>
      <c r="N23" s="16">
        <f>(4.9*N20*(N21-0.3))/N17</f>
        <v>1.4181477528267514</v>
      </c>
    </row>
    <row r="24" spans="2:14" ht="16.5" x14ac:dyDescent="0.3">
      <c r="B24" s="47" t="s">
        <v>1275</v>
      </c>
      <c r="C24" s="15" t="s">
        <v>680</v>
      </c>
      <c r="D24" s="16">
        <f>MAX(D22:D23)</f>
        <v>4.1797587119883213</v>
      </c>
      <c r="G24" s="32" t="s">
        <v>405</v>
      </c>
      <c r="H24" s="19" t="s">
        <v>337</v>
      </c>
      <c r="I24" s="20">
        <f>I23/0.3048</f>
        <v>34.563373838320103</v>
      </c>
      <c r="L24" s="47" t="s">
        <v>1275</v>
      </c>
      <c r="M24" s="15" t="s">
        <v>680</v>
      </c>
      <c r="N24" s="16">
        <f>MAX(N22:N23)</f>
        <v>1.9926528643733554</v>
      </c>
    </row>
    <row r="25" spans="2:14" ht="16.5" x14ac:dyDescent="0.3">
      <c r="B25" s="47" t="s">
        <v>1275</v>
      </c>
      <c r="C25" s="15" t="s">
        <v>680</v>
      </c>
      <c r="D25" s="16">
        <f>IF(AND(D20&gt;=0,D20&lt;=15),5,
IF(AND(D20&gt;15,D20&lt;=36),6,
IF(AND(D20&gt;36,D20&lt;=60),8,
IF(D20&gt;60,10,""))))</f>
        <v>5</v>
      </c>
      <c r="G25" s="32" t="s">
        <v>405</v>
      </c>
      <c r="H25" s="19" t="s">
        <v>340</v>
      </c>
      <c r="I25" s="20">
        <f>I24*12</f>
        <v>414.76048605984124</v>
      </c>
      <c r="L25" s="47" t="s">
        <v>1275</v>
      </c>
      <c r="M25" s="15" t="s">
        <v>680</v>
      </c>
      <c r="N25" s="16">
        <f>IF(AND(N20&gt;=0,N20&lt;=15),5,
IF(AND(N20&gt;15,N20&lt;=36),6,
IF(AND(N20&gt;36,N20&lt;=60),8,
IF(N20&gt;60,10,""))))</f>
        <v>5</v>
      </c>
    </row>
    <row r="26" spans="2:14" ht="16.5" x14ac:dyDescent="0.3">
      <c r="B26" s="66" t="s">
        <v>1275</v>
      </c>
      <c r="C26" s="21" t="s">
        <v>680</v>
      </c>
      <c r="D26" s="22">
        <f>MAX(D24:D25)</f>
        <v>5</v>
      </c>
      <c r="G26" s="32" t="s">
        <v>664</v>
      </c>
      <c r="H26" s="19" t="s">
        <v>666</v>
      </c>
      <c r="I26" s="20">
        <f>IF($I$7="","",
 IF($I$18&gt;INDEX(Data!$G:$G, MATCH($I$7, Data!$B:$B, 0)),"Over max temp",
  INDEX(Data!$H:$L,
        MATCH($I$7, Data!$B:$B, 0),
        MATCH(MAX(100,MIN($I$18, INDEX(Data!$G:$G, MATCH($I$7, Data!$B:$B, 0)))),{100,300,500,700,900},1)
  )
 ))</f>
        <v>17.100000000000001</v>
      </c>
      <c r="L26" s="66" t="s">
        <v>1275</v>
      </c>
      <c r="M26" s="21" t="s">
        <v>680</v>
      </c>
      <c r="N26" s="22">
        <f>MAX(N24:N25)</f>
        <v>5</v>
      </c>
    </row>
    <row r="27" spans="2:14" ht="16.5" x14ac:dyDescent="0.3">
      <c r="B27" s="47" t="s">
        <v>1275</v>
      </c>
      <c r="C27" s="15" t="s">
        <v>639</v>
      </c>
      <c r="D27" s="16">
        <f>D26/1000</f>
        <v>5.0000000000000001E-3</v>
      </c>
      <c r="G27" s="33" t="s">
        <v>664</v>
      </c>
      <c r="H27" s="21" t="s">
        <v>378</v>
      </c>
      <c r="I27" s="37">
        <f>I26*1000</f>
        <v>17100</v>
      </c>
      <c r="L27" s="47" t="s">
        <v>1275</v>
      </c>
      <c r="M27" s="15" t="s">
        <v>639</v>
      </c>
      <c r="N27" s="16">
        <f>N26/1000</f>
        <v>5.0000000000000001E-3</v>
      </c>
    </row>
    <row r="28" spans="2:14" ht="16.5" x14ac:dyDescent="0.3">
      <c r="B28" s="47" t="s">
        <v>1276</v>
      </c>
      <c r="C28" s="15" t="s">
        <v>1277</v>
      </c>
      <c r="D28" s="69">
        <f>(2*PI()*(D20/2)*D21)+(2*PI()*(D20/2)^2)</f>
        <v>85.370076078346429</v>
      </c>
      <c r="G28" s="32" t="s">
        <v>670</v>
      </c>
      <c r="H28" s="19" t="s">
        <v>340</v>
      </c>
      <c r="I28" s="20">
        <f>(I16*I22)/((2*I27*I10)-(1.2*I16))</f>
        <v>0.96888033363071557</v>
      </c>
      <c r="L28" s="47" t="s">
        <v>1276</v>
      </c>
      <c r="M28" s="15" t="s">
        <v>1277</v>
      </c>
      <c r="N28" s="69">
        <f>(2*PI()*(N20/2)*N21)+(2*PI()*(N20/2)^2)</f>
        <v>219.68542208468307</v>
      </c>
    </row>
    <row r="29" spans="2:14" ht="16.5" x14ac:dyDescent="0.3">
      <c r="B29" s="47" t="s">
        <v>1278</v>
      </c>
      <c r="C29" s="15" t="s">
        <v>628</v>
      </c>
      <c r="D29" s="16">
        <v>0.2833</v>
      </c>
      <c r="G29" s="32" t="s">
        <v>671</v>
      </c>
      <c r="H29" s="19"/>
      <c r="I29" s="20">
        <f>IF(I28&gt;=0.25,
     I28,
     LOOKUP(I21,{0,4,6,8,10},{0.25,0.3125,0.375,0.4375,0.5})
)</f>
        <v>0.96888033363071557</v>
      </c>
      <c r="L29" s="47" t="s">
        <v>1278</v>
      </c>
      <c r="M29" s="15" t="s">
        <v>628</v>
      </c>
      <c r="N29" s="16">
        <v>0.2833</v>
      </c>
    </row>
    <row r="30" spans="2:14" ht="16.5" x14ac:dyDescent="0.3">
      <c r="B30" s="47" t="s">
        <v>1278</v>
      </c>
      <c r="C30" s="15" t="s">
        <v>682</v>
      </c>
      <c r="D30" s="16">
        <f>D29*12^3</f>
        <v>489.54239999999999</v>
      </c>
      <c r="G30" s="32" t="s">
        <v>672</v>
      </c>
      <c r="H30" s="19"/>
      <c r="I30" s="20">
        <f>(0.22*(I22+18)*(I25^2))/(I27*(I22^2))</f>
        <v>1.8092509988274576E-2</v>
      </c>
      <c r="L30" s="47" t="s">
        <v>1278</v>
      </c>
      <c r="M30" s="15" t="s">
        <v>682</v>
      </c>
      <c r="N30" s="16">
        <f>N29*12^3</f>
        <v>489.54239999999999</v>
      </c>
    </row>
    <row r="31" spans="2:14" ht="16.5" x14ac:dyDescent="0.3">
      <c r="B31" s="47" t="s">
        <v>1278</v>
      </c>
      <c r="C31" s="15" t="s">
        <v>1279</v>
      </c>
      <c r="D31" s="69">
        <f>D30*(1/0.3048)^3</f>
        <v>17288.026702037649</v>
      </c>
      <c r="G31" s="32" t="s">
        <v>668</v>
      </c>
      <c r="H31" s="19" t="s">
        <v>340</v>
      </c>
      <c r="I31" s="20">
        <f>IF(I8="Vertical",
     (I29+I29+I30)/2,
     I29
)</f>
        <v>0.97792658862485282</v>
      </c>
      <c r="L31" s="47" t="s">
        <v>1278</v>
      </c>
      <c r="M31" s="15" t="s">
        <v>1279</v>
      </c>
      <c r="N31" s="69">
        <f>N30*(1/0.3048)^3</f>
        <v>17288.026702037649</v>
      </c>
    </row>
    <row r="32" spans="2:14" ht="16.5" x14ac:dyDescent="0.3">
      <c r="B32" s="47" t="s">
        <v>1294</v>
      </c>
      <c r="C32" s="15" t="s">
        <v>342</v>
      </c>
      <c r="D32" s="69">
        <f>D31*D28*D27</f>
        <v>7379.4007739871931</v>
      </c>
      <c r="G32" s="32" t="s">
        <v>677</v>
      </c>
      <c r="H32" s="19" t="s">
        <v>680</v>
      </c>
      <c r="I32" s="20">
        <f>IF(AND(I7="CS",I9="N"),2,IF(AND(I7="CS",I9="Y"),4,3.175))</f>
        <v>3.1749999999999998</v>
      </c>
      <c r="L32" s="47" t="s">
        <v>1294</v>
      </c>
      <c r="M32" s="15" t="s">
        <v>342</v>
      </c>
      <c r="N32" s="69">
        <f>N31*N28*N27</f>
        <v>18989.637215242063</v>
      </c>
    </row>
    <row r="33" spans="2:14" ht="16.5" x14ac:dyDescent="0.3">
      <c r="B33" s="66" t="s">
        <v>1294</v>
      </c>
      <c r="C33" s="21" t="s">
        <v>629</v>
      </c>
      <c r="D33" s="70">
        <f>D32/2.2</f>
        <v>3354.2730790850874</v>
      </c>
      <c r="G33" s="32" t="s">
        <v>677</v>
      </c>
      <c r="H33" s="19" t="s">
        <v>340</v>
      </c>
      <c r="I33" s="20">
        <f>(I32/1000/0.3048)*12</f>
        <v>0.125</v>
      </c>
      <c r="L33" s="66" t="s">
        <v>1294</v>
      </c>
      <c r="M33" s="21" t="s">
        <v>629</v>
      </c>
      <c r="N33" s="70">
        <f>N32/2.2</f>
        <v>8631.653279655482</v>
      </c>
    </row>
    <row r="34" spans="2:14" ht="16.5" x14ac:dyDescent="0.3">
      <c r="B34" s="47" t="s">
        <v>1288</v>
      </c>
      <c r="C34" s="15" t="s">
        <v>680</v>
      </c>
      <c r="D34" s="16">
        <f>D25</f>
        <v>5</v>
      </c>
      <c r="G34" s="32" t="s">
        <v>668</v>
      </c>
      <c r="H34" s="19" t="s">
        <v>340</v>
      </c>
      <c r="I34" s="20">
        <f>I31+I33</f>
        <v>1.1029265886248529</v>
      </c>
      <c r="L34" s="47" t="s">
        <v>1288</v>
      </c>
      <c r="M34" s="15" t="s">
        <v>680</v>
      </c>
      <c r="N34" s="16">
        <f>N25</f>
        <v>5</v>
      </c>
    </row>
    <row r="35" spans="2:14" ht="16.5" x14ac:dyDescent="0.3">
      <c r="B35" s="47" t="s">
        <v>1290</v>
      </c>
      <c r="C35" s="15" t="s">
        <v>680</v>
      </c>
      <c r="D35" s="16">
        <f>D25</f>
        <v>5</v>
      </c>
      <c r="G35" s="33" t="s">
        <v>684</v>
      </c>
      <c r="H35" s="21" t="s">
        <v>340</v>
      </c>
      <c r="I35" s="22">
        <f>CEILING(
  I34,
  IF(AND(I34&gt;=3/16, I34&lt;=1/2), 1/16,
     IF(AND(I34&gt;=1/2, I34&lt;=2),   1/8,
        IF(AND(I34&gt;2, I34&lt;=3), 1/4,
           1/4 )))
)</f>
        <v>1.125</v>
      </c>
      <c r="L35" s="47" t="s">
        <v>1290</v>
      </c>
      <c r="M35" s="15" t="s">
        <v>680</v>
      </c>
      <c r="N35" s="16">
        <f>N25</f>
        <v>5</v>
      </c>
    </row>
    <row r="36" spans="2:14" ht="16.5" x14ac:dyDescent="0.3">
      <c r="B36" s="47" t="s">
        <v>1292</v>
      </c>
      <c r="C36" s="15" t="s">
        <v>1277</v>
      </c>
      <c r="D36" s="16">
        <f>(PI()*(D20)^2)/4</f>
        <v>16.417322322758928</v>
      </c>
      <c r="G36" s="34" t="s">
        <v>627</v>
      </c>
      <c r="H36" s="23" t="s">
        <v>628</v>
      </c>
      <c r="I36" s="24">
        <f>IF($I$7="","", INDEX(Data!$F:$F, MATCH($I$7, Data!$B:$B, 0)))</f>
        <v>0.2833</v>
      </c>
      <c r="L36" s="47" t="s">
        <v>1292</v>
      </c>
      <c r="M36" s="15" t="s">
        <v>1277</v>
      </c>
      <c r="N36" s="16">
        <f>(PI()*(N20)^2)/4</f>
        <v>36.614237014113847</v>
      </c>
    </row>
    <row r="37" spans="2:14" ht="16.5" x14ac:dyDescent="0.3">
      <c r="B37" s="47" t="s">
        <v>1293</v>
      </c>
      <c r="C37" s="15" t="s">
        <v>1277</v>
      </c>
      <c r="D37" s="16">
        <f>(PI()*(D20)^2)/4</f>
        <v>16.417322322758928</v>
      </c>
      <c r="G37" s="32" t="s">
        <v>627</v>
      </c>
      <c r="H37" s="19" t="s">
        <v>682</v>
      </c>
      <c r="I37" s="20">
        <f>I36*12^3</f>
        <v>489.54239999999999</v>
      </c>
      <c r="L37" s="47" t="s">
        <v>1293</v>
      </c>
      <c r="M37" s="15" t="s">
        <v>1277</v>
      </c>
      <c r="N37" s="16">
        <f>(PI()*(N20)^2)/4</f>
        <v>36.614237014113847</v>
      </c>
    </row>
    <row r="38" spans="2:14" ht="16.5" x14ac:dyDescent="0.3">
      <c r="B38" s="47" t="s">
        <v>1291</v>
      </c>
      <c r="C38" s="15" t="s">
        <v>342</v>
      </c>
      <c r="D38" s="69">
        <f>D36*D34*0.001*D31</f>
        <v>1419.1155334590756</v>
      </c>
      <c r="G38" s="32" t="s">
        <v>341</v>
      </c>
      <c r="H38" s="19" t="s">
        <v>342</v>
      </c>
      <c r="I38" s="20">
        <f>PI()*(I22+I35)*(I25+0.8*I22)*(I35*I36)</f>
        <v>73316.961516033305</v>
      </c>
      <c r="L38" s="47" t="s">
        <v>1291</v>
      </c>
      <c r="M38" s="15" t="s">
        <v>342</v>
      </c>
      <c r="N38" s="69">
        <f>N36*N34*0.001*N31</f>
        <v>3164.9395358736774</v>
      </c>
    </row>
    <row r="39" spans="2:14" ht="16.5" x14ac:dyDescent="0.3">
      <c r="B39" s="47" t="s">
        <v>1295</v>
      </c>
      <c r="C39" s="15" t="s">
        <v>342</v>
      </c>
      <c r="D39" s="69">
        <f>D37*D35*0.001*D31</f>
        <v>1419.1155334590756</v>
      </c>
      <c r="G39" s="60" t="s">
        <v>1253</v>
      </c>
      <c r="H39" s="61" t="s">
        <v>342</v>
      </c>
      <c r="I39" s="96">
        <f>IF(AND(I38&gt;=0,I38&lt;=50000),I38*1.1,
IF(AND(I38&gt;50000,I38&lt;=75000),I38*1.08,
IF(AND(I38&gt;75000,I38&lt;=100000),I38*1.06,
IF(I38&gt;100000,1.05*I38,""))))</f>
        <v>79182.318437315975</v>
      </c>
      <c r="L39" s="47" t="s">
        <v>1295</v>
      </c>
      <c r="M39" s="15" t="s">
        <v>342</v>
      </c>
      <c r="N39" s="69">
        <f>N37*N35*0.001*N31</f>
        <v>3164.9395358736774</v>
      </c>
    </row>
    <row r="40" spans="2:14" ht="16.5" x14ac:dyDescent="0.3">
      <c r="B40" s="66" t="s">
        <v>1291</v>
      </c>
      <c r="C40" s="21" t="s">
        <v>629</v>
      </c>
      <c r="D40" s="70">
        <f>D38/2.2</f>
        <v>645.05251520867068</v>
      </c>
      <c r="G40" s="33" t="s">
        <v>687</v>
      </c>
      <c r="H40" s="21" t="s">
        <v>629</v>
      </c>
      <c r="I40" s="70">
        <f>I39/2.2</f>
        <v>35991.962926052714</v>
      </c>
      <c r="L40" s="66" t="s">
        <v>1291</v>
      </c>
      <c r="M40" s="21" t="s">
        <v>629</v>
      </c>
      <c r="N40" s="70">
        <f>N38/2.2</f>
        <v>1438.6088799425804</v>
      </c>
    </row>
    <row r="41" spans="2:14" ht="17.25" thickBot="1" x14ac:dyDescent="0.35">
      <c r="B41" s="66" t="s">
        <v>1295</v>
      </c>
      <c r="C41" s="21" t="s">
        <v>629</v>
      </c>
      <c r="D41" s="70">
        <f>D39/2.2</f>
        <v>645.05251520867068</v>
      </c>
      <c r="G41" s="67" t="s">
        <v>1322</v>
      </c>
      <c r="H41" s="25" t="s">
        <v>1323</v>
      </c>
      <c r="I41" s="94">
        <f>I40*2.2</f>
        <v>79182.318437315975</v>
      </c>
      <c r="L41" s="66" t="s">
        <v>1295</v>
      </c>
      <c r="M41" s="21" t="s">
        <v>629</v>
      </c>
      <c r="N41" s="70">
        <f>N39/2.2</f>
        <v>1438.6088799425804</v>
      </c>
    </row>
    <row r="42" spans="2:14" ht="16.5" x14ac:dyDescent="0.3">
      <c r="B42" s="66" t="s">
        <v>1296</v>
      </c>
      <c r="C42" s="21" t="s">
        <v>629</v>
      </c>
      <c r="D42" s="70">
        <f>D33+D40+D41</f>
        <v>4644.3781095024287</v>
      </c>
      <c r="G42" s="36"/>
      <c r="H42" s="26"/>
      <c r="I42" s="27"/>
      <c r="L42" s="66" t="s">
        <v>1296</v>
      </c>
      <c r="M42" s="21" t="s">
        <v>629</v>
      </c>
      <c r="N42" s="70">
        <f>N33+N40+N41</f>
        <v>11508.871039540642</v>
      </c>
    </row>
    <row r="43" spans="2:14" ht="17.25" thickBot="1" x14ac:dyDescent="0.35">
      <c r="B43" s="67" t="s">
        <v>1322</v>
      </c>
      <c r="C43" s="25" t="s">
        <v>1323</v>
      </c>
      <c r="D43" s="94">
        <f>D42*2.2</f>
        <v>10217.631840905344</v>
      </c>
      <c r="L43" s="67" t="s">
        <v>1322</v>
      </c>
      <c r="M43" s="25" t="s">
        <v>1323</v>
      </c>
      <c r="N43" s="94">
        <f>N42*2.2</f>
        <v>25319.516286989412</v>
      </c>
    </row>
    <row r="46" spans="2:14" ht="18.75" thickBot="1" x14ac:dyDescent="0.4">
      <c r="B46" s="73" t="s">
        <v>1305</v>
      </c>
      <c r="G46" s="73" t="s">
        <v>1308</v>
      </c>
      <c r="L46" s="73" t="s">
        <v>1309</v>
      </c>
    </row>
    <row r="47" spans="2:14" ht="16.5" x14ac:dyDescent="0.3">
      <c r="B47" s="63" t="s">
        <v>618</v>
      </c>
      <c r="C47" s="64" t="s">
        <v>300</v>
      </c>
      <c r="D47" s="65" t="s">
        <v>676</v>
      </c>
      <c r="G47" s="63" t="s">
        <v>618</v>
      </c>
      <c r="H47" s="64" t="s">
        <v>300</v>
      </c>
      <c r="I47" s="65" t="s">
        <v>676</v>
      </c>
      <c r="L47" s="63" t="s">
        <v>618</v>
      </c>
      <c r="M47" s="64" t="s">
        <v>300</v>
      </c>
      <c r="N47" s="65" t="s">
        <v>676</v>
      </c>
    </row>
    <row r="48" spans="2:14" ht="16.5" x14ac:dyDescent="0.3">
      <c r="B48" s="47" t="s">
        <v>636</v>
      </c>
      <c r="C48" s="15" t="s">
        <v>1265</v>
      </c>
      <c r="D48" s="71">
        <v>12800</v>
      </c>
      <c r="G48" s="47" t="s">
        <v>636</v>
      </c>
      <c r="H48" s="15" t="s">
        <v>1265</v>
      </c>
      <c r="I48" s="71">
        <v>300000</v>
      </c>
      <c r="L48" s="47" t="s">
        <v>636</v>
      </c>
      <c r="M48" s="15" t="s">
        <v>1265</v>
      </c>
      <c r="N48" s="77">
        <v>500000</v>
      </c>
    </row>
    <row r="49" spans="2:14" ht="16.5" x14ac:dyDescent="0.3">
      <c r="B49" s="47" t="s">
        <v>405</v>
      </c>
      <c r="C49" s="15" t="s">
        <v>337</v>
      </c>
      <c r="D49" s="71"/>
      <c r="G49" s="47" t="s">
        <v>405</v>
      </c>
      <c r="H49" s="15" t="s">
        <v>337</v>
      </c>
      <c r="I49" s="71"/>
      <c r="L49" s="47" t="s">
        <v>405</v>
      </c>
      <c r="M49" s="15" t="s">
        <v>337</v>
      </c>
      <c r="N49" s="71"/>
    </row>
    <row r="50" spans="2:14" ht="16.5" x14ac:dyDescent="0.3">
      <c r="B50" s="47" t="s">
        <v>338</v>
      </c>
      <c r="C50" s="15" t="s">
        <v>337</v>
      </c>
      <c r="D50" s="71"/>
      <c r="G50" s="47" t="s">
        <v>338</v>
      </c>
      <c r="H50" s="15" t="s">
        <v>337</v>
      </c>
      <c r="I50" s="71"/>
      <c r="L50" s="47" t="s">
        <v>338</v>
      </c>
      <c r="M50" s="15" t="s">
        <v>337</v>
      </c>
      <c r="N50" s="71"/>
    </row>
    <row r="51" spans="2:14" ht="16.5" x14ac:dyDescent="0.3">
      <c r="B51" s="47" t="s">
        <v>619</v>
      </c>
      <c r="C51" s="15"/>
      <c r="D51" s="71" t="s">
        <v>656</v>
      </c>
      <c r="G51" s="47" t="s">
        <v>619</v>
      </c>
      <c r="H51" s="15"/>
      <c r="I51" s="71" t="s">
        <v>662</v>
      </c>
      <c r="L51" s="47" t="s">
        <v>619</v>
      </c>
      <c r="M51" s="15"/>
      <c r="N51" s="71" t="s">
        <v>662</v>
      </c>
    </row>
    <row r="52" spans="2:14" ht="16.5" x14ac:dyDescent="0.3">
      <c r="B52" s="47" t="s">
        <v>1266</v>
      </c>
      <c r="C52" s="15"/>
      <c r="D52" s="71">
        <v>1.84</v>
      </c>
      <c r="G52" s="47" t="s">
        <v>1266</v>
      </c>
      <c r="H52" s="15"/>
      <c r="I52" s="71">
        <v>1</v>
      </c>
      <c r="L52" s="47" t="s">
        <v>1266</v>
      </c>
      <c r="M52" s="15"/>
      <c r="N52" s="71">
        <v>1</v>
      </c>
    </row>
    <row r="53" spans="2:14" ht="16.5" x14ac:dyDescent="0.3">
      <c r="B53" s="47" t="s">
        <v>1268</v>
      </c>
      <c r="C53" s="15"/>
      <c r="D53" s="71" t="s">
        <v>678</v>
      </c>
      <c r="G53" s="47" t="s">
        <v>1268</v>
      </c>
      <c r="H53" s="15"/>
      <c r="I53" s="71" t="s">
        <v>678</v>
      </c>
      <c r="L53" s="47" t="s">
        <v>1268</v>
      </c>
      <c r="M53" s="15"/>
      <c r="N53" s="71" t="s">
        <v>678</v>
      </c>
    </row>
    <row r="54" spans="2:14" ht="17.25" thickBot="1" x14ac:dyDescent="0.35">
      <c r="B54" s="53" t="s">
        <v>1270</v>
      </c>
      <c r="C54" s="17"/>
      <c r="D54" s="72">
        <v>0.85</v>
      </c>
      <c r="G54" s="53" t="s">
        <v>1270</v>
      </c>
      <c r="H54" s="17"/>
      <c r="I54" s="72">
        <v>0.85</v>
      </c>
      <c r="L54" s="53" t="s">
        <v>1270</v>
      </c>
      <c r="M54" s="17"/>
      <c r="N54" s="72">
        <v>0.85</v>
      </c>
    </row>
    <row r="55" spans="2:14" ht="16.5" x14ac:dyDescent="0.3">
      <c r="B55" s="5"/>
      <c r="C55" s="5"/>
      <c r="D55" s="5"/>
      <c r="G55" s="5"/>
      <c r="H55" s="5"/>
      <c r="I55" s="5"/>
      <c r="L55" s="5"/>
      <c r="M55" s="5"/>
      <c r="N55" s="5"/>
    </row>
    <row r="56" spans="2:14" ht="17.25" thickBot="1" x14ac:dyDescent="0.35">
      <c r="B56" s="5"/>
      <c r="C56" s="5"/>
      <c r="D56" s="5"/>
      <c r="G56" s="5"/>
      <c r="H56" s="5"/>
      <c r="I56" s="5"/>
      <c r="L56" s="5"/>
      <c r="M56" s="5"/>
      <c r="N56" s="5"/>
    </row>
    <row r="57" spans="2:14" ht="16.5" x14ac:dyDescent="0.3">
      <c r="B57" s="63" t="s">
        <v>622</v>
      </c>
      <c r="C57" s="13" t="s">
        <v>300</v>
      </c>
      <c r="D57" s="14" t="s">
        <v>623</v>
      </c>
      <c r="G57" s="63" t="s">
        <v>622</v>
      </c>
      <c r="H57" s="13" t="s">
        <v>300</v>
      </c>
      <c r="I57" s="14" t="s">
        <v>623</v>
      </c>
      <c r="L57" s="63" t="s">
        <v>622</v>
      </c>
      <c r="M57" s="13" t="s">
        <v>300</v>
      </c>
      <c r="N57" s="14" t="s">
        <v>623</v>
      </c>
    </row>
    <row r="58" spans="2:14" ht="16.5" x14ac:dyDescent="0.3">
      <c r="B58" s="47" t="s">
        <v>677</v>
      </c>
      <c r="C58" s="15" t="s">
        <v>340</v>
      </c>
      <c r="D58" s="16">
        <f>IF(D53="Y", 0.125, 0)</f>
        <v>0</v>
      </c>
      <c r="G58" s="47" t="s">
        <v>677</v>
      </c>
      <c r="H58" s="15" t="s">
        <v>340</v>
      </c>
      <c r="I58" s="16">
        <f>IF(I53="Y", 0.125, 0)</f>
        <v>0</v>
      </c>
      <c r="L58" s="47" t="s">
        <v>677</v>
      </c>
      <c r="M58" s="15" t="s">
        <v>340</v>
      </c>
      <c r="N58" s="16">
        <f>IF(N53="Y", 0.125, 0)</f>
        <v>0</v>
      </c>
    </row>
    <row r="59" spans="2:14" ht="16.5" x14ac:dyDescent="0.3">
      <c r="B59" s="47" t="s">
        <v>677</v>
      </c>
      <c r="C59" s="15" t="s">
        <v>680</v>
      </c>
      <c r="D59" s="16">
        <f>(D58/12)*0.3048*1000</f>
        <v>0</v>
      </c>
      <c r="G59" s="47" t="s">
        <v>677</v>
      </c>
      <c r="H59" s="15" t="s">
        <v>680</v>
      </c>
      <c r="I59" s="16">
        <f>(I58/12)*0.3048*1000</f>
        <v>0</v>
      </c>
      <c r="L59" s="47" t="s">
        <v>677</v>
      </c>
      <c r="M59" s="15" t="s">
        <v>680</v>
      </c>
      <c r="N59" s="16">
        <f>(N58/12)*0.3048*1000</f>
        <v>0</v>
      </c>
    </row>
    <row r="60" spans="2:14" ht="16.5" x14ac:dyDescent="0.3">
      <c r="B60" s="47" t="s">
        <v>1284</v>
      </c>
      <c r="C60" s="15" t="s">
        <v>1271</v>
      </c>
      <c r="D60" s="68">
        <f>IFERROR(_xlfn.XLOOKUP(D51,Data!$B:$B,Data!$D:$D,""),"")</f>
        <v>75</v>
      </c>
      <c r="G60" s="47" t="s">
        <v>1284</v>
      </c>
      <c r="H60" s="15" t="s">
        <v>1271</v>
      </c>
      <c r="I60" s="68">
        <f>IFERROR(_xlfn.XLOOKUP(I51,Data!$B:$B,Data!$D:$D,""),"")</f>
        <v>75</v>
      </c>
      <c r="L60" s="47" t="s">
        <v>1284</v>
      </c>
      <c r="M60" s="15" t="s">
        <v>1271</v>
      </c>
      <c r="N60" s="68">
        <f>IFERROR(_xlfn.XLOOKUP(N51,Data!$B:$B,Data!$D:$D,""),"")</f>
        <v>75</v>
      </c>
    </row>
    <row r="61" spans="2:14" ht="16.5" x14ac:dyDescent="0.3">
      <c r="B61" s="47" t="s">
        <v>1285</v>
      </c>
      <c r="C61" s="15" t="s">
        <v>1272</v>
      </c>
      <c r="D61" s="68">
        <f>IFERROR(_xlfn.XLOOKUP(D51,Data!$B:$B,Data!$E:$E,""),"")</f>
        <v>30</v>
      </c>
      <c r="G61" s="47" t="s">
        <v>1285</v>
      </c>
      <c r="H61" s="15" t="s">
        <v>1272</v>
      </c>
      <c r="I61" s="68">
        <f>IFERROR(_xlfn.XLOOKUP(I51,Data!$B:$B,Data!$E:$E,""),"")</f>
        <v>30</v>
      </c>
      <c r="L61" s="47" t="s">
        <v>1285</v>
      </c>
      <c r="M61" s="15" t="s">
        <v>1272</v>
      </c>
      <c r="N61" s="68">
        <f>IFERROR(_xlfn.XLOOKUP(N51,Data!$B:$B,Data!$E:$E,""),"")</f>
        <v>30</v>
      </c>
    </row>
    <row r="62" spans="2:14" ht="16.5" x14ac:dyDescent="0.3">
      <c r="B62" s="47" t="s">
        <v>1299</v>
      </c>
      <c r="C62" s="48"/>
      <c r="D62" s="71">
        <f>IF(ISBLANK(D48),(D49/D50),1)</f>
        <v>1</v>
      </c>
      <c r="G62" s="47" t="s">
        <v>1299</v>
      </c>
      <c r="H62" s="48"/>
      <c r="I62" s="71">
        <f>IF(ISBLANK(I48),(I49/I50),1)</f>
        <v>1</v>
      </c>
      <c r="L62" s="47" t="s">
        <v>1299</v>
      </c>
      <c r="M62" s="48"/>
      <c r="N62" s="71">
        <f>IF(ISBLANK(N48),(N49/N50),1)</f>
        <v>1</v>
      </c>
    </row>
    <row r="63" spans="2:14" ht="16.5" x14ac:dyDescent="0.3">
      <c r="B63" s="47" t="s">
        <v>636</v>
      </c>
      <c r="C63" s="15" t="s">
        <v>323</v>
      </c>
      <c r="D63" s="69">
        <f>D48/264.172</f>
        <v>48.453280438502183</v>
      </c>
      <c r="G63" s="47" t="s">
        <v>636</v>
      </c>
      <c r="H63" s="15" t="s">
        <v>323</v>
      </c>
      <c r="I63" s="69">
        <f>I48/264.172</f>
        <v>1135.6237602773949</v>
      </c>
      <c r="L63" s="47" t="s">
        <v>636</v>
      </c>
      <c r="M63" s="15" t="s">
        <v>323</v>
      </c>
      <c r="N63" s="69">
        <f>N48/264.172</f>
        <v>1892.7062671289916</v>
      </c>
    </row>
    <row r="64" spans="2:14" ht="16.5" x14ac:dyDescent="0.3">
      <c r="B64" s="47" t="s">
        <v>338</v>
      </c>
      <c r="C64" s="15" t="s">
        <v>639</v>
      </c>
      <c r="D64" s="16">
        <f>IF(ISBLANK(D48),D50*0.3048,((4*D63)/(D62*PI()))^(0.33))</f>
        <v>3.8974180338185649</v>
      </c>
      <c r="G64" s="47" t="s">
        <v>338</v>
      </c>
      <c r="H64" s="15" t="s">
        <v>639</v>
      </c>
      <c r="I64" s="16">
        <f>IF(ISBLANK(I48),I50*0.3048,((4*I63)/(I62*PI()))^(0.33))</f>
        <v>11.036915420684567</v>
      </c>
      <c r="L64" s="47" t="s">
        <v>338</v>
      </c>
      <c r="M64" s="15" t="s">
        <v>639</v>
      </c>
      <c r="N64" s="16">
        <f>IF(ISBLANK(N48),N50*0.3048,((4*N63)/(N62*PI()))^(0.33))</f>
        <v>13.063447426482599</v>
      </c>
    </row>
    <row r="65" spans="2:14" ht="16.5" x14ac:dyDescent="0.3">
      <c r="B65" s="47" t="s">
        <v>405</v>
      </c>
      <c r="C65" s="15" t="s">
        <v>639</v>
      </c>
      <c r="D65" s="16">
        <f>IF(ISBLANK(D48),D49*0.3048,D64*D62)</f>
        <v>3.8974180338185649</v>
      </c>
      <c r="G65" s="47" t="s">
        <v>405</v>
      </c>
      <c r="H65" s="15" t="s">
        <v>639</v>
      </c>
      <c r="I65" s="16">
        <f>IF(ISBLANK(I48),I49*0.3048,I64*I62)</f>
        <v>11.036915420684567</v>
      </c>
      <c r="L65" s="47" t="s">
        <v>405</v>
      </c>
      <c r="M65" s="15" t="s">
        <v>639</v>
      </c>
      <c r="N65" s="16">
        <f>IF(ISBLANK(N48),N49*0.3048,N64*N62)</f>
        <v>13.063447426482599</v>
      </c>
    </row>
    <row r="66" spans="2:14" ht="16.5" x14ac:dyDescent="0.3">
      <c r="B66" s="47" t="s">
        <v>1273</v>
      </c>
      <c r="C66" s="15" t="s">
        <v>680</v>
      </c>
      <c r="D66" s="16">
        <f>((4.9*D64*(D65-0.3)*D52)/D60)+D59</f>
        <v>1.6854681006989392</v>
      </c>
      <c r="G66" s="47" t="s">
        <v>1273</v>
      </c>
      <c r="H66" s="15" t="s">
        <v>680</v>
      </c>
      <c r="I66" s="16">
        <f>((4.9*I64*(I65-0.3)*I52)/I60)+I59</f>
        <v>7.7421585886397759</v>
      </c>
      <c r="L66" s="47" t="s">
        <v>1273</v>
      </c>
      <c r="M66" s="15" t="s">
        <v>680</v>
      </c>
      <c r="N66" s="16">
        <f>((4.9*N64*(N65-0.3)*N52)/N60)+N59</f>
        <v>10.893328796519963</v>
      </c>
    </row>
    <row r="67" spans="2:14" ht="16.5" x14ac:dyDescent="0.3">
      <c r="B67" s="47" t="s">
        <v>1274</v>
      </c>
      <c r="C67" s="15" t="s">
        <v>680</v>
      </c>
      <c r="D67" s="16">
        <f>(4.9*D64*(D65-0.3))/D61</f>
        <v>2.2900381802974716</v>
      </c>
      <c r="G67" s="47" t="s">
        <v>1274</v>
      </c>
      <c r="H67" s="15" t="s">
        <v>680</v>
      </c>
      <c r="I67" s="16">
        <f>(4.9*I64*(I65-0.3))/I61</f>
        <v>19.355396471599438</v>
      </c>
      <c r="L67" s="47" t="s">
        <v>1274</v>
      </c>
      <c r="M67" s="15" t="s">
        <v>680</v>
      </c>
      <c r="N67" s="16">
        <f>(4.9*N64*(N65-0.3))/N61</f>
        <v>27.23332199129991</v>
      </c>
    </row>
    <row r="68" spans="2:14" ht="16.5" x14ac:dyDescent="0.3">
      <c r="B68" s="47" t="s">
        <v>1275</v>
      </c>
      <c r="C68" s="15" t="s">
        <v>680</v>
      </c>
      <c r="D68" s="16">
        <f>MAX(D66:D67)</f>
        <v>2.2900381802974716</v>
      </c>
      <c r="G68" s="47" t="s">
        <v>1275</v>
      </c>
      <c r="H68" s="15" t="s">
        <v>680</v>
      </c>
      <c r="I68" s="16">
        <f>MAX(I66:I67)</f>
        <v>19.355396471599438</v>
      </c>
      <c r="L68" s="47" t="s">
        <v>1275</v>
      </c>
      <c r="M68" s="15" t="s">
        <v>680</v>
      </c>
      <c r="N68" s="16">
        <f>MAX(N66:N67)</f>
        <v>27.23332199129991</v>
      </c>
    </row>
    <row r="69" spans="2:14" ht="16.5" x14ac:dyDescent="0.3">
      <c r="B69" s="47" t="s">
        <v>1275</v>
      </c>
      <c r="C69" s="15" t="s">
        <v>680</v>
      </c>
      <c r="D69" s="16">
        <f>IF(AND(D64&gt;=0,D64&lt;=15),5,
IF(AND(D64&gt;15,D64&lt;=36),6,
IF(AND(D64&gt;36,D64&lt;=60),8,
IF(D64&gt;60,10,""))))</f>
        <v>5</v>
      </c>
      <c r="G69" s="47" t="s">
        <v>1275</v>
      </c>
      <c r="H69" s="15" t="s">
        <v>680</v>
      </c>
      <c r="I69" s="16">
        <f>IF(AND(I64&gt;=0,I64&lt;=15),5,
IF(AND(I64&gt;15,I64&lt;=36),6,
IF(AND(I64&gt;36,I64&lt;=60),8,
IF(I64&gt;60,10,""))))</f>
        <v>5</v>
      </c>
      <c r="L69" s="47" t="s">
        <v>1275</v>
      </c>
      <c r="M69" s="15" t="s">
        <v>680</v>
      </c>
      <c r="N69" s="16">
        <f>IF(AND(N64&gt;=0,N64&lt;=15),5,
IF(AND(N64&gt;15,N64&lt;=36),6,
IF(AND(N64&gt;36,N64&lt;=60),8,
IF(N64&gt;60,10,""))))</f>
        <v>5</v>
      </c>
    </row>
    <row r="70" spans="2:14" ht="16.5" x14ac:dyDescent="0.3">
      <c r="B70" s="66" t="s">
        <v>1275</v>
      </c>
      <c r="C70" s="21" t="s">
        <v>680</v>
      </c>
      <c r="D70" s="22">
        <f>MAX(D68:D69)</f>
        <v>5</v>
      </c>
      <c r="G70" s="66" t="s">
        <v>1275</v>
      </c>
      <c r="H70" s="21" t="s">
        <v>680</v>
      </c>
      <c r="I70" s="22">
        <f>MAX(I68:I69)</f>
        <v>19.355396471599438</v>
      </c>
      <c r="L70" s="66" t="s">
        <v>1275</v>
      </c>
      <c r="M70" s="21" t="s">
        <v>680</v>
      </c>
      <c r="N70" s="22">
        <f>MAX(N68:N69)</f>
        <v>27.23332199129991</v>
      </c>
    </row>
    <row r="71" spans="2:14" ht="16.5" x14ac:dyDescent="0.3">
      <c r="B71" s="47" t="s">
        <v>1275</v>
      </c>
      <c r="C71" s="15" t="s">
        <v>639</v>
      </c>
      <c r="D71" s="16">
        <f>D69/1000</f>
        <v>5.0000000000000001E-3</v>
      </c>
      <c r="G71" s="47" t="s">
        <v>1275</v>
      </c>
      <c r="H71" s="15" t="s">
        <v>639</v>
      </c>
      <c r="I71" s="16">
        <f>I70/1000</f>
        <v>1.9355396471599437E-2</v>
      </c>
      <c r="L71" s="47" t="s">
        <v>1275</v>
      </c>
      <c r="M71" s="15" t="s">
        <v>639</v>
      </c>
      <c r="N71" s="16">
        <f>N70/1000</f>
        <v>2.7233321991299912E-2</v>
      </c>
    </row>
    <row r="72" spans="2:14" ht="16.5" x14ac:dyDescent="0.3">
      <c r="B72" s="47" t="s">
        <v>1276</v>
      </c>
      <c r="C72" s="15" t="s">
        <v>1277</v>
      </c>
      <c r="D72" s="69">
        <f>(2*PI()*(D64/2)*D65)+(2*PI()*(D64/2)^2)</f>
        <v>71.58056342097214</v>
      </c>
      <c r="G72" s="47" t="s">
        <v>1276</v>
      </c>
      <c r="H72" s="15" t="s">
        <v>1277</v>
      </c>
      <c r="I72" s="69">
        <f>(2*PI()*(I64/2)*I65)+(2*PI()*(I64/2)^2)</f>
        <v>574.03260450263031</v>
      </c>
      <c r="L72" s="47" t="s">
        <v>1276</v>
      </c>
      <c r="M72" s="15" t="s">
        <v>1277</v>
      </c>
      <c r="N72" s="69">
        <f>(2*PI()*(N64/2)*N65)+(2*PI()*(N64/2)^2)</f>
        <v>804.18642055280134</v>
      </c>
    </row>
    <row r="73" spans="2:14" ht="16.5" x14ac:dyDescent="0.3">
      <c r="B73" s="47" t="s">
        <v>1278</v>
      </c>
      <c r="C73" s="15" t="s">
        <v>628</v>
      </c>
      <c r="D73" s="16">
        <v>0.2833</v>
      </c>
      <c r="G73" s="47" t="s">
        <v>1278</v>
      </c>
      <c r="H73" s="15" t="s">
        <v>628</v>
      </c>
      <c r="I73" s="16">
        <v>0.2833</v>
      </c>
      <c r="L73" s="47" t="s">
        <v>1278</v>
      </c>
      <c r="M73" s="15" t="s">
        <v>628</v>
      </c>
      <c r="N73" s="16">
        <v>0.2833</v>
      </c>
    </row>
    <row r="74" spans="2:14" ht="16.5" x14ac:dyDescent="0.3">
      <c r="B74" s="47" t="s">
        <v>1278</v>
      </c>
      <c r="C74" s="15" t="s">
        <v>682</v>
      </c>
      <c r="D74" s="16">
        <f>D73*12^3</f>
        <v>489.54239999999999</v>
      </c>
      <c r="G74" s="47" t="s">
        <v>1278</v>
      </c>
      <c r="H74" s="15" t="s">
        <v>682</v>
      </c>
      <c r="I74" s="16">
        <f>I73*12^3</f>
        <v>489.54239999999999</v>
      </c>
      <c r="L74" s="47" t="s">
        <v>1278</v>
      </c>
      <c r="M74" s="15" t="s">
        <v>682</v>
      </c>
      <c r="N74" s="16">
        <f>N73*12^3</f>
        <v>489.54239999999999</v>
      </c>
    </row>
    <row r="75" spans="2:14" ht="16.5" x14ac:dyDescent="0.3">
      <c r="B75" s="47" t="s">
        <v>1278</v>
      </c>
      <c r="C75" s="15" t="s">
        <v>1279</v>
      </c>
      <c r="D75" s="69">
        <f>D74*(1/0.3048)^3</f>
        <v>17288.026702037649</v>
      </c>
      <c r="G75" s="47" t="s">
        <v>1278</v>
      </c>
      <c r="H75" s="15" t="s">
        <v>1279</v>
      </c>
      <c r="I75" s="69">
        <f>I74*(1/0.3048)^3</f>
        <v>17288.026702037649</v>
      </c>
      <c r="L75" s="47" t="s">
        <v>1278</v>
      </c>
      <c r="M75" s="15" t="s">
        <v>1279</v>
      </c>
      <c r="N75" s="69">
        <f>N74*(1/0.3048)^3</f>
        <v>17288.026702037649</v>
      </c>
    </row>
    <row r="76" spans="2:14" ht="16.5" x14ac:dyDescent="0.3">
      <c r="B76" s="47" t="s">
        <v>1294</v>
      </c>
      <c r="C76" s="15" t="s">
        <v>342</v>
      </c>
      <c r="D76" s="69">
        <f>D75*D72*D71</f>
        <v>6187.4334588433294</v>
      </c>
      <c r="G76" s="47" t="s">
        <v>1294</v>
      </c>
      <c r="H76" s="15" t="s">
        <v>342</v>
      </c>
      <c r="I76" s="69">
        <f>I75*I72*I71</f>
        <v>192080.84473912834</v>
      </c>
      <c r="L76" s="47" t="s">
        <v>1294</v>
      </c>
      <c r="M76" s="15" t="s">
        <v>342</v>
      </c>
      <c r="N76" s="69">
        <f>N75*N72*N71</f>
        <v>378619.32854232576</v>
      </c>
    </row>
    <row r="77" spans="2:14" ht="16.5" x14ac:dyDescent="0.3">
      <c r="B77" s="66" t="s">
        <v>1294</v>
      </c>
      <c r="C77" s="21" t="s">
        <v>629</v>
      </c>
      <c r="D77" s="70">
        <f>D76/2.2</f>
        <v>2812.4697540196948</v>
      </c>
      <c r="G77" s="66" t="s">
        <v>1294</v>
      </c>
      <c r="H77" s="21" t="s">
        <v>629</v>
      </c>
      <c r="I77" s="70">
        <f>I76/2.2</f>
        <v>87309.474881421964</v>
      </c>
      <c r="L77" s="66" t="s">
        <v>1294</v>
      </c>
      <c r="M77" s="21" t="s">
        <v>629</v>
      </c>
      <c r="N77" s="70">
        <f>N76/2.2</f>
        <v>172099.69479196623</v>
      </c>
    </row>
    <row r="78" spans="2:14" ht="16.5" x14ac:dyDescent="0.3">
      <c r="B78" s="47" t="s">
        <v>1288</v>
      </c>
      <c r="C78" s="15" t="s">
        <v>680</v>
      </c>
      <c r="D78" s="16">
        <f>D69</f>
        <v>5</v>
      </c>
      <c r="G78" s="47" t="s">
        <v>1288</v>
      </c>
      <c r="H78" s="15" t="s">
        <v>680</v>
      </c>
      <c r="I78" s="16">
        <f>I69</f>
        <v>5</v>
      </c>
      <c r="L78" s="47" t="s">
        <v>1288</v>
      </c>
      <c r="M78" s="15" t="s">
        <v>680</v>
      </c>
      <c r="N78" s="16">
        <f>N69</f>
        <v>5</v>
      </c>
    </row>
    <row r="79" spans="2:14" ht="16.5" x14ac:dyDescent="0.3">
      <c r="B79" s="47" t="s">
        <v>1290</v>
      </c>
      <c r="C79" s="15" t="s">
        <v>680</v>
      </c>
      <c r="D79" s="16">
        <f>D69</f>
        <v>5</v>
      </c>
      <c r="G79" s="47" t="s">
        <v>1290</v>
      </c>
      <c r="H79" s="15" t="s">
        <v>680</v>
      </c>
      <c r="I79" s="16">
        <f>I69</f>
        <v>5</v>
      </c>
      <c r="L79" s="47" t="s">
        <v>1290</v>
      </c>
      <c r="M79" s="15" t="s">
        <v>680</v>
      </c>
      <c r="N79" s="16">
        <f>N69</f>
        <v>5</v>
      </c>
    </row>
    <row r="80" spans="2:14" ht="16.5" x14ac:dyDescent="0.3">
      <c r="B80" s="47" t="s">
        <v>1292</v>
      </c>
      <c r="C80" s="15" t="s">
        <v>1277</v>
      </c>
      <c r="D80" s="16">
        <f>(PI()*(D64)^2)/4</f>
        <v>11.930093903495356</v>
      </c>
      <c r="G80" s="47" t="s">
        <v>1292</v>
      </c>
      <c r="H80" s="15" t="s">
        <v>1277</v>
      </c>
      <c r="I80" s="16">
        <f>(PI()*(I64)^2)/4</f>
        <v>95.672100750438389</v>
      </c>
      <c r="L80" s="47" t="s">
        <v>1292</v>
      </c>
      <c r="M80" s="15" t="s">
        <v>1277</v>
      </c>
      <c r="N80" s="16">
        <f>(PI()*(N64)^2)/4</f>
        <v>134.03107009213355</v>
      </c>
    </row>
    <row r="81" spans="2:14" ht="16.5" x14ac:dyDescent="0.3">
      <c r="B81" s="47" t="s">
        <v>1293</v>
      </c>
      <c r="C81" s="15" t="s">
        <v>1277</v>
      </c>
      <c r="D81" s="16">
        <f>(PI()*(D64)^2)/4</f>
        <v>11.930093903495356</v>
      </c>
      <c r="G81" s="47" t="s">
        <v>1293</v>
      </c>
      <c r="H81" s="15" t="s">
        <v>1277</v>
      </c>
      <c r="I81" s="16">
        <f>(PI()*(I64)^2)/4</f>
        <v>95.672100750438389</v>
      </c>
      <c r="L81" s="47" t="s">
        <v>1293</v>
      </c>
      <c r="M81" s="15" t="s">
        <v>1277</v>
      </c>
      <c r="N81" s="16">
        <f>(PI()*(N64)^2)/4</f>
        <v>134.03107009213355</v>
      </c>
    </row>
    <row r="82" spans="2:14" ht="16.5" x14ac:dyDescent="0.3">
      <c r="B82" s="47" t="s">
        <v>1291</v>
      </c>
      <c r="C82" s="15" t="s">
        <v>342</v>
      </c>
      <c r="D82" s="69">
        <f>D80*D78*0.001*D75</f>
        <v>1031.2389098072215</v>
      </c>
      <c r="G82" s="47" t="s">
        <v>1291</v>
      </c>
      <c r="H82" s="15" t="s">
        <v>342</v>
      </c>
      <c r="I82" s="69">
        <f>I80*I78*0.001*I75</f>
        <v>8269.9091620680756</v>
      </c>
      <c r="L82" s="47" t="s">
        <v>1291</v>
      </c>
      <c r="M82" s="15" t="s">
        <v>342</v>
      </c>
      <c r="N82" s="69">
        <f>N80*N78*0.001*N75</f>
        <v>11585.663593277422</v>
      </c>
    </row>
    <row r="83" spans="2:14" ht="16.5" x14ac:dyDescent="0.3">
      <c r="B83" s="47" t="s">
        <v>1295</v>
      </c>
      <c r="C83" s="15" t="s">
        <v>342</v>
      </c>
      <c r="D83" s="69">
        <f>D81*D79*0.001*D75</f>
        <v>1031.2389098072215</v>
      </c>
      <c r="G83" s="47" t="s">
        <v>1295</v>
      </c>
      <c r="H83" s="15" t="s">
        <v>342</v>
      </c>
      <c r="I83" s="69">
        <f>I81*I79*0.001*I75</f>
        <v>8269.9091620680756</v>
      </c>
      <c r="L83" s="47" t="s">
        <v>1295</v>
      </c>
      <c r="M83" s="15" t="s">
        <v>342</v>
      </c>
      <c r="N83" s="69">
        <f>N81*N79*0.001*N75</f>
        <v>11585.663593277422</v>
      </c>
    </row>
    <row r="84" spans="2:14" ht="16.5" x14ac:dyDescent="0.3">
      <c r="B84" s="66" t="s">
        <v>1291</v>
      </c>
      <c r="C84" s="21" t="s">
        <v>629</v>
      </c>
      <c r="D84" s="70">
        <f>D82/2.2</f>
        <v>468.74495900328247</v>
      </c>
      <c r="G84" s="66" t="s">
        <v>1291</v>
      </c>
      <c r="H84" s="21" t="s">
        <v>629</v>
      </c>
      <c r="I84" s="70">
        <f>I82/2.2</f>
        <v>3759.0496191218522</v>
      </c>
      <c r="L84" s="66" t="s">
        <v>1291</v>
      </c>
      <c r="M84" s="21" t="s">
        <v>629</v>
      </c>
      <c r="N84" s="70">
        <f>N82/2.2</f>
        <v>5266.2107242170096</v>
      </c>
    </row>
    <row r="85" spans="2:14" ht="16.5" x14ac:dyDescent="0.3">
      <c r="B85" s="66" t="s">
        <v>1295</v>
      </c>
      <c r="C85" s="21" t="s">
        <v>629</v>
      </c>
      <c r="D85" s="70">
        <f>D83/2.2</f>
        <v>468.74495900328247</v>
      </c>
      <c r="G85" s="66" t="s">
        <v>1295</v>
      </c>
      <c r="H85" s="21" t="s">
        <v>629</v>
      </c>
      <c r="I85" s="70">
        <f>I83/2.2</f>
        <v>3759.0496191218522</v>
      </c>
      <c r="L85" s="66" t="s">
        <v>1295</v>
      </c>
      <c r="M85" s="21" t="s">
        <v>629</v>
      </c>
      <c r="N85" s="70">
        <f>N83/2.2</f>
        <v>5266.2107242170096</v>
      </c>
    </row>
    <row r="86" spans="2:14" ht="16.5" x14ac:dyDescent="0.3">
      <c r="B86" s="66" t="s">
        <v>1296</v>
      </c>
      <c r="C86" s="21" t="s">
        <v>629</v>
      </c>
      <c r="D86" s="70">
        <f>D77+D84+D85</f>
        <v>3749.9596720262598</v>
      </c>
      <c r="G86" s="66" t="s">
        <v>1296</v>
      </c>
      <c r="H86" s="21" t="s">
        <v>629</v>
      </c>
      <c r="I86" s="70">
        <f>I77+I84+I85</f>
        <v>94827.574119665675</v>
      </c>
      <c r="L86" s="66" t="s">
        <v>1296</v>
      </c>
      <c r="M86" s="21" t="s">
        <v>629</v>
      </c>
      <c r="N86" s="70">
        <f>N77+N84+N85</f>
        <v>182632.11624040024</v>
      </c>
    </row>
    <row r="87" spans="2:14" ht="17.25" thickBot="1" x14ac:dyDescent="0.35">
      <c r="B87" s="67" t="s">
        <v>1322</v>
      </c>
      <c r="C87" s="25" t="s">
        <v>1323</v>
      </c>
      <c r="D87" s="94">
        <f>D86*2.2</f>
        <v>8249.9112784577719</v>
      </c>
      <c r="G87" s="67" t="s">
        <v>1322</v>
      </c>
      <c r="H87" s="25" t="s">
        <v>1323</v>
      </c>
      <c r="I87" s="94">
        <f>I86*2.2</f>
        <v>208620.66306326451</v>
      </c>
      <c r="L87" s="67" t="s">
        <v>1322</v>
      </c>
      <c r="M87" s="25" t="s">
        <v>1323</v>
      </c>
      <c r="N87" s="94">
        <f>N86*2.2</f>
        <v>401790.65572888055</v>
      </c>
    </row>
    <row r="90" spans="2:14" ht="18.75" thickBot="1" x14ac:dyDescent="0.4">
      <c r="B90" s="73" t="s">
        <v>1312</v>
      </c>
      <c r="G90" s="73" t="s">
        <v>1311</v>
      </c>
      <c r="L90" s="73" t="s">
        <v>1313</v>
      </c>
    </row>
    <row r="91" spans="2:14" ht="16.5" x14ac:dyDescent="0.3">
      <c r="B91" s="63" t="s">
        <v>618</v>
      </c>
      <c r="C91" s="64" t="s">
        <v>300</v>
      </c>
      <c r="D91" s="65" t="s">
        <v>676</v>
      </c>
      <c r="G91" s="63" t="s">
        <v>618</v>
      </c>
      <c r="H91" s="64" t="s">
        <v>300</v>
      </c>
      <c r="I91" s="65" t="s">
        <v>676</v>
      </c>
      <c r="L91" s="63" t="s">
        <v>618</v>
      </c>
      <c r="M91" s="64" t="s">
        <v>300</v>
      </c>
      <c r="N91" s="65" t="s">
        <v>676</v>
      </c>
    </row>
    <row r="92" spans="2:14" ht="16.5" x14ac:dyDescent="0.3">
      <c r="B92" s="47" t="s">
        <v>636</v>
      </c>
      <c r="C92" s="15" t="s">
        <v>1265</v>
      </c>
      <c r="D92" s="77">
        <v>750000</v>
      </c>
      <c r="G92" s="47" t="s">
        <v>636</v>
      </c>
      <c r="H92" s="15" t="s">
        <v>1265</v>
      </c>
      <c r="I92" s="77">
        <v>65000</v>
      </c>
      <c r="L92" s="47" t="s">
        <v>636</v>
      </c>
      <c r="M92" s="15" t="s">
        <v>1265</v>
      </c>
      <c r="N92" s="77">
        <v>600000</v>
      </c>
    </row>
    <row r="93" spans="2:14" ht="16.5" x14ac:dyDescent="0.3">
      <c r="B93" s="47" t="s">
        <v>405</v>
      </c>
      <c r="C93" s="15" t="s">
        <v>337</v>
      </c>
      <c r="D93" s="71"/>
      <c r="G93" s="47" t="s">
        <v>405</v>
      </c>
      <c r="H93" s="15" t="s">
        <v>337</v>
      </c>
      <c r="I93" s="71"/>
      <c r="L93" s="47" t="s">
        <v>405</v>
      </c>
      <c r="M93" s="15" t="s">
        <v>337</v>
      </c>
      <c r="N93" s="71"/>
    </row>
    <row r="94" spans="2:14" ht="16.5" x14ac:dyDescent="0.3">
      <c r="B94" s="47" t="s">
        <v>338</v>
      </c>
      <c r="C94" s="15" t="s">
        <v>337</v>
      </c>
      <c r="D94" s="71"/>
      <c r="G94" s="47" t="s">
        <v>338</v>
      </c>
      <c r="H94" s="15" t="s">
        <v>337</v>
      </c>
      <c r="I94" s="71"/>
      <c r="L94" s="47" t="s">
        <v>338</v>
      </c>
      <c r="M94" s="15" t="s">
        <v>337</v>
      </c>
      <c r="N94" s="71"/>
    </row>
    <row r="95" spans="2:14" ht="16.5" x14ac:dyDescent="0.3">
      <c r="B95" s="47" t="s">
        <v>619</v>
      </c>
      <c r="C95" s="15"/>
      <c r="D95" s="71" t="s">
        <v>1281</v>
      </c>
      <c r="G95" s="47" t="s">
        <v>619</v>
      </c>
      <c r="H95" s="15"/>
      <c r="I95" s="71" t="s">
        <v>1281</v>
      </c>
      <c r="L95" s="47" t="s">
        <v>619</v>
      </c>
      <c r="M95" s="15"/>
      <c r="N95" s="71" t="s">
        <v>1281</v>
      </c>
    </row>
    <row r="96" spans="2:14" ht="16.5" x14ac:dyDescent="0.3">
      <c r="B96" s="47" t="s">
        <v>1266</v>
      </c>
      <c r="C96" s="15"/>
      <c r="D96" s="71">
        <v>0.8</v>
      </c>
      <c r="G96" s="47" t="s">
        <v>1266</v>
      </c>
      <c r="H96" s="15"/>
      <c r="I96" s="71">
        <v>1</v>
      </c>
      <c r="L96" s="47" t="s">
        <v>1266</v>
      </c>
      <c r="M96" s="15"/>
      <c r="N96" s="71">
        <v>1</v>
      </c>
    </row>
    <row r="97" spans="2:14" ht="16.5" x14ac:dyDescent="0.3">
      <c r="B97" s="47" t="s">
        <v>1268</v>
      </c>
      <c r="C97" s="15"/>
      <c r="D97" s="71" t="s">
        <v>678</v>
      </c>
      <c r="G97" s="47" t="s">
        <v>1268</v>
      </c>
      <c r="H97" s="15"/>
      <c r="I97" s="71" t="s">
        <v>678</v>
      </c>
      <c r="L97" s="47" t="s">
        <v>1268</v>
      </c>
      <c r="M97" s="15"/>
      <c r="N97" s="71" t="s">
        <v>678</v>
      </c>
    </row>
    <row r="98" spans="2:14" ht="17.25" thickBot="1" x14ac:dyDescent="0.35">
      <c r="B98" s="53" t="s">
        <v>1270</v>
      </c>
      <c r="C98" s="17"/>
      <c r="D98" s="72">
        <v>0.85</v>
      </c>
      <c r="G98" s="53" t="s">
        <v>1270</v>
      </c>
      <c r="H98" s="17"/>
      <c r="I98" s="72">
        <v>0.85</v>
      </c>
      <c r="L98" s="53" t="s">
        <v>1270</v>
      </c>
      <c r="M98" s="17"/>
      <c r="N98" s="72">
        <v>0.85</v>
      </c>
    </row>
    <row r="99" spans="2:14" ht="16.5" x14ac:dyDescent="0.3">
      <c r="B99" s="5"/>
      <c r="C99" s="5"/>
      <c r="D99" s="5"/>
      <c r="G99" s="5"/>
      <c r="H99" s="5"/>
      <c r="I99" s="5"/>
      <c r="L99" s="5"/>
      <c r="M99" s="5"/>
      <c r="N99" s="5"/>
    </row>
    <row r="100" spans="2:14" ht="17.25" thickBot="1" x14ac:dyDescent="0.35">
      <c r="B100" s="5"/>
      <c r="C100" s="5"/>
      <c r="D100" s="5"/>
      <c r="G100" s="5"/>
      <c r="H100" s="5"/>
      <c r="I100" s="5"/>
      <c r="L100" s="5"/>
      <c r="M100" s="5"/>
      <c r="N100" s="5"/>
    </row>
    <row r="101" spans="2:14" ht="16.5" x14ac:dyDescent="0.3">
      <c r="B101" s="63" t="s">
        <v>622</v>
      </c>
      <c r="C101" s="13" t="s">
        <v>300</v>
      </c>
      <c r="D101" s="14" t="s">
        <v>623</v>
      </c>
      <c r="G101" s="63" t="s">
        <v>622</v>
      </c>
      <c r="H101" s="13" t="s">
        <v>300</v>
      </c>
      <c r="I101" s="14" t="s">
        <v>623</v>
      </c>
      <c r="L101" s="63" t="s">
        <v>622</v>
      </c>
      <c r="M101" s="13" t="s">
        <v>300</v>
      </c>
      <c r="N101" s="14" t="s">
        <v>623</v>
      </c>
    </row>
    <row r="102" spans="2:14" ht="16.5" x14ac:dyDescent="0.3">
      <c r="B102" s="47" t="s">
        <v>677</v>
      </c>
      <c r="C102" s="15" t="s">
        <v>340</v>
      </c>
      <c r="D102" s="16">
        <f>IF(D97="Y", 0.125, 0)</f>
        <v>0</v>
      </c>
      <c r="G102" s="47" t="s">
        <v>677</v>
      </c>
      <c r="H102" s="15" t="s">
        <v>340</v>
      </c>
      <c r="I102" s="16">
        <f>IF(I97="Y", 0.125, 0)</f>
        <v>0</v>
      </c>
      <c r="L102" s="47" t="s">
        <v>677</v>
      </c>
      <c r="M102" s="15" t="s">
        <v>340</v>
      </c>
      <c r="N102" s="16">
        <f>IF(N97="Y", 0.125, 0)</f>
        <v>0</v>
      </c>
    </row>
    <row r="103" spans="2:14" ht="16.5" x14ac:dyDescent="0.3">
      <c r="B103" s="47" t="s">
        <v>677</v>
      </c>
      <c r="C103" s="15" t="s">
        <v>680</v>
      </c>
      <c r="D103" s="16">
        <f>(D102/12)*0.3048*1000</f>
        <v>0</v>
      </c>
      <c r="G103" s="47" t="s">
        <v>677</v>
      </c>
      <c r="H103" s="15" t="s">
        <v>680</v>
      </c>
      <c r="I103" s="16">
        <f>(I102/12)*0.3048*1000</f>
        <v>0</v>
      </c>
      <c r="L103" s="47" t="s">
        <v>677</v>
      </c>
      <c r="M103" s="15" t="s">
        <v>680</v>
      </c>
      <c r="N103" s="16">
        <f>(N102/12)*0.3048*1000</f>
        <v>0</v>
      </c>
    </row>
    <row r="104" spans="2:14" ht="16.5" x14ac:dyDescent="0.3">
      <c r="B104" s="47" t="s">
        <v>1284</v>
      </c>
      <c r="C104" s="15" t="s">
        <v>1271</v>
      </c>
      <c r="D104" s="68">
        <f>IFERROR(_xlfn.XLOOKUP(D95,Data!$B:$B,Data!$D:$D,""),"")</f>
        <v>137</v>
      </c>
      <c r="G104" s="47" t="s">
        <v>1284</v>
      </c>
      <c r="H104" s="15" t="s">
        <v>1271</v>
      </c>
      <c r="I104" s="68">
        <f>IFERROR(_xlfn.XLOOKUP(I95,Data!$B:$B,Data!$D:$D,""),"")</f>
        <v>137</v>
      </c>
      <c r="L104" s="47" t="s">
        <v>1284</v>
      </c>
      <c r="M104" s="15" t="s">
        <v>1271</v>
      </c>
      <c r="N104" s="68">
        <f>IFERROR(_xlfn.XLOOKUP(N95,Data!$B:$B,Data!$D:$D,""),"")</f>
        <v>137</v>
      </c>
    </row>
    <row r="105" spans="2:14" ht="16.5" x14ac:dyDescent="0.3">
      <c r="B105" s="47" t="s">
        <v>1285</v>
      </c>
      <c r="C105" s="15" t="s">
        <v>1272</v>
      </c>
      <c r="D105" s="68">
        <f>IFERROR(_xlfn.XLOOKUP(D95,Data!$B:$B,Data!$E:$E,""),"")</f>
        <v>154</v>
      </c>
      <c r="G105" s="47" t="s">
        <v>1285</v>
      </c>
      <c r="H105" s="15" t="s">
        <v>1272</v>
      </c>
      <c r="I105" s="68">
        <f>IFERROR(_xlfn.XLOOKUP(I95,Data!$B:$B,Data!$E:$E,""),"")</f>
        <v>154</v>
      </c>
      <c r="L105" s="47" t="s">
        <v>1285</v>
      </c>
      <c r="M105" s="15" t="s">
        <v>1272</v>
      </c>
      <c r="N105" s="68">
        <f>IFERROR(_xlfn.XLOOKUP(N95,Data!$B:$B,Data!$E:$E,""),"")</f>
        <v>154</v>
      </c>
    </row>
    <row r="106" spans="2:14" ht="16.5" x14ac:dyDescent="0.3">
      <c r="B106" s="47" t="s">
        <v>1299</v>
      </c>
      <c r="C106" s="48"/>
      <c r="D106" s="71">
        <f>IF(ISBLANK(D92),(D93/D94),1)</f>
        <v>1</v>
      </c>
      <c r="G106" s="47" t="s">
        <v>1299</v>
      </c>
      <c r="H106" s="48"/>
      <c r="I106" s="71">
        <f>IF(ISBLANK(I92),(I93/I94),1)</f>
        <v>1</v>
      </c>
      <c r="L106" s="47" t="s">
        <v>1299</v>
      </c>
      <c r="M106" s="48"/>
      <c r="N106" s="71">
        <f>IF(ISBLANK(N92),(N93/N94),1)</f>
        <v>1</v>
      </c>
    </row>
    <row r="107" spans="2:14" ht="16.5" x14ac:dyDescent="0.3">
      <c r="B107" s="47" t="s">
        <v>636</v>
      </c>
      <c r="C107" s="15" t="s">
        <v>323</v>
      </c>
      <c r="D107" s="69">
        <f>D92/264.172</f>
        <v>2839.0594006934871</v>
      </c>
      <c r="G107" s="47" t="s">
        <v>636</v>
      </c>
      <c r="H107" s="15" t="s">
        <v>323</v>
      </c>
      <c r="I107" s="69">
        <f>I92/264.172</f>
        <v>246.0518147267689</v>
      </c>
      <c r="L107" s="47" t="s">
        <v>636</v>
      </c>
      <c r="M107" s="15" t="s">
        <v>323</v>
      </c>
      <c r="N107" s="69">
        <f>N92/264.172</f>
        <v>2271.2475205547898</v>
      </c>
    </row>
    <row r="108" spans="2:14" ht="16.5" x14ac:dyDescent="0.3">
      <c r="B108" s="47" t="s">
        <v>338</v>
      </c>
      <c r="C108" s="15" t="s">
        <v>639</v>
      </c>
      <c r="D108" s="16">
        <f>IF(ISBLANK(D92),D94*0.3048,((4*D107)/(D106*PI()))^(0.33))</f>
        <v>14.93371700956491</v>
      </c>
      <c r="G108" s="47" t="s">
        <v>338</v>
      </c>
      <c r="H108" s="15" t="s">
        <v>639</v>
      </c>
      <c r="I108" s="16">
        <f>IF(ISBLANK(I92),I94*0.3048,((4*I107)/(I106*PI()))^(0.33))</f>
        <v>6.6628357614576803</v>
      </c>
      <c r="L108" s="47" t="s">
        <v>338</v>
      </c>
      <c r="M108" s="15" t="s">
        <v>639</v>
      </c>
      <c r="N108" s="16">
        <f>IF(ISBLANK(N92),N94*0.3048,((4*N107)/(N106*PI()))^(0.33))</f>
        <v>13.873550297266711</v>
      </c>
    </row>
    <row r="109" spans="2:14" ht="16.5" x14ac:dyDescent="0.3">
      <c r="B109" s="47" t="s">
        <v>405</v>
      </c>
      <c r="C109" s="15" t="s">
        <v>639</v>
      </c>
      <c r="D109" s="16">
        <f>IF(ISBLANK(D92),D93*0.3048,D108*D106)</f>
        <v>14.93371700956491</v>
      </c>
      <c r="G109" s="47" t="s">
        <v>405</v>
      </c>
      <c r="H109" s="15" t="s">
        <v>639</v>
      </c>
      <c r="I109" s="16">
        <f>IF(ISBLANK(I92),I93*0.3048,I108*I106)</f>
        <v>6.6628357614576803</v>
      </c>
      <c r="L109" s="47" t="s">
        <v>405</v>
      </c>
      <c r="M109" s="15" t="s">
        <v>639</v>
      </c>
      <c r="N109" s="16">
        <f>IF(ISBLANK(N92),N93*0.3048,N108*N106)</f>
        <v>13.873550297266711</v>
      </c>
    </row>
    <row r="110" spans="2:14" ht="16.5" x14ac:dyDescent="0.3">
      <c r="B110" s="47" t="s">
        <v>1273</v>
      </c>
      <c r="C110" s="15" t="s">
        <v>680</v>
      </c>
      <c r="D110" s="16">
        <f>((4.9*D108*(D109-0.3)*D96)/D104)+D103</f>
        <v>6.2529948276356464</v>
      </c>
      <c r="G110" s="47" t="s">
        <v>1273</v>
      </c>
      <c r="H110" s="15" t="s">
        <v>680</v>
      </c>
      <c r="I110" s="16">
        <f>((4.9*I108*(I109-0.3)*I96)/I104)+I103</f>
        <v>1.516300695715606</v>
      </c>
      <c r="L110" s="47" t="s">
        <v>1273</v>
      </c>
      <c r="M110" s="15" t="s">
        <v>680</v>
      </c>
      <c r="N110" s="16">
        <f>((4.9*N108*(N109-0.3)*N96)/N104)+N103</f>
        <v>6.7352943834444163</v>
      </c>
    </row>
    <row r="111" spans="2:14" ht="16.5" x14ac:dyDescent="0.3">
      <c r="B111" s="47" t="s">
        <v>1274</v>
      </c>
      <c r="C111" s="15" t="s">
        <v>680</v>
      </c>
      <c r="D111" s="16">
        <f>(4.9*D108*(D109-0.3))/D105</f>
        <v>6.9534114560558731</v>
      </c>
      <c r="G111" s="47" t="s">
        <v>1274</v>
      </c>
      <c r="H111" s="15" t="s">
        <v>680</v>
      </c>
      <c r="I111" s="16">
        <f>(4.9*I108*(I109-0.3))/I105</f>
        <v>1.348916852682065</v>
      </c>
      <c r="L111" s="47" t="s">
        <v>1274</v>
      </c>
      <c r="M111" s="15" t="s">
        <v>680</v>
      </c>
      <c r="N111" s="16">
        <f>(4.9*N108*(N109-0.3))/N105</f>
        <v>5.9917878605966566</v>
      </c>
    </row>
    <row r="112" spans="2:14" ht="16.5" x14ac:dyDescent="0.3">
      <c r="B112" s="47" t="s">
        <v>1275</v>
      </c>
      <c r="C112" s="15" t="s">
        <v>680</v>
      </c>
      <c r="D112" s="16">
        <f>MAX(D110:D111)</f>
        <v>6.9534114560558731</v>
      </c>
      <c r="G112" s="47" t="s">
        <v>1275</v>
      </c>
      <c r="H112" s="15" t="s">
        <v>680</v>
      </c>
      <c r="I112" s="16">
        <f>MAX(I110:I111)</f>
        <v>1.516300695715606</v>
      </c>
      <c r="L112" s="47" t="s">
        <v>1275</v>
      </c>
      <c r="M112" s="15" t="s">
        <v>680</v>
      </c>
      <c r="N112" s="16">
        <f>MAX(N110:N111)</f>
        <v>6.7352943834444163</v>
      </c>
    </row>
    <row r="113" spans="2:14" ht="16.5" x14ac:dyDescent="0.3">
      <c r="B113" s="47" t="s">
        <v>1275</v>
      </c>
      <c r="C113" s="15" t="s">
        <v>680</v>
      </c>
      <c r="D113" s="16">
        <f>IF(AND(D108&gt;=0,D108&lt;=15),5,
IF(AND(D108&gt;15,D108&lt;=36),6,
IF(AND(D108&gt;36,D108&lt;=60),8,
IF(D108&gt;60,10,""))))</f>
        <v>5</v>
      </c>
      <c r="G113" s="47" t="s">
        <v>1275</v>
      </c>
      <c r="H113" s="15" t="s">
        <v>680</v>
      </c>
      <c r="I113" s="16">
        <f>IF(AND(I108&gt;=0,I108&lt;=15),5,
IF(AND(I108&gt;15,I108&lt;=36),6,
IF(AND(I108&gt;36,I108&lt;=60),8,
IF(I108&gt;60,10,""))))</f>
        <v>5</v>
      </c>
      <c r="L113" s="47" t="s">
        <v>1275</v>
      </c>
      <c r="M113" s="15" t="s">
        <v>680</v>
      </c>
      <c r="N113" s="16">
        <f>IF(AND(N108&gt;=0,N108&lt;=15),5,
IF(AND(N108&gt;15,N108&lt;=36),6,
IF(AND(N108&gt;36,N108&lt;=60),8,
IF(N108&gt;60,10,""))))</f>
        <v>5</v>
      </c>
    </row>
    <row r="114" spans="2:14" ht="16.5" x14ac:dyDescent="0.3">
      <c r="B114" s="66" t="s">
        <v>1275</v>
      </c>
      <c r="C114" s="21" t="s">
        <v>680</v>
      </c>
      <c r="D114" s="22">
        <f>MAX(D112:D113)</f>
        <v>6.9534114560558731</v>
      </c>
      <c r="G114" s="66" t="s">
        <v>1275</v>
      </c>
      <c r="H114" s="21" t="s">
        <v>680</v>
      </c>
      <c r="I114" s="22">
        <f>MAX(I112:I113)</f>
        <v>5</v>
      </c>
      <c r="L114" s="66" t="s">
        <v>1275</v>
      </c>
      <c r="M114" s="21" t="s">
        <v>680</v>
      </c>
      <c r="N114" s="22">
        <f>MAX(N112:N113)</f>
        <v>6.7352943834444163</v>
      </c>
    </row>
    <row r="115" spans="2:14" ht="16.5" x14ac:dyDescent="0.3">
      <c r="B115" s="47" t="s">
        <v>1275</v>
      </c>
      <c r="C115" s="15" t="s">
        <v>639</v>
      </c>
      <c r="D115" s="16">
        <f>D114/1000</f>
        <v>6.9534114560558732E-3</v>
      </c>
      <c r="G115" s="47" t="s">
        <v>1275</v>
      </c>
      <c r="H115" s="15" t="s">
        <v>639</v>
      </c>
      <c r="I115" s="16">
        <f>I113/1000</f>
        <v>5.0000000000000001E-3</v>
      </c>
      <c r="L115" s="47" t="s">
        <v>1275</v>
      </c>
      <c r="M115" s="15" t="s">
        <v>639</v>
      </c>
      <c r="N115" s="16">
        <f>N114/1000</f>
        <v>6.7352943834444162E-3</v>
      </c>
    </row>
    <row r="116" spans="2:14" ht="16.5" x14ac:dyDescent="0.3">
      <c r="B116" s="47" t="s">
        <v>1276</v>
      </c>
      <c r="C116" s="15" t="s">
        <v>1277</v>
      </c>
      <c r="D116" s="69">
        <f>(2*PI()*(D108/2)*D109)+(2*PI()*(D108/2)^2)</f>
        <v>1050.937687148994</v>
      </c>
      <c r="G116" s="47" t="s">
        <v>1276</v>
      </c>
      <c r="H116" s="15" t="s">
        <v>1277</v>
      </c>
      <c r="I116" s="69">
        <f>(2*PI()*(I108/2)*I109)+(2*PI()*(I108/2)^2)</f>
        <v>209.19887652433835</v>
      </c>
      <c r="L116" s="47" t="s">
        <v>1276</v>
      </c>
      <c r="M116" s="15" t="s">
        <v>1277</v>
      </c>
      <c r="N116" s="69">
        <f>(2*PI()*(N108/2)*N109)+(2*PI()*(N108/2)^2)</f>
        <v>907.01894382721821</v>
      </c>
    </row>
    <row r="117" spans="2:14" ht="16.5" x14ac:dyDescent="0.3">
      <c r="B117" s="47" t="s">
        <v>1278</v>
      </c>
      <c r="C117" s="15" t="s">
        <v>628</v>
      </c>
      <c r="D117" s="16">
        <v>0.2833</v>
      </c>
      <c r="G117" s="47" t="s">
        <v>1278</v>
      </c>
      <c r="H117" s="15" t="s">
        <v>628</v>
      </c>
      <c r="I117" s="16">
        <v>0.2833</v>
      </c>
      <c r="L117" s="47" t="s">
        <v>1278</v>
      </c>
      <c r="M117" s="15" t="s">
        <v>628</v>
      </c>
      <c r="N117" s="16">
        <v>0.2833</v>
      </c>
    </row>
    <row r="118" spans="2:14" ht="16.5" x14ac:dyDescent="0.3">
      <c r="B118" s="47" t="s">
        <v>1278</v>
      </c>
      <c r="C118" s="15" t="s">
        <v>682</v>
      </c>
      <c r="D118" s="16">
        <f>D117*12^3</f>
        <v>489.54239999999999</v>
      </c>
      <c r="G118" s="47" t="s">
        <v>1278</v>
      </c>
      <c r="H118" s="15" t="s">
        <v>682</v>
      </c>
      <c r="I118" s="16">
        <f>I117*12^3</f>
        <v>489.54239999999999</v>
      </c>
      <c r="L118" s="47" t="s">
        <v>1278</v>
      </c>
      <c r="M118" s="15" t="s">
        <v>682</v>
      </c>
      <c r="N118" s="16">
        <f>N117*12^3</f>
        <v>489.54239999999999</v>
      </c>
    </row>
    <row r="119" spans="2:14" ht="16.5" x14ac:dyDescent="0.3">
      <c r="B119" s="47" t="s">
        <v>1278</v>
      </c>
      <c r="C119" s="15" t="s">
        <v>1279</v>
      </c>
      <c r="D119" s="69">
        <f>D118*(1/0.3048)^3</f>
        <v>17288.026702037649</v>
      </c>
      <c r="G119" s="47" t="s">
        <v>1278</v>
      </c>
      <c r="H119" s="15" t="s">
        <v>1279</v>
      </c>
      <c r="I119" s="69">
        <f>I118*(1/0.3048)^3</f>
        <v>17288.026702037649</v>
      </c>
      <c r="L119" s="47" t="s">
        <v>1278</v>
      </c>
      <c r="M119" s="15" t="s">
        <v>1279</v>
      </c>
      <c r="N119" s="69">
        <f>N118*(1/0.3048)^3</f>
        <v>17288.026702037649</v>
      </c>
    </row>
    <row r="120" spans="2:14" ht="16.5" x14ac:dyDescent="0.3">
      <c r="B120" s="47" t="s">
        <v>1294</v>
      </c>
      <c r="C120" s="15" t="s">
        <v>342</v>
      </c>
      <c r="D120" s="69">
        <f>D119*D116*D115</f>
        <v>126334.02115623908</v>
      </c>
      <c r="G120" s="47" t="s">
        <v>1294</v>
      </c>
      <c r="H120" s="15" t="s">
        <v>342</v>
      </c>
      <c r="I120" s="69">
        <f>I119*I116*I115</f>
        <v>18083.178816945194</v>
      </c>
      <c r="L120" s="47" t="s">
        <v>1294</v>
      </c>
      <c r="M120" s="15" t="s">
        <v>342</v>
      </c>
      <c r="N120" s="69">
        <f>N119*N116*N115</f>
        <v>105613.23969467159</v>
      </c>
    </row>
    <row r="121" spans="2:14" ht="16.5" x14ac:dyDescent="0.3">
      <c r="B121" s="66" t="s">
        <v>1294</v>
      </c>
      <c r="C121" s="21" t="s">
        <v>629</v>
      </c>
      <c r="D121" s="70">
        <f>D120/2.2</f>
        <v>57424.555071017756</v>
      </c>
      <c r="G121" s="66" t="s">
        <v>1294</v>
      </c>
      <c r="H121" s="21" t="s">
        <v>629</v>
      </c>
      <c r="I121" s="70">
        <f>I120/2.2</f>
        <v>8219.6267349750869</v>
      </c>
      <c r="L121" s="66" t="s">
        <v>1294</v>
      </c>
      <c r="M121" s="21" t="s">
        <v>629</v>
      </c>
      <c r="N121" s="70">
        <f>N120/2.2</f>
        <v>48006.018043032534</v>
      </c>
    </row>
    <row r="122" spans="2:14" ht="16.5" x14ac:dyDescent="0.3">
      <c r="B122" s="47" t="s">
        <v>1288</v>
      </c>
      <c r="C122" s="15" t="s">
        <v>680</v>
      </c>
      <c r="D122" s="16">
        <f>D113</f>
        <v>5</v>
      </c>
      <c r="G122" s="47" t="s">
        <v>1288</v>
      </c>
      <c r="H122" s="15" t="s">
        <v>680</v>
      </c>
      <c r="I122" s="16">
        <f>I113</f>
        <v>5</v>
      </c>
      <c r="L122" s="47" t="s">
        <v>1288</v>
      </c>
      <c r="M122" s="15" t="s">
        <v>680</v>
      </c>
      <c r="N122" s="16">
        <f>N113</f>
        <v>5</v>
      </c>
    </row>
    <row r="123" spans="2:14" ht="16.5" x14ac:dyDescent="0.3">
      <c r="B123" s="47" t="s">
        <v>1290</v>
      </c>
      <c r="C123" s="15" t="s">
        <v>680</v>
      </c>
      <c r="D123" s="16">
        <f>D113</f>
        <v>5</v>
      </c>
      <c r="G123" s="47" t="s">
        <v>1290</v>
      </c>
      <c r="H123" s="15" t="s">
        <v>680</v>
      </c>
      <c r="I123" s="16">
        <f>I113</f>
        <v>5</v>
      </c>
      <c r="L123" s="47" t="s">
        <v>1290</v>
      </c>
      <c r="M123" s="15" t="s">
        <v>680</v>
      </c>
      <c r="N123" s="16">
        <f>N113</f>
        <v>5</v>
      </c>
    </row>
    <row r="124" spans="2:14" ht="16.5" x14ac:dyDescent="0.3">
      <c r="B124" s="47" t="s">
        <v>1292</v>
      </c>
      <c r="C124" s="15" t="s">
        <v>1277</v>
      </c>
      <c r="D124" s="16">
        <f>(PI()*(D108)^2)/4</f>
        <v>175.156281191499</v>
      </c>
      <c r="G124" s="47" t="s">
        <v>1292</v>
      </c>
      <c r="H124" s="15" t="s">
        <v>1277</v>
      </c>
      <c r="I124" s="16">
        <f>(PI()*(I108)^2)/4</f>
        <v>34.866479420723053</v>
      </c>
      <c r="L124" s="47" t="s">
        <v>1292</v>
      </c>
      <c r="M124" s="15" t="s">
        <v>1277</v>
      </c>
      <c r="N124" s="16">
        <f>(PI()*(N108)^2)/4</f>
        <v>151.16982397120302</v>
      </c>
    </row>
    <row r="125" spans="2:14" ht="16.5" x14ac:dyDescent="0.3">
      <c r="B125" s="47" t="s">
        <v>1293</v>
      </c>
      <c r="C125" s="15" t="s">
        <v>1277</v>
      </c>
      <c r="D125" s="16">
        <f>(PI()*(D108)^2)/4</f>
        <v>175.156281191499</v>
      </c>
      <c r="G125" s="47" t="s">
        <v>1293</v>
      </c>
      <c r="H125" s="15" t="s">
        <v>1277</v>
      </c>
      <c r="I125" s="16">
        <f>(PI()*(I108)^2)/4</f>
        <v>34.866479420723053</v>
      </c>
      <c r="L125" s="47" t="s">
        <v>1293</v>
      </c>
      <c r="M125" s="15" t="s">
        <v>1277</v>
      </c>
      <c r="N125" s="16">
        <f>(PI()*(N108)^2)/4</f>
        <v>151.16982397120302</v>
      </c>
    </row>
    <row r="126" spans="2:14" ht="16.5" x14ac:dyDescent="0.3">
      <c r="B126" s="47" t="s">
        <v>1291</v>
      </c>
      <c r="C126" s="15" t="s">
        <v>342</v>
      </c>
      <c r="D126" s="69">
        <f>D124*D122*0.001*D119</f>
        <v>15140.532331341248</v>
      </c>
      <c r="G126" s="47" t="s">
        <v>1291</v>
      </c>
      <c r="H126" s="15" t="s">
        <v>342</v>
      </c>
      <c r="I126" s="69">
        <f>I124*I122*0.001*I119</f>
        <v>3013.8631361575317</v>
      </c>
      <c r="L126" s="47" t="s">
        <v>1291</v>
      </c>
      <c r="M126" s="15" t="s">
        <v>342</v>
      </c>
      <c r="N126" s="69">
        <f>N124*N122*0.001*N119</f>
        <v>13067.139766782442</v>
      </c>
    </row>
    <row r="127" spans="2:14" ht="16.5" x14ac:dyDescent="0.3">
      <c r="B127" s="47" t="s">
        <v>1295</v>
      </c>
      <c r="C127" s="15" t="s">
        <v>342</v>
      </c>
      <c r="D127" s="69">
        <f>D125*D123*0.001*D119</f>
        <v>15140.532331341248</v>
      </c>
      <c r="G127" s="47" t="s">
        <v>1295</v>
      </c>
      <c r="H127" s="15" t="s">
        <v>342</v>
      </c>
      <c r="I127" s="69">
        <f>I125*I123*0.001*I119</f>
        <v>3013.8631361575317</v>
      </c>
      <c r="L127" s="47" t="s">
        <v>1295</v>
      </c>
      <c r="M127" s="15" t="s">
        <v>342</v>
      </c>
      <c r="N127" s="69">
        <f>N125*N123*0.001*N119</f>
        <v>13067.139766782442</v>
      </c>
    </row>
    <row r="128" spans="2:14" ht="16.5" x14ac:dyDescent="0.3">
      <c r="B128" s="66" t="s">
        <v>1291</v>
      </c>
      <c r="C128" s="21" t="s">
        <v>629</v>
      </c>
      <c r="D128" s="70">
        <f>D126/2.2</f>
        <v>6882.0601506096573</v>
      </c>
      <c r="G128" s="66" t="s">
        <v>1291</v>
      </c>
      <c r="H128" s="21" t="s">
        <v>629</v>
      </c>
      <c r="I128" s="70">
        <f>I126/2.2</f>
        <v>1369.9377891625143</v>
      </c>
      <c r="L128" s="66" t="s">
        <v>1291</v>
      </c>
      <c r="M128" s="21" t="s">
        <v>629</v>
      </c>
      <c r="N128" s="70">
        <f>N126/2.2</f>
        <v>5939.6089849011096</v>
      </c>
    </row>
    <row r="129" spans="2:14" ht="16.5" x14ac:dyDescent="0.3">
      <c r="B129" s="66" t="s">
        <v>1295</v>
      </c>
      <c r="C129" s="21" t="s">
        <v>629</v>
      </c>
      <c r="D129" s="70">
        <f>D127/2.2</f>
        <v>6882.0601506096573</v>
      </c>
      <c r="G129" s="66" t="s">
        <v>1295</v>
      </c>
      <c r="H129" s="21" t="s">
        <v>629</v>
      </c>
      <c r="I129" s="70">
        <f>I127/2.2</f>
        <v>1369.9377891625143</v>
      </c>
      <c r="L129" s="66" t="s">
        <v>1295</v>
      </c>
      <c r="M129" s="21" t="s">
        <v>629</v>
      </c>
      <c r="N129" s="70">
        <f>N127/2.2</f>
        <v>5939.6089849011096</v>
      </c>
    </row>
    <row r="130" spans="2:14" ht="16.5" x14ac:dyDescent="0.3">
      <c r="B130" s="66" t="s">
        <v>1296</v>
      </c>
      <c r="C130" s="21" t="s">
        <v>629</v>
      </c>
      <c r="D130" s="70">
        <f>D121+D128+D129</f>
        <v>71188.675372237078</v>
      </c>
      <c r="G130" s="66" t="s">
        <v>1296</v>
      </c>
      <c r="H130" s="21" t="s">
        <v>629</v>
      </c>
      <c r="I130" s="70">
        <f>I121+I128+I129</f>
        <v>10959.502313300114</v>
      </c>
      <c r="L130" s="66" t="s">
        <v>1296</v>
      </c>
      <c r="M130" s="21" t="s">
        <v>629</v>
      </c>
      <c r="N130" s="70">
        <f>N121+N128+N129</f>
        <v>59885.236012834757</v>
      </c>
    </row>
    <row r="131" spans="2:14" ht="17.25" thickBot="1" x14ac:dyDescent="0.35">
      <c r="B131" s="67" t="s">
        <v>1322</v>
      </c>
      <c r="C131" s="25" t="s">
        <v>1323</v>
      </c>
      <c r="D131" s="38">
        <f>D130*2.2</f>
        <v>156615.08581892159</v>
      </c>
      <c r="G131" s="67" t="s">
        <v>1322</v>
      </c>
      <c r="H131" s="25" t="s">
        <v>1323</v>
      </c>
      <c r="I131" s="38">
        <f>I130*2.2</f>
        <v>24110.905089260254</v>
      </c>
      <c r="L131" s="67" t="s">
        <v>1322</v>
      </c>
      <c r="M131" s="25" t="s">
        <v>1323</v>
      </c>
      <c r="N131" s="38">
        <f>N130*2.2</f>
        <v>131747.51922823649</v>
      </c>
    </row>
    <row r="134" spans="2:14" ht="16.5" x14ac:dyDescent="0.3">
      <c r="B134" s="97" t="s">
        <v>1324</v>
      </c>
      <c r="C134" s="93">
        <f>D43+I41+D87+I87+D131+I131+N131</f>
        <v>618744.03475636186</v>
      </c>
      <c r="D134" s="99" t="s">
        <v>1323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C52A72EE-3820-49B0-BCE9-279484E52203}">
          <x14:formula1>
            <xm:f>Data!$C$15:$C$18</xm:f>
          </x14:formula1>
          <xm:sqref>D7 N7</xm:sqref>
        </x14:dataValidation>
        <x14:dataValidation type="list" allowBlank="1" showInputMessage="1" showErrorMessage="1" xr:uid="{A29C0CBD-B74B-482C-BD3C-D6155AE0D3E5}">
          <x14:formula1>
            <xm:f>Data!$B$4:$B$11</xm:f>
          </x14:formula1>
          <xm:sqref>I7</xm:sqref>
        </x14:dataValidation>
        <x14:dataValidation type="list" allowBlank="1" showInputMessage="1" showErrorMessage="1" xr:uid="{C7B3C323-B2FC-4F6E-ADC7-011E2B3591BD}">
          <x14:formula1>
            <xm:f>Data!$C$15:$C$22</xm:f>
          </x14:formula1>
          <xm:sqref>D51 I51 N51 D95 I95 N95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43D1-4F75-4570-BD24-A7A609D3EE31}">
  <dimension ref="E5:K19"/>
  <sheetViews>
    <sheetView zoomScale="160" zoomScaleNormal="160" workbookViewId="0">
      <selection activeCell="G17" sqref="G17"/>
    </sheetView>
  </sheetViews>
  <sheetFormatPr defaultRowHeight="15" x14ac:dyDescent="0.25"/>
  <cols>
    <col min="6" max="6" width="16.7109375" bestFit="1" customWidth="1"/>
    <col min="8" max="9" width="15.28515625" customWidth="1"/>
  </cols>
  <sheetData>
    <row r="5" spans="5:11" x14ac:dyDescent="0.25">
      <c r="E5" s="78" t="s">
        <v>1314</v>
      </c>
      <c r="F5" s="79"/>
      <c r="G5" s="80" t="s">
        <v>749</v>
      </c>
      <c r="H5" s="81" t="s">
        <v>1315</v>
      </c>
      <c r="I5" s="82">
        <f>6.8/2.205*1000</f>
        <v>3083.9002267573696</v>
      </c>
    </row>
    <row r="6" spans="5:11" x14ac:dyDescent="0.25">
      <c r="E6" s="83"/>
      <c r="F6" s="84"/>
      <c r="G6" s="85"/>
      <c r="H6" s="86" t="s">
        <v>1316</v>
      </c>
      <c r="I6" s="87">
        <f>5.07435665376269/2.205*1000</f>
        <v>2301.2955345862542</v>
      </c>
    </row>
    <row r="7" spans="5:11" x14ac:dyDescent="0.25">
      <c r="E7" s="83"/>
      <c r="F7" s="84"/>
      <c r="G7" s="85"/>
      <c r="H7" s="88" t="s">
        <v>1317</v>
      </c>
      <c r="I7" s="87">
        <f>1.76/2.205*1000</f>
        <v>798.18594104308386</v>
      </c>
    </row>
    <row r="8" spans="5:11" x14ac:dyDescent="0.25">
      <c r="E8" s="83"/>
      <c r="F8" s="84"/>
      <c r="G8" s="89"/>
      <c r="H8" s="81" t="s">
        <v>1318</v>
      </c>
      <c r="I8" s="82">
        <v>392.145834585854</v>
      </c>
    </row>
    <row r="9" spans="5:11" x14ac:dyDescent="0.25">
      <c r="E9" s="83"/>
      <c r="F9" s="84"/>
      <c r="G9" s="80" t="s">
        <v>620</v>
      </c>
      <c r="H9" s="81" t="s">
        <v>1315</v>
      </c>
      <c r="I9" s="82">
        <f>2.3/2.205*1000</f>
        <v>1043.0839002267574</v>
      </c>
    </row>
    <row r="10" spans="5:11" x14ac:dyDescent="0.25">
      <c r="E10" s="83"/>
      <c r="F10" s="84"/>
      <c r="G10" s="85"/>
      <c r="H10" s="81" t="s">
        <v>1319</v>
      </c>
      <c r="I10" s="82">
        <f>2.459/2.205*1000</f>
        <v>1115.1927437641725</v>
      </c>
    </row>
    <row r="11" spans="5:11" x14ac:dyDescent="0.25">
      <c r="E11" s="83"/>
      <c r="F11" s="84"/>
      <c r="G11" s="85"/>
      <c r="H11" s="88" t="s">
        <v>1316</v>
      </c>
      <c r="I11" s="82">
        <f>1.69683066377212/2.205*10^3</f>
        <v>769.5377159964263</v>
      </c>
      <c r="J11" s="90" t="s">
        <v>1320</v>
      </c>
      <c r="K11" s="82">
        <f>AVERAGE(I9,I10,I12,I13)</f>
        <v>962.54585685165114</v>
      </c>
    </row>
    <row r="12" spans="5:11" x14ac:dyDescent="0.25">
      <c r="E12" s="91"/>
      <c r="F12" s="92"/>
      <c r="G12" s="89"/>
      <c r="H12" s="81" t="s">
        <v>1321</v>
      </c>
      <c r="I12" s="82">
        <f>1.59/2.205*1000</f>
        <v>721.08843537414964</v>
      </c>
    </row>
    <row r="13" spans="5:11" x14ac:dyDescent="0.25">
      <c r="H13" s="81" t="s">
        <v>1318</v>
      </c>
      <c r="I13" s="82">
        <f>1941636.69608305/2000</f>
        <v>970.81834804152504</v>
      </c>
    </row>
    <row r="16" spans="5:11" x14ac:dyDescent="0.25">
      <c r="F16" t="s">
        <v>1325</v>
      </c>
      <c r="G16" s="98">
        <f>'Storage Tanks sizing'!C134+'PV Sizing'!C85</f>
        <v>1924723.7879604269</v>
      </c>
      <c r="H16" t="s">
        <v>342</v>
      </c>
    </row>
    <row r="17" spans="6:8" x14ac:dyDescent="0.25">
      <c r="F17" t="s">
        <v>1326</v>
      </c>
      <c r="G17" s="98">
        <f>G16*K11</f>
        <v>1852634907.6851249</v>
      </c>
      <c r="H17" t="s">
        <v>1327</v>
      </c>
    </row>
    <row r="18" spans="6:8" x14ac:dyDescent="0.25">
      <c r="F18" t="s">
        <v>1328</v>
      </c>
      <c r="G18">
        <v>30</v>
      </c>
      <c r="H18" t="s">
        <v>1329</v>
      </c>
    </row>
    <row r="19" spans="6:8" x14ac:dyDescent="0.25">
      <c r="F19" t="s">
        <v>1330</v>
      </c>
      <c r="G19" s="98">
        <f>G17/G18</f>
        <v>61754496.922837496</v>
      </c>
      <c r="H19" t="s">
        <v>1331</v>
      </c>
    </row>
  </sheetData>
  <mergeCells count="1">
    <mergeCell ref="E5:F1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Flowsheet</vt:lpstr>
      <vt:lpstr>MOC</vt:lpstr>
      <vt:lpstr>Stream table</vt:lpstr>
      <vt:lpstr>Reactions</vt:lpstr>
      <vt:lpstr>Design requirements</vt:lpstr>
      <vt:lpstr>Sizing code</vt:lpstr>
      <vt:lpstr>Data</vt:lpstr>
      <vt:lpstr>PV Sizing</vt:lpstr>
      <vt:lpstr>Storage Tanks sizing</vt:lpstr>
      <vt:lpstr>Emmision factors</vt:lpstr>
      <vt:lpstr>KeyList</vt:lpstr>
      <vt:lpstr>'PV Sizing'!S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Wadgama, Hafi</cp:lastModifiedBy>
  <dcterms:created xsi:type="dcterms:W3CDTF">2025-10-13T11:26:10Z</dcterms:created>
  <dcterms:modified xsi:type="dcterms:W3CDTF">2025-10-29T20:08:36Z</dcterms:modified>
</cp:coreProperties>
</file>