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2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3" documentId="13_ncr:1_{C8FD74C0-7C67-4EEF-AFFB-E1F28C2C501F}" xr6:coauthVersionLast="47" xr6:coauthVersionMax="47" xr10:uidLastSave="{88200206-B74A-4852-910B-822B6E13AD2C}"/>
  <bookViews>
    <workbookView xWindow="-108" yWindow="-108" windowWidth="23256" windowHeight="13176" firstSheet="5" activeTab="5" xr2:uid="{00000000-000D-0000-FFFF-FFFF00000000}"/>
  </bookViews>
  <sheets>
    <sheet name="Sheet1" sheetId="1" r:id="rId1"/>
    <sheet name="Hoja1" sheetId="2" r:id="rId2"/>
    <sheet name="Hoja2" sheetId="3" r:id="rId3"/>
    <sheet name="Hoja3" sheetId="4" r:id="rId4"/>
    <sheet name="Hoja3 (2)" sheetId="6" r:id="rId5"/>
    <sheet name="Hoja3 (3)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0" i="7" l="1"/>
  <c r="D141" i="7"/>
  <c r="G141" i="7" s="1"/>
  <c r="D143" i="7"/>
  <c r="D144" i="7"/>
  <c r="G144" i="7" s="1"/>
  <c r="D142" i="7"/>
  <c r="G142" i="7" s="1"/>
  <c r="D116" i="7"/>
  <c r="G116" i="7" s="1"/>
  <c r="D117" i="7"/>
  <c r="G117" i="7" s="1"/>
  <c r="D118" i="7"/>
  <c r="G118" i="7" s="1"/>
  <c r="D119" i="7"/>
  <c r="G119" i="7" s="1"/>
  <c r="D120" i="7"/>
  <c r="G120" i="7" s="1"/>
  <c r="D94" i="7"/>
  <c r="G94" i="7" s="1"/>
  <c r="D95" i="7"/>
  <c r="G95" i="7" s="1"/>
  <c r="D96" i="7"/>
  <c r="G96" i="7" s="1"/>
  <c r="D97" i="7"/>
  <c r="G97" i="7" s="1"/>
  <c r="D98" i="7"/>
  <c r="G98" i="7" s="1"/>
  <c r="K153" i="7"/>
  <c r="B150" i="7"/>
  <c r="G143" i="7"/>
  <c r="M142" i="7"/>
  <c r="P142" i="7" s="1"/>
  <c r="M141" i="7"/>
  <c r="P141" i="7" s="1"/>
  <c r="M140" i="7"/>
  <c r="P140" i="7" s="1"/>
  <c r="G140" i="7"/>
  <c r="M139" i="7"/>
  <c r="P139" i="7" s="1"/>
  <c r="D139" i="7"/>
  <c r="G139" i="7" s="1"/>
  <c r="M138" i="7"/>
  <c r="P138" i="7" s="1"/>
  <c r="D138" i="7"/>
  <c r="G138" i="7" s="1"/>
  <c r="M137" i="7"/>
  <c r="P137" i="7" s="1"/>
  <c r="D137" i="7"/>
  <c r="G137" i="7" s="1"/>
  <c r="M136" i="7"/>
  <c r="P136" i="7" s="1"/>
  <c r="D136" i="7"/>
  <c r="G136" i="7" s="1"/>
  <c r="M135" i="7"/>
  <c r="P135" i="7" s="1"/>
  <c r="D135" i="7"/>
  <c r="G135" i="7" s="1"/>
  <c r="M134" i="7"/>
  <c r="P134" i="7" s="1"/>
  <c r="M133" i="7"/>
  <c r="P133" i="7" s="1"/>
  <c r="B126" i="7"/>
  <c r="K119" i="7"/>
  <c r="M115" i="7"/>
  <c r="P115" i="7" s="1"/>
  <c r="D115" i="7"/>
  <c r="G115" i="7" s="1"/>
  <c r="M114" i="7"/>
  <c r="P114" i="7" s="1"/>
  <c r="D114" i="7"/>
  <c r="G114" i="7" s="1"/>
  <c r="M113" i="7"/>
  <c r="P113" i="7" s="1"/>
  <c r="D113" i="7"/>
  <c r="G113" i="7" s="1"/>
  <c r="M112" i="7"/>
  <c r="P112" i="7" s="1"/>
  <c r="D112" i="7"/>
  <c r="G112" i="7" s="1"/>
  <c r="M111" i="7"/>
  <c r="P111" i="7" s="1"/>
  <c r="D111" i="7"/>
  <c r="G111" i="7" s="1"/>
  <c r="M110" i="7"/>
  <c r="P110" i="7" s="1"/>
  <c r="M109" i="7"/>
  <c r="P109" i="7" s="1"/>
  <c r="M108" i="7"/>
  <c r="P108" i="7" s="1"/>
  <c r="M107" i="7"/>
  <c r="P107" i="7" s="1"/>
  <c r="M106" i="7"/>
  <c r="P106" i="7" s="1"/>
  <c r="B101" i="7"/>
  <c r="D93" i="7"/>
  <c r="G93" i="7" s="1"/>
  <c r="K92" i="7"/>
  <c r="D92" i="7"/>
  <c r="G92" i="7" s="1"/>
  <c r="D91" i="7"/>
  <c r="G91" i="7" s="1"/>
  <c r="D90" i="7"/>
  <c r="G90" i="7" s="1"/>
  <c r="M89" i="7"/>
  <c r="P89" i="7" s="1"/>
  <c r="D89" i="7"/>
  <c r="G89" i="7" s="1"/>
  <c r="M88" i="7"/>
  <c r="P88" i="7" s="1"/>
  <c r="M87" i="7"/>
  <c r="P87" i="7" s="1"/>
  <c r="M86" i="7"/>
  <c r="P86" i="7" s="1"/>
  <c r="M85" i="7"/>
  <c r="P85" i="7" s="1"/>
  <c r="M84" i="7"/>
  <c r="P84" i="7" s="1"/>
  <c r="M83" i="7"/>
  <c r="P83" i="7" s="1"/>
  <c r="M82" i="7"/>
  <c r="P82" i="7" s="1"/>
  <c r="M81" i="7"/>
  <c r="P81" i="7" s="1"/>
  <c r="B81" i="7"/>
  <c r="M80" i="7"/>
  <c r="P80" i="7" s="1"/>
  <c r="B80" i="7"/>
  <c r="D78" i="7"/>
  <c r="G78" i="7" s="1"/>
  <c r="D77" i="7"/>
  <c r="G77" i="7" s="1"/>
  <c r="D76" i="7"/>
  <c r="G76" i="7" s="1"/>
  <c r="D75" i="7"/>
  <c r="G75" i="7" s="1"/>
  <c r="D74" i="7"/>
  <c r="G74" i="7" s="1"/>
  <c r="D73" i="7"/>
  <c r="G73" i="7" s="1"/>
  <c r="D72" i="7"/>
  <c r="G72" i="7" s="1"/>
  <c r="D71" i="7"/>
  <c r="G71" i="7" s="1"/>
  <c r="K70" i="7"/>
  <c r="D70" i="7"/>
  <c r="G70" i="7" s="1"/>
  <c r="K69" i="7"/>
  <c r="D69" i="7"/>
  <c r="G69" i="7" s="1"/>
  <c r="M65" i="7"/>
  <c r="P65" i="7" s="1"/>
  <c r="M64" i="7"/>
  <c r="P64" i="7" s="1"/>
  <c r="M63" i="7"/>
  <c r="P63" i="7" s="1"/>
  <c r="M62" i="7"/>
  <c r="P62" i="7" s="1"/>
  <c r="M61" i="7"/>
  <c r="P61" i="7" s="1"/>
  <c r="M60" i="7"/>
  <c r="P60" i="7" s="1"/>
  <c r="M59" i="7"/>
  <c r="P59" i="7" s="1"/>
  <c r="M58" i="7"/>
  <c r="P58" i="7" s="1"/>
  <c r="M57" i="7"/>
  <c r="P57" i="7" s="1"/>
  <c r="M56" i="7"/>
  <c r="P56" i="7" s="1"/>
  <c r="H52" i="7"/>
  <c r="H51" i="7"/>
  <c r="H50" i="7"/>
  <c r="H49" i="7"/>
  <c r="I42" i="7"/>
  <c r="I41" i="7"/>
  <c r="I40" i="7"/>
  <c r="I39" i="7"/>
  <c r="H27" i="7"/>
  <c r="I16" i="7" s="1"/>
  <c r="H26" i="7"/>
  <c r="I15" i="7" s="1"/>
  <c r="H25" i="7"/>
  <c r="I14" i="7" s="1"/>
  <c r="H24" i="7"/>
  <c r="I13" i="7" s="1"/>
  <c r="N23" i="7"/>
  <c r="N24" i="7" s="1"/>
  <c r="C23" i="7"/>
  <c r="C24" i="7" s="1"/>
  <c r="N21" i="7"/>
  <c r="N22" i="7" s="1"/>
  <c r="C21" i="7"/>
  <c r="C22" i="7" s="1"/>
  <c r="N19" i="7"/>
  <c r="N20" i="7" s="1"/>
  <c r="C19" i="7"/>
  <c r="C20" i="7" s="1"/>
  <c r="N14" i="7"/>
  <c r="C14" i="7"/>
  <c r="N12" i="7"/>
  <c r="N16" i="7" s="1"/>
  <c r="C12" i="7"/>
  <c r="C16" i="7" s="1"/>
  <c r="N11" i="7"/>
  <c r="N15" i="7" s="1"/>
  <c r="C11" i="7"/>
  <c r="C15" i="7" s="1"/>
  <c r="H52" i="6"/>
  <c r="I42" i="6" s="1"/>
  <c r="H51" i="6"/>
  <c r="I41" i="6" s="1"/>
  <c r="H50" i="6"/>
  <c r="I40" i="6" s="1"/>
  <c r="H49" i="6"/>
  <c r="I39" i="6" s="1"/>
  <c r="N23" i="6"/>
  <c r="N21" i="6"/>
  <c r="N19" i="6"/>
  <c r="N20" i="6" s="1"/>
  <c r="K119" i="6"/>
  <c r="K92" i="6"/>
  <c r="N12" i="6"/>
  <c r="N16" i="6" s="1"/>
  <c r="N11" i="6"/>
  <c r="N15" i="6" s="1"/>
  <c r="K70" i="6"/>
  <c r="K69" i="6"/>
  <c r="C23" i="6"/>
  <c r="C21" i="6"/>
  <c r="C19" i="6"/>
  <c r="C12" i="6"/>
  <c r="C16" i="6" s="1"/>
  <c r="C11" i="6"/>
  <c r="B81" i="6"/>
  <c r="B80" i="6"/>
  <c r="B150" i="6"/>
  <c r="B126" i="6"/>
  <c r="B101" i="6"/>
  <c r="K153" i="6"/>
  <c r="D144" i="6"/>
  <c r="G144" i="6" s="1"/>
  <c r="D143" i="6"/>
  <c r="G143" i="6" s="1"/>
  <c r="D142" i="6"/>
  <c r="G142" i="6" s="1"/>
  <c r="M142" i="6"/>
  <c r="P142" i="6" s="1"/>
  <c r="D141" i="6"/>
  <c r="G141" i="6" s="1"/>
  <c r="M141" i="6"/>
  <c r="P141" i="6" s="1"/>
  <c r="D140" i="6"/>
  <c r="G140" i="6" s="1"/>
  <c r="M140" i="6"/>
  <c r="P140" i="6" s="1"/>
  <c r="D139" i="6"/>
  <c r="G139" i="6" s="1"/>
  <c r="M139" i="6"/>
  <c r="P139" i="6" s="1"/>
  <c r="D138" i="6"/>
  <c r="G138" i="6" s="1"/>
  <c r="M138" i="6"/>
  <c r="P138" i="6" s="1"/>
  <c r="D137" i="6"/>
  <c r="G137" i="6" s="1"/>
  <c r="M137" i="6"/>
  <c r="P137" i="6" s="1"/>
  <c r="D136" i="6"/>
  <c r="G136" i="6" s="1"/>
  <c r="M136" i="6"/>
  <c r="P136" i="6" s="1"/>
  <c r="D135" i="6"/>
  <c r="G135" i="6" s="1"/>
  <c r="M135" i="6"/>
  <c r="P135" i="6" s="1"/>
  <c r="M134" i="6"/>
  <c r="P134" i="6" s="1"/>
  <c r="M133" i="6"/>
  <c r="P133" i="6" s="1"/>
  <c r="D120" i="6"/>
  <c r="G120" i="6" s="1"/>
  <c r="D119" i="6"/>
  <c r="G119" i="6" s="1"/>
  <c r="D118" i="6"/>
  <c r="G118" i="6" s="1"/>
  <c r="D117" i="6"/>
  <c r="G117" i="6" s="1"/>
  <c r="D116" i="6"/>
  <c r="G116" i="6" s="1"/>
  <c r="D115" i="6"/>
  <c r="G115" i="6" s="1"/>
  <c r="M115" i="6"/>
  <c r="P115" i="6" s="1"/>
  <c r="D114" i="6"/>
  <c r="G114" i="6" s="1"/>
  <c r="M114" i="6"/>
  <c r="P114" i="6" s="1"/>
  <c r="D113" i="6"/>
  <c r="G113" i="6" s="1"/>
  <c r="M113" i="6"/>
  <c r="P113" i="6" s="1"/>
  <c r="D112" i="6"/>
  <c r="G112" i="6" s="1"/>
  <c r="M112" i="6"/>
  <c r="P112" i="6" s="1"/>
  <c r="D111" i="6"/>
  <c r="G111" i="6" s="1"/>
  <c r="M111" i="6"/>
  <c r="P111" i="6" s="1"/>
  <c r="M110" i="6"/>
  <c r="P110" i="6" s="1"/>
  <c r="M109" i="6"/>
  <c r="P109" i="6" s="1"/>
  <c r="M108" i="6"/>
  <c r="P108" i="6" s="1"/>
  <c r="M107" i="6"/>
  <c r="P107" i="6" s="1"/>
  <c r="M106" i="6"/>
  <c r="P106" i="6" s="1"/>
  <c r="D98" i="6"/>
  <c r="G98" i="6" s="1"/>
  <c r="D97" i="6"/>
  <c r="G97" i="6" s="1"/>
  <c r="D96" i="6"/>
  <c r="G96" i="6" s="1"/>
  <c r="D95" i="6"/>
  <c r="G95" i="6" s="1"/>
  <c r="D94" i="6"/>
  <c r="G94" i="6" s="1"/>
  <c r="D93" i="6"/>
  <c r="G93" i="6" s="1"/>
  <c r="D92" i="6"/>
  <c r="G92" i="6" s="1"/>
  <c r="D91" i="6"/>
  <c r="G91" i="6" s="1"/>
  <c r="D90" i="6"/>
  <c r="G90" i="6" s="1"/>
  <c r="D89" i="6"/>
  <c r="G89" i="6" s="1"/>
  <c r="M89" i="6"/>
  <c r="P89" i="6" s="1"/>
  <c r="M88" i="6"/>
  <c r="P88" i="6" s="1"/>
  <c r="M87" i="6"/>
  <c r="P87" i="6" s="1"/>
  <c r="M86" i="6"/>
  <c r="P86" i="6" s="1"/>
  <c r="M85" i="6"/>
  <c r="P85" i="6" s="1"/>
  <c r="M84" i="6"/>
  <c r="P84" i="6" s="1"/>
  <c r="M83" i="6"/>
  <c r="P83" i="6" s="1"/>
  <c r="M82" i="6"/>
  <c r="P82" i="6" s="1"/>
  <c r="M81" i="6"/>
  <c r="P81" i="6" s="1"/>
  <c r="M80" i="6"/>
  <c r="P80" i="6" s="1"/>
  <c r="D78" i="6"/>
  <c r="G78" i="6" s="1"/>
  <c r="D77" i="6"/>
  <c r="G77" i="6" s="1"/>
  <c r="D76" i="6"/>
  <c r="G76" i="6" s="1"/>
  <c r="D75" i="6"/>
  <c r="G75" i="6" s="1"/>
  <c r="D74" i="6"/>
  <c r="G74" i="6" s="1"/>
  <c r="D73" i="6"/>
  <c r="G73" i="6" s="1"/>
  <c r="D72" i="6"/>
  <c r="G72" i="6" s="1"/>
  <c r="D71" i="6"/>
  <c r="G71" i="6" s="1"/>
  <c r="D70" i="6"/>
  <c r="G70" i="6" s="1"/>
  <c r="D69" i="6"/>
  <c r="G69" i="6" s="1"/>
  <c r="M65" i="6"/>
  <c r="P65" i="6" s="1"/>
  <c r="M64" i="6"/>
  <c r="P64" i="6" s="1"/>
  <c r="M63" i="6"/>
  <c r="P63" i="6" s="1"/>
  <c r="M62" i="6"/>
  <c r="P62" i="6" s="1"/>
  <c r="M61" i="6"/>
  <c r="P61" i="6" s="1"/>
  <c r="M60" i="6"/>
  <c r="P60" i="6" s="1"/>
  <c r="M59" i="6"/>
  <c r="P59" i="6" s="1"/>
  <c r="M58" i="6"/>
  <c r="P58" i="6" s="1"/>
  <c r="M57" i="6"/>
  <c r="P57" i="6" s="1"/>
  <c r="M56" i="6"/>
  <c r="P56" i="6" s="1"/>
  <c r="H27" i="6"/>
  <c r="I16" i="6" s="1"/>
  <c r="H26" i="6"/>
  <c r="I15" i="6" s="1"/>
  <c r="H25" i="6"/>
  <c r="I14" i="6" s="1"/>
  <c r="N24" i="6"/>
  <c r="H24" i="6"/>
  <c r="I13" i="6" s="1"/>
  <c r="C24" i="6"/>
  <c r="N22" i="6"/>
  <c r="C22" i="6"/>
  <c r="C52" i="6" s="1"/>
  <c r="C20" i="6"/>
  <c r="C49" i="6" s="1"/>
  <c r="C15" i="6"/>
  <c r="C46" i="6" s="1"/>
  <c r="N14" i="6"/>
  <c r="C14" i="6"/>
  <c r="H27" i="4"/>
  <c r="I16" i="4" s="1"/>
  <c r="H26" i="4"/>
  <c r="I15" i="4" s="1"/>
  <c r="C22" i="4"/>
  <c r="N22" i="4"/>
  <c r="N24" i="4"/>
  <c r="M142" i="4"/>
  <c r="P142" i="4" s="1"/>
  <c r="M141" i="4"/>
  <c r="P141" i="4" s="1"/>
  <c r="M140" i="4"/>
  <c r="P140" i="4" s="1"/>
  <c r="M139" i="4"/>
  <c r="P139" i="4" s="1"/>
  <c r="M138" i="4"/>
  <c r="P138" i="4" s="1"/>
  <c r="M137" i="4"/>
  <c r="P137" i="4" s="1"/>
  <c r="M136" i="4"/>
  <c r="P136" i="4" s="1"/>
  <c r="M135" i="4"/>
  <c r="P135" i="4" s="1"/>
  <c r="M134" i="4"/>
  <c r="P134" i="4" s="1"/>
  <c r="M133" i="4"/>
  <c r="P133" i="4" s="1"/>
  <c r="M115" i="4"/>
  <c r="P115" i="4" s="1"/>
  <c r="M114" i="4"/>
  <c r="P114" i="4" s="1"/>
  <c r="M113" i="4"/>
  <c r="P113" i="4" s="1"/>
  <c r="M112" i="4"/>
  <c r="P112" i="4" s="1"/>
  <c r="M111" i="4"/>
  <c r="P111" i="4" s="1"/>
  <c r="M110" i="4"/>
  <c r="P110" i="4" s="1"/>
  <c r="M109" i="4"/>
  <c r="P109" i="4" s="1"/>
  <c r="M108" i="4"/>
  <c r="P108" i="4" s="1"/>
  <c r="M107" i="4"/>
  <c r="P107" i="4" s="1"/>
  <c r="M106" i="4"/>
  <c r="P106" i="4" s="1"/>
  <c r="D145" i="4"/>
  <c r="G145" i="4" s="1"/>
  <c r="D144" i="4"/>
  <c r="G144" i="4" s="1"/>
  <c r="D143" i="4"/>
  <c r="G143" i="4" s="1"/>
  <c r="D142" i="4"/>
  <c r="G142" i="4" s="1"/>
  <c r="D141" i="4"/>
  <c r="G141" i="4" s="1"/>
  <c r="D140" i="4"/>
  <c r="G140" i="4" s="1"/>
  <c r="D139" i="4"/>
  <c r="G139" i="4" s="1"/>
  <c r="D138" i="4"/>
  <c r="G138" i="4" s="1"/>
  <c r="D137" i="4"/>
  <c r="G137" i="4" s="1"/>
  <c r="D136" i="4"/>
  <c r="G136" i="4" s="1"/>
  <c r="D121" i="4"/>
  <c r="G121" i="4" s="1"/>
  <c r="D120" i="4"/>
  <c r="G120" i="4" s="1"/>
  <c r="D119" i="4"/>
  <c r="G119" i="4" s="1"/>
  <c r="D118" i="4"/>
  <c r="G118" i="4" s="1"/>
  <c r="D117" i="4"/>
  <c r="G117" i="4" s="1"/>
  <c r="D116" i="4"/>
  <c r="G116" i="4" s="1"/>
  <c r="D115" i="4"/>
  <c r="G115" i="4" s="1"/>
  <c r="D114" i="4"/>
  <c r="G114" i="4" s="1"/>
  <c r="D113" i="4"/>
  <c r="G113" i="4" s="1"/>
  <c r="D112" i="4"/>
  <c r="G112" i="4" s="1"/>
  <c r="H25" i="4"/>
  <c r="I14" i="4" s="1"/>
  <c r="M89" i="4"/>
  <c r="P89" i="4" s="1"/>
  <c r="M88" i="4"/>
  <c r="P88" i="4" s="1"/>
  <c r="M87" i="4"/>
  <c r="P87" i="4" s="1"/>
  <c r="M86" i="4"/>
  <c r="P86" i="4" s="1"/>
  <c r="M85" i="4"/>
  <c r="P85" i="4" s="1"/>
  <c r="M84" i="4"/>
  <c r="P84" i="4" s="1"/>
  <c r="M83" i="4"/>
  <c r="P83" i="4" s="1"/>
  <c r="M82" i="4"/>
  <c r="P82" i="4" s="1"/>
  <c r="M81" i="4"/>
  <c r="P81" i="4" s="1"/>
  <c r="M80" i="4"/>
  <c r="P80" i="4" s="1"/>
  <c r="H24" i="4"/>
  <c r="I13" i="4" s="1"/>
  <c r="M65" i="4"/>
  <c r="P65" i="4" s="1"/>
  <c r="M64" i="4"/>
  <c r="P64" i="4" s="1"/>
  <c r="M63" i="4"/>
  <c r="P63" i="4" s="1"/>
  <c r="M62" i="4"/>
  <c r="P62" i="4" s="1"/>
  <c r="M61" i="4"/>
  <c r="P61" i="4" s="1"/>
  <c r="M60" i="4"/>
  <c r="P60" i="4" s="1"/>
  <c r="M59" i="4"/>
  <c r="P59" i="4" s="1"/>
  <c r="M58" i="4"/>
  <c r="P58" i="4" s="1"/>
  <c r="M57" i="4"/>
  <c r="P57" i="4" s="1"/>
  <c r="M56" i="4"/>
  <c r="P56" i="4" s="1"/>
  <c r="D99" i="4"/>
  <c r="G99" i="4" s="1"/>
  <c r="D98" i="4"/>
  <c r="G98" i="4" s="1"/>
  <c r="D97" i="4"/>
  <c r="G97" i="4" s="1"/>
  <c r="D96" i="4"/>
  <c r="G96" i="4" s="1"/>
  <c r="D95" i="4"/>
  <c r="G95" i="4" s="1"/>
  <c r="D94" i="4"/>
  <c r="G94" i="4" s="1"/>
  <c r="D93" i="4"/>
  <c r="G93" i="4" s="1"/>
  <c r="D92" i="4"/>
  <c r="G92" i="4" s="1"/>
  <c r="D91" i="4"/>
  <c r="G91" i="4" s="1"/>
  <c r="D90" i="4"/>
  <c r="G90" i="4" s="1"/>
  <c r="D78" i="4"/>
  <c r="G78" i="4" s="1"/>
  <c r="D77" i="4"/>
  <c r="G77" i="4" s="1"/>
  <c r="D76" i="4"/>
  <c r="G76" i="4" s="1"/>
  <c r="D75" i="4"/>
  <c r="G75" i="4" s="1"/>
  <c r="D74" i="4"/>
  <c r="G74" i="4" s="1"/>
  <c r="D73" i="4"/>
  <c r="G73" i="4" s="1"/>
  <c r="D72" i="4"/>
  <c r="G72" i="4" s="1"/>
  <c r="D71" i="4"/>
  <c r="G71" i="4" s="1"/>
  <c r="D70" i="4"/>
  <c r="G70" i="4" s="1"/>
  <c r="D69" i="4"/>
  <c r="G69" i="4" s="1"/>
  <c r="N20" i="4"/>
  <c r="N16" i="4"/>
  <c r="N15" i="4"/>
  <c r="F13" i="3"/>
  <c r="N14" i="4"/>
  <c r="C24" i="4"/>
  <c r="C20" i="4"/>
  <c r="C16" i="4"/>
  <c r="C15" i="4"/>
  <c r="C14" i="4"/>
  <c r="C12" i="3"/>
  <c r="C13" i="3"/>
  <c r="C159" i="3"/>
  <c r="G159" i="3" s="1"/>
  <c r="C158" i="3"/>
  <c r="G158" i="3" s="1"/>
  <c r="C157" i="3"/>
  <c r="G157" i="3" s="1"/>
  <c r="C156" i="3"/>
  <c r="G156" i="3" s="1"/>
  <c r="C155" i="3"/>
  <c r="G155" i="3" s="1"/>
  <c r="C154" i="3"/>
  <c r="G154" i="3" s="1"/>
  <c r="C153" i="3"/>
  <c r="G153" i="3" s="1"/>
  <c r="C152" i="3"/>
  <c r="G152" i="3" s="1"/>
  <c r="C151" i="3"/>
  <c r="G151" i="3" s="1"/>
  <c r="C150" i="3"/>
  <c r="G150" i="3" s="1"/>
  <c r="C128" i="3"/>
  <c r="G128" i="3" s="1"/>
  <c r="C127" i="3"/>
  <c r="G127" i="3" s="1"/>
  <c r="C126" i="3"/>
  <c r="G126" i="3" s="1"/>
  <c r="C125" i="3"/>
  <c r="G125" i="3" s="1"/>
  <c r="C124" i="3"/>
  <c r="G124" i="3" s="1"/>
  <c r="C123" i="3"/>
  <c r="G123" i="3" s="1"/>
  <c r="C122" i="3"/>
  <c r="G122" i="3" s="1"/>
  <c r="C121" i="3"/>
  <c r="G121" i="3" s="1"/>
  <c r="C120" i="3"/>
  <c r="G120" i="3" s="1"/>
  <c r="C119" i="3"/>
  <c r="G119" i="3" s="1"/>
  <c r="F130" i="3" s="1"/>
  <c r="F132" i="3" s="1"/>
  <c r="J93" i="3"/>
  <c r="N93" i="3" s="1"/>
  <c r="J92" i="3"/>
  <c r="N92" i="3" s="1"/>
  <c r="J91" i="3"/>
  <c r="N91" i="3" s="1"/>
  <c r="J90" i="3"/>
  <c r="N90" i="3" s="1"/>
  <c r="J89" i="3"/>
  <c r="N89" i="3" s="1"/>
  <c r="J88" i="3"/>
  <c r="N88" i="3" s="1"/>
  <c r="J87" i="3"/>
  <c r="N87" i="3" s="1"/>
  <c r="J86" i="3"/>
  <c r="N86" i="3" s="1"/>
  <c r="J85" i="3"/>
  <c r="N85" i="3" s="1"/>
  <c r="J84" i="3"/>
  <c r="N84" i="3" s="1"/>
  <c r="J63" i="3"/>
  <c r="N63" i="3" s="1"/>
  <c r="J62" i="3"/>
  <c r="N62" i="3" s="1"/>
  <c r="J61" i="3"/>
  <c r="N61" i="3" s="1"/>
  <c r="J60" i="3"/>
  <c r="N60" i="3" s="1"/>
  <c r="J59" i="3"/>
  <c r="N59" i="3" s="1"/>
  <c r="J58" i="3"/>
  <c r="N58" i="3" s="1"/>
  <c r="J57" i="3"/>
  <c r="N57" i="3" s="1"/>
  <c r="J56" i="3"/>
  <c r="N56" i="3" s="1"/>
  <c r="J55" i="3"/>
  <c r="N55" i="3" s="1"/>
  <c r="J54" i="3"/>
  <c r="N54" i="3" s="1"/>
  <c r="M67" i="3" s="1"/>
  <c r="M69" i="3" s="1"/>
  <c r="K51" i="3"/>
  <c r="H50" i="3"/>
  <c r="E41" i="3"/>
  <c r="D52" i="3" s="1"/>
  <c r="E40" i="3"/>
  <c r="E39" i="3"/>
  <c r="D53" i="3" s="1"/>
  <c r="E38" i="3"/>
  <c r="E37" i="3"/>
  <c r="E36" i="3"/>
  <c r="D50" i="3" s="1"/>
  <c r="E35" i="3"/>
  <c r="D51" i="3" s="1"/>
  <c r="E34" i="3"/>
  <c r="D49" i="3" s="1"/>
  <c r="C22" i="3"/>
  <c r="F20" i="3"/>
  <c r="C20" i="3"/>
  <c r="C23" i="3" s="1"/>
  <c r="F14" i="3"/>
  <c r="C14" i="3"/>
  <c r="C24" i="3"/>
  <c r="F12" i="3"/>
  <c r="F15" i="3" s="1"/>
  <c r="C127" i="2"/>
  <c r="G127" i="2" s="1"/>
  <c r="C128" i="2"/>
  <c r="G128" i="2" s="1"/>
  <c r="C126" i="2"/>
  <c r="C124" i="2"/>
  <c r="C125" i="2"/>
  <c r="C122" i="2"/>
  <c r="G122" i="2" s="1"/>
  <c r="C123" i="2"/>
  <c r="C121" i="2"/>
  <c r="C120" i="2"/>
  <c r="G120" i="2" s="1"/>
  <c r="C119" i="2"/>
  <c r="H50" i="2"/>
  <c r="C159" i="2"/>
  <c r="G159" i="2" s="1"/>
  <c r="C158" i="2"/>
  <c r="G158" i="2" s="1"/>
  <c r="C157" i="2"/>
  <c r="G157" i="2" s="1"/>
  <c r="C156" i="2"/>
  <c r="G156" i="2" s="1"/>
  <c r="C155" i="2"/>
  <c r="G155" i="2" s="1"/>
  <c r="C154" i="2"/>
  <c r="G154" i="2" s="1"/>
  <c r="C153" i="2"/>
  <c r="G153" i="2" s="1"/>
  <c r="C152" i="2"/>
  <c r="G152" i="2" s="1"/>
  <c r="C151" i="2"/>
  <c r="G151" i="2" s="1"/>
  <c r="C150" i="2"/>
  <c r="G150" i="2" s="1"/>
  <c r="G126" i="2"/>
  <c r="G125" i="2"/>
  <c r="G124" i="2"/>
  <c r="G123" i="2"/>
  <c r="G121" i="2"/>
  <c r="G119" i="2"/>
  <c r="J93" i="2"/>
  <c r="N93" i="2" s="1"/>
  <c r="J92" i="2"/>
  <c r="N92" i="2" s="1"/>
  <c r="J91" i="2"/>
  <c r="N91" i="2" s="1"/>
  <c r="J90" i="2"/>
  <c r="N90" i="2" s="1"/>
  <c r="J89" i="2"/>
  <c r="N89" i="2" s="1"/>
  <c r="J88" i="2"/>
  <c r="N88" i="2" s="1"/>
  <c r="J87" i="2"/>
  <c r="N87" i="2" s="1"/>
  <c r="J86" i="2"/>
  <c r="N86" i="2" s="1"/>
  <c r="J85" i="2"/>
  <c r="N85" i="2" s="1"/>
  <c r="J84" i="2"/>
  <c r="N84" i="2" s="1"/>
  <c r="J63" i="2"/>
  <c r="N63" i="2" s="1"/>
  <c r="J62" i="2"/>
  <c r="N62" i="2" s="1"/>
  <c r="J61" i="2"/>
  <c r="N61" i="2" s="1"/>
  <c r="J60" i="2"/>
  <c r="N60" i="2" s="1"/>
  <c r="J59" i="2"/>
  <c r="N59" i="2" s="1"/>
  <c r="J58" i="2"/>
  <c r="N58" i="2" s="1"/>
  <c r="J57" i="2"/>
  <c r="N57" i="2" s="1"/>
  <c r="J56" i="2"/>
  <c r="N56" i="2" s="1"/>
  <c r="J55" i="2"/>
  <c r="N55" i="2" s="1"/>
  <c r="J54" i="2"/>
  <c r="N54" i="2" s="1"/>
  <c r="K51" i="2"/>
  <c r="E41" i="2"/>
  <c r="D52" i="2" s="1"/>
  <c r="E40" i="2"/>
  <c r="E39" i="2"/>
  <c r="D53" i="2" s="1"/>
  <c r="E38" i="2"/>
  <c r="E37" i="2"/>
  <c r="E36" i="2"/>
  <c r="D50" i="2" s="1"/>
  <c r="E35" i="2"/>
  <c r="D51" i="2" s="1"/>
  <c r="E34" i="2"/>
  <c r="D49" i="2" s="1"/>
  <c r="C22" i="2"/>
  <c r="F20" i="2"/>
  <c r="C20" i="2"/>
  <c r="C23" i="2" s="1"/>
  <c r="F14" i="2"/>
  <c r="C14" i="2"/>
  <c r="F13" i="2"/>
  <c r="C13" i="2"/>
  <c r="C24" i="2" s="1"/>
  <c r="F12" i="2"/>
  <c r="C12" i="2"/>
  <c r="C15" i="3" l="1"/>
  <c r="C37" i="4"/>
  <c r="C34" i="4"/>
  <c r="C55" i="6"/>
  <c r="O144" i="7"/>
  <c r="O145" i="7" s="1"/>
  <c r="O146" i="7" s="1"/>
  <c r="O149" i="7" s="1"/>
  <c r="O117" i="7"/>
  <c r="O118" i="7" s="1"/>
  <c r="O119" i="7" s="1"/>
  <c r="O122" i="7" s="1"/>
  <c r="F122" i="7"/>
  <c r="F123" i="7" s="1"/>
  <c r="F125" i="7" s="1"/>
  <c r="F79" i="7"/>
  <c r="F80" i="7" s="1"/>
  <c r="F81" i="7" s="1"/>
  <c r="F84" i="7" s="1"/>
  <c r="C17" i="7"/>
  <c r="C18" i="7" s="1"/>
  <c r="C34" i="7"/>
  <c r="O91" i="7"/>
  <c r="O92" i="7" s="1"/>
  <c r="C52" i="7"/>
  <c r="C46" i="7"/>
  <c r="C28" i="7"/>
  <c r="N17" i="7"/>
  <c r="N18" i="7" s="1"/>
  <c r="C49" i="7"/>
  <c r="O67" i="7"/>
  <c r="O68" i="7" s="1"/>
  <c r="C55" i="7"/>
  <c r="C37" i="7"/>
  <c r="F100" i="7"/>
  <c r="F101" i="7" s="1"/>
  <c r="F146" i="7"/>
  <c r="F147" i="7" s="1"/>
  <c r="C31" i="7"/>
  <c r="C34" i="6"/>
  <c r="N17" i="6"/>
  <c r="N18" i="6" s="1"/>
  <c r="F146" i="6"/>
  <c r="F147" i="6" s="1"/>
  <c r="F149" i="6" s="1"/>
  <c r="F79" i="6"/>
  <c r="F80" i="6" s="1"/>
  <c r="F81" i="6" s="1"/>
  <c r="O91" i="6"/>
  <c r="O92" i="6" s="1"/>
  <c r="O117" i="6"/>
  <c r="O118" i="6" s="1"/>
  <c r="F148" i="6"/>
  <c r="O67" i="6"/>
  <c r="O68" i="6" s="1"/>
  <c r="F100" i="6"/>
  <c r="F101" i="6" s="1"/>
  <c r="F122" i="6"/>
  <c r="F123" i="6" s="1"/>
  <c r="O144" i="6"/>
  <c r="O145" i="6" s="1"/>
  <c r="C28" i="6"/>
  <c r="C17" i="6"/>
  <c r="C18" i="6" s="1"/>
  <c r="C37" i="6"/>
  <c r="C31" i="6"/>
  <c r="O144" i="4"/>
  <c r="O145" i="4" s="1"/>
  <c r="O117" i="4"/>
  <c r="O118" i="4" s="1"/>
  <c r="F147" i="4"/>
  <c r="F148" i="4" s="1"/>
  <c r="F123" i="4"/>
  <c r="F124" i="4" s="1"/>
  <c r="C28" i="4"/>
  <c r="O91" i="4"/>
  <c r="O92" i="4" s="1"/>
  <c r="O94" i="4" s="1"/>
  <c r="O67" i="4"/>
  <c r="O68" i="4" s="1"/>
  <c r="O70" i="4" s="1"/>
  <c r="F101" i="4"/>
  <c r="F102" i="4" s="1"/>
  <c r="C31" i="4"/>
  <c r="C17" i="4"/>
  <c r="C18" i="4" s="1"/>
  <c r="O69" i="4"/>
  <c r="O72" i="4" s="1"/>
  <c r="N17" i="4"/>
  <c r="N18" i="4" s="1"/>
  <c r="F80" i="4"/>
  <c r="F81" i="4" s="1"/>
  <c r="F83" i="4"/>
  <c r="F82" i="4"/>
  <c r="M73" i="3"/>
  <c r="M71" i="3"/>
  <c r="F136" i="3"/>
  <c r="B139" i="3" s="1"/>
  <c r="F134" i="3"/>
  <c r="I76" i="3"/>
  <c r="M96" i="3"/>
  <c r="M98" i="3" s="1"/>
  <c r="F163" i="3"/>
  <c r="F165" i="3" s="1"/>
  <c r="B140" i="3"/>
  <c r="F16" i="3"/>
  <c r="C50" i="3"/>
  <c r="F15" i="2"/>
  <c r="C50" i="2" s="1"/>
  <c r="F130" i="2"/>
  <c r="F132" i="2" s="1"/>
  <c r="F134" i="2" s="1"/>
  <c r="M67" i="2"/>
  <c r="M69" i="2" s="1"/>
  <c r="M73" i="2" s="1"/>
  <c r="F16" i="2"/>
  <c r="M96" i="2"/>
  <c r="M98" i="2" s="1"/>
  <c r="F163" i="2"/>
  <c r="F165" i="2" s="1"/>
  <c r="C15" i="2"/>
  <c r="I76" i="2" l="1"/>
  <c r="I77" i="2" s="1"/>
  <c r="C52" i="2" s="1"/>
  <c r="F151" i="6"/>
  <c r="F84" i="6"/>
  <c r="O147" i="7"/>
  <c r="O120" i="7"/>
  <c r="F124" i="7"/>
  <c r="C53" i="7" s="1"/>
  <c r="C54" i="7" s="1"/>
  <c r="H41" i="7" s="1"/>
  <c r="J41" i="7" s="1"/>
  <c r="K41" i="7" s="1"/>
  <c r="F82" i="7"/>
  <c r="F149" i="7"/>
  <c r="F148" i="7"/>
  <c r="F103" i="7"/>
  <c r="F102" i="7"/>
  <c r="O70" i="7"/>
  <c r="O69" i="7"/>
  <c r="O72" i="7" s="1"/>
  <c r="O93" i="7"/>
  <c r="O96" i="7" s="1"/>
  <c r="O94" i="7"/>
  <c r="F82" i="6"/>
  <c r="O70" i="6"/>
  <c r="O69" i="6"/>
  <c r="O94" i="6"/>
  <c r="O93" i="6"/>
  <c r="O96" i="6" s="1"/>
  <c r="O147" i="6"/>
  <c r="O146" i="6"/>
  <c r="F124" i="6"/>
  <c r="F125" i="6"/>
  <c r="F102" i="6"/>
  <c r="C50" i="6" s="1"/>
  <c r="C51" i="6" s="1"/>
  <c r="H40" i="6" s="1"/>
  <c r="J40" i="6" s="1"/>
  <c r="K40" i="6" s="1"/>
  <c r="F103" i="6"/>
  <c r="O120" i="6"/>
  <c r="O119" i="6"/>
  <c r="O122" i="6" s="1"/>
  <c r="O147" i="4"/>
  <c r="O146" i="4"/>
  <c r="O149" i="4" s="1"/>
  <c r="O120" i="4"/>
  <c r="O119" i="4"/>
  <c r="O122" i="4" s="1"/>
  <c r="F150" i="4"/>
  <c r="F149" i="4"/>
  <c r="F125" i="4"/>
  <c r="F126" i="4"/>
  <c r="C29" i="4"/>
  <c r="C30" i="4" s="1"/>
  <c r="F103" i="4"/>
  <c r="F104" i="4"/>
  <c r="F85" i="4"/>
  <c r="O93" i="4"/>
  <c r="O96" i="4" s="1"/>
  <c r="C49" i="3"/>
  <c r="C16" i="3"/>
  <c r="D30" i="3" s="1"/>
  <c r="I77" i="3"/>
  <c r="C52" i="3" s="1"/>
  <c r="M102" i="3"/>
  <c r="I105" i="3" s="1"/>
  <c r="M100" i="3"/>
  <c r="F169" i="3"/>
  <c r="B172" i="3" s="1"/>
  <c r="B173" i="3" s="1"/>
  <c r="C54" i="3" s="1"/>
  <c r="F167" i="3"/>
  <c r="F136" i="2"/>
  <c r="M71" i="2"/>
  <c r="F169" i="2"/>
  <c r="F167" i="2"/>
  <c r="C49" i="2"/>
  <c r="C16" i="2"/>
  <c r="D30" i="2" s="1"/>
  <c r="D31" i="2" s="1"/>
  <c r="C51" i="2" s="1"/>
  <c r="M102" i="2"/>
  <c r="I105" i="2" s="1"/>
  <c r="M100" i="2"/>
  <c r="B172" i="2" l="1"/>
  <c r="B139" i="2"/>
  <c r="B140" i="2" s="1"/>
  <c r="C35" i="4"/>
  <c r="F128" i="4"/>
  <c r="C38" i="4"/>
  <c r="F152" i="4"/>
  <c r="C53" i="6"/>
  <c r="C54" i="6" s="1"/>
  <c r="H41" i="6" s="1"/>
  <c r="J41" i="6" s="1"/>
  <c r="K41" i="6" s="1"/>
  <c r="O149" i="6"/>
  <c r="C56" i="6"/>
  <c r="C57" i="6" s="1"/>
  <c r="H42" i="6" s="1"/>
  <c r="J42" i="6" s="1"/>
  <c r="K42" i="6" s="1"/>
  <c r="O72" i="6"/>
  <c r="C47" i="6"/>
  <c r="C48" i="6" s="1"/>
  <c r="H39" i="6" s="1"/>
  <c r="J39" i="6" s="1"/>
  <c r="K39" i="6" s="1"/>
  <c r="C47" i="7"/>
  <c r="C48" i="7" s="1"/>
  <c r="H39" i="7" s="1"/>
  <c r="J39" i="7" s="1"/>
  <c r="K39" i="7" s="1"/>
  <c r="C35" i="7"/>
  <c r="F127" i="7"/>
  <c r="C29" i="7"/>
  <c r="C56" i="7"/>
  <c r="C57" i="7" s="1"/>
  <c r="H42" i="7" s="1"/>
  <c r="J42" i="7" s="1"/>
  <c r="K42" i="7" s="1"/>
  <c r="C38" i="7"/>
  <c r="C39" i="7" s="1"/>
  <c r="H16" i="7" s="1"/>
  <c r="F151" i="7"/>
  <c r="F105" i="7"/>
  <c r="C50" i="7"/>
  <c r="C51" i="7" s="1"/>
  <c r="H40" i="7" s="1"/>
  <c r="J40" i="7" s="1"/>
  <c r="K40" i="7" s="1"/>
  <c r="C32" i="7"/>
  <c r="C29" i="6"/>
  <c r="C30" i="6" s="1"/>
  <c r="H13" i="6" s="1"/>
  <c r="C32" i="6"/>
  <c r="C33" i="6" s="1"/>
  <c r="H14" i="6" s="1"/>
  <c r="F105" i="6"/>
  <c r="C38" i="6"/>
  <c r="C35" i="6"/>
  <c r="F127" i="6"/>
  <c r="H13" i="4"/>
  <c r="J13" i="4" s="1"/>
  <c r="K13" i="4" s="1"/>
  <c r="C32" i="4"/>
  <c r="F106" i="4"/>
  <c r="D31" i="3"/>
  <c r="C51" i="3" s="1"/>
  <c r="C25" i="3"/>
  <c r="C26" i="3" s="1"/>
  <c r="I106" i="3"/>
  <c r="C53" i="3" s="1"/>
  <c r="C27" i="3"/>
  <c r="C28" i="3" s="1"/>
  <c r="I106" i="2"/>
  <c r="C53" i="2" s="1"/>
  <c r="C27" i="2"/>
  <c r="C28" i="2" s="1"/>
  <c r="C33" i="7" l="1"/>
  <c r="H14" i="7" s="1"/>
  <c r="J14" i="7" s="1"/>
  <c r="K14" i="7" s="1"/>
  <c r="C30" i="7"/>
  <c r="H13" i="7" s="1"/>
  <c r="J13" i="7" s="1"/>
  <c r="K13" i="7" s="1"/>
  <c r="C36" i="7"/>
  <c r="H15" i="7" s="1"/>
  <c r="J15" i="7" s="1"/>
  <c r="K15" i="7" s="1"/>
  <c r="H16" i="4"/>
  <c r="J16" i="4" s="1"/>
  <c r="K16" i="4" s="1"/>
  <c r="C39" i="4"/>
  <c r="H15" i="4"/>
  <c r="J15" i="4" s="1"/>
  <c r="K15" i="4" s="1"/>
  <c r="C36" i="4"/>
  <c r="C25" i="2"/>
  <c r="C26" i="2" s="1"/>
  <c r="B173" i="2"/>
  <c r="C54" i="2" s="1"/>
  <c r="J16" i="7"/>
  <c r="K16" i="7" s="1"/>
  <c r="C39" i="6"/>
  <c r="H16" i="6"/>
  <c r="J16" i="6" s="1"/>
  <c r="K16" i="6" s="1"/>
  <c r="J14" i="6"/>
  <c r="K14" i="6" s="1"/>
  <c r="C36" i="6"/>
  <c r="H15" i="6"/>
  <c r="J15" i="6" s="1"/>
  <c r="K15" i="6" s="1"/>
  <c r="J13" i="6"/>
  <c r="K13" i="6" s="1"/>
  <c r="H14" i="4"/>
  <c r="J14" i="4" s="1"/>
  <c r="K14" i="4" s="1"/>
  <c r="C33" i="4"/>
  <c r="C128" i="1"/>
  <c r="G128" i="1" s="1"/>
  <c r="C159" i="1"/>
  <c r="G159" i="1" s="1"/>
  <c r="C158" i="1"/>
  <c r="G158" i="1" s="1"/>
  <c r="C157" i="1"/>
  <c r="G157" i="1" s="1"/>
  <c r="C156" i="1"/>
  <c r="G156" i="1" s="1"/>
  <c r="C155" i="1"/>
  <c r="G155" i="1" s="1"/>
  <c r="C154" i="1"/>
  <c r="G154" i="1" s="1"/>
  <c r="C153" i="1"/>
  <c r="G153" i="1" s="1"/>
  <c r="C152" i="1"/>
  <c r="G152" i="1" s="1"/>
  <c r="C151" i="1"/>
  <c r="G151" i="1" s="1"/>
  <c r="C150" i="1"/>
  <c r="G150" i="1" s="1"/>
  <c r="C127" i="1"/>
  <c r="G127" i="1" s="1"/>
  <c r="C126" i="1"/>
  <c r="G126" i="1" s="1"/>
  <c r="C125" i="1"/>
  <c r="G125" i="1" s="1"/>
  <c r="C124" i="1"/>
  <c r="G124" i="1" s="1"/>
  <c r="C123" i="1"/>
  <c r="C122" i="1"/>
  <c r="G122" i="1" s="1"/>
  <c r="C121" i="1"/>
  <c r="C120" i="1"/>
  <c r="G120" i="1" s="1"/>
  <c r="C119" i="1"/>
  <c r="G119" i="1" s="1"/>
  <c r="G123" i="1"/>
  <c r="G121" i="1"/>
  <c r="F13" i="1"/>
  <c r="J93" i="1"/>
  <c r="N93" i="1" s="1"/>
  <c r="J92" i="1"/>
  <c r="N92" i="1" s="1"/>
  <c r="J91" i="1"/>
  <c r="N91" i="1" s="1"/>
  <c r="J89" i="1"/>
  <c r="N89" i="1" s="1"/>
  <c r="J90" i="1"/>
  <c r="N90" i="1" s="1"/>
  <c r="J88" i="1"/>
  <c r="N88" i="1" s="1"/>
  <c r="J87" i="1"/>
  <c r="N87" i="1" s="1"/>
  <c r="J85" i="1"/>
  <c r="N85" i="1" s="1"/>
  <c r="J86" i="1"/>
  <c r="N86" i="1" s="1"/>
  <c r="J84" i="1"/>
  <c r="N84" i="1" s="1"/>
  <c r="J61" i="1"/>
  <c r="N61" i="1" s="1"/>
  <c r="E41" i="1"/>
  <c r="D52" i="1" s="1"/>
  <c r="J63" i="1"/>
  <c r="N63" i="1" s="1"/>
  <c r="J62" i="1"/>
  <c r="N62" i="1" s="1"/>
  <c r="J59" i="1"/>
  <c r="N59" i="1" s="1"/>
  <c r="J60" i="1"/>
  <c r="N60" i="1" s="1"/>
  <c r="J58" i="1"/>
  <c r="N58" i="1" s="1"/>
  <c r="J56" i="1"/>
  <c r="N56" i="1" s="1"/>
  <c r="J57" i="1"/>
  <c r="N57" i="1" s="1"/>
  <c r="J55" i="1"/>
  <c r="N55" i="1" s="1"/>
  <c r="J54" i="1"/>
  <c r="N54" i="1" s="1"/>
  <c r="F20" i="1"/>
  <c r="C20" i="1"/>
  <c r="C23" i="1" s="1"/>
  <c r="E40" i="1"/>
  <c r="E39" i="1"/>
  <c r="D53" i="1" s="1"/>
  <c r="E38" i="1"/>
  <c r="E37" i="1"/>
  <c r="E35" i="1"/>
  <c r="D51" i="1" s="1"/>
  <c r="C22" i="1"/>
  <c r="C12" i="1"/>
  <c r="C13" i="1"/>
  <c r="C24" i="1" s="1"/>
  <c r="C14" i="1"/>
  <c r="K51" i="1"/>
  <c r="E36" i="1"/>
  <c r="D50" i="1" s="1"/>
  <c r="E34" i="1"/>
  <c r="D49" i="1" s="1"/>
  <c r="F14" i="1"/>
  <c r="F12" i="1"/>
  <c r="F130" i="1" l="1"/>
  <c r="F163" i="1"/>
  <c r="F165" i="1" s="1"/>
  <c r="F167" i="1" s="1"/>
  <c r="F132" i="1"/>
  <c r="M96" i="1"/>
  <c r="M98" i="1" s="1"/>
  <c r="C15" i="1"/>
  <c r="C16" i="1" s="1"/>
  <c r="M67" i="1"/>
  <c r="M69" i="1" s="1"/>
  <c r="F15" i="1"/>
  <c r="F169" i="1" l="1"/>
  <c r="F136" i="1"/>
  <c r="F134" i="1"/>
  <c r="C49" i="1"/>
  <c r="M102" i="1"/>
  <c r="M100" i="1"/>
  <c r="M73" i="1"/>
  <c r="M71" i="1"/>
  <c r="F16" i="1"/>
  <c r="D30" i="1" s="1"/>
  <c r="D31" i="1" s="1"/>
  <c r="C51" i="1" s="1"/>
  <c r="C50" i="1"/>
  <c r="I76" i="1" l="1"/>
  <c r="I77" i="1" s="1"/>
  <c r="C52" i="1" s="1"/>
  <c r="I105" i="1"/>
  <c r="I106" i="1" s="1"/>
  <c r="C53" i="1" s="1"/>
  <c r="B172" i="1"/>
  <c r="B173" i="1" s="1"/>
  <c r="B139" i="1"/>
  <c r="B140" i="1" s="1"/>
</calcChain>
</file>

<file path=xl/sharedStrings.xml><?xml version="1.0" encoding="utf-8"?>
<sst xmlns="http://schemas.openxmlformats.org/spreadsheetml/2006/main" count="1990" uniqueCount="245">
  <si>
    <t>Fecha</t>
  </si>
  <si>
    <t>Equipo Local</t>
  </si>
  <si>
    <t>Equipo Visitante</t>
  </si>
  <si>
    <t>Real Madrid</t>
  </si>
  <si>
    <t>RB Salzburg</t>
  </si>
  <si>
    <t>filtrar solamente todos los partidos en casa</t>
  </si>
  <si>
    <t>filtrar solo los partidos fuera o visitante</t>
  </si>
  <si>
    <t>QUIERO HACER ESTO CON PYTHON</t>
  </si>
  <si>
    <t>Datos del equipo en 10 ultimos encuentros en casa</t>
  </si>
  <si>
    <t>Datos</t>
  </si>
  <si>
    <t>Datos del equipo en 10 ultimos encuentros fuera de casa</t>
  </si>
  <si>
    <t>n° de juegos</t>
  </si>
  <si>
    <t>n° de goles a favor en casa</t>
  </si>
  <si>
    <t>n° de goles fuera de casa</t>
  </si>
  <si>
    <t>su casa</t>
  </si>
  <si>
    <t>RED BULL ARENA (salzburgo)</t>
  </si>
  <si>
    <t>n° goles en contra en casa</t>
  </si>
  <si>
    <t>Ganados</t>
  </si>
  <si>
    <t>Rendimiento reciente en casa</t>
  </si>
  <si>
    <t>%</t>
  </si>
  <si>
    <t>Rendimiento reciente fuera de casa</t>
  </si>
  <si>
    <t>Promedio Goles en casa</t>
  </si>
  <si>
    <t>Promedio Goles fuera de casa</t>
  </si>
  <si>
    <t>Promedio Goles en contra</t>
  </si>
  <si>
    <t>Promedio Goles en contra de casa</t>
  </si>
  <si>
    <t>Probabilidad de victoria local</t>
  </si>
  <si>
    <t>Probabilidad de victoria visitante</t>
  </si>
  <si>
    <t>Probabilidad de victoria local decimal</t>
  </si>
  <si>
    <t>Probabilidad de victoria visitante decimal</t>
  </si>
  <si>
    <t>xG (Goles Esperados)</t>
  </si>
  <si>
    <t>41,0</t>
  </si>
  <si>
    <t>y sobre todo ver esto…</t>
  </si>
  <si>
    <t>19,6</t>
  </si>
  <si>
    <t>xA(Asistencias Esperadas)</t>
  </si>
  <si>
    <t>19,9</t>
  </si>
  <si>
    <t>37,4</t>
  </si>
  <si>
    <t>Córners Local</t>
  </si>
  <si>
    <t>Córners Visitante</t>
  </si>
  <si>
    <t>Promedio de corner en casa</t>
  </si>
  <si>
    <t>Promedio de corners fuera de casa</t>
  </si>
  <si>
    <t xml:space="preserve">falta </t>
  </si>
  <si>
    <t>promedio de falta en casa</t>
  </si>
  <si>
    <t>Promedio combinado de corners</t>
  </si>
  <si>
    <t>Promedio Cornest Total</t>
  </si>
  <si>
    <t>Promedio combinado de goles</t>
  </si>
  <si>
    <t>Probabilidad de empate</t>
  </si>
  <si>
    <t>Porcentaje del empate</t>
  </si>
  <si>
    <t>Cuota de victoria en casa</t>
  </si>
  <si>
    <t>Probabilidad Implicita de las cuota</t>
  </si>
  <si>
    <t>Cuota para el empate</t>
  </si>
  <si>
    <t>Cuota de victoria visitante</t>
  </si>
  <si>
    <t>Cuota de corners</t>
  </si>
  <si>
    <t>FALTAS</t>
  </si>
  <si>
    <t>Cuota de remate totales</t>
  </si>
  <si>
    <t>Cuota de total de goles</t>
  </si>
  <si>
    <t xml:space="preserve">rm </t>
  </si>
  <si>
    <t>las palmas</t>
  </si>
  <si>
    <t>casa</t>
  </si>
  <si>
    <t>Cuotas de tarjetas</t>
  </si>
  <si>
    <t>celta</t>
  </si>
  <si>
    <t>Promedio de corners totales</t>
  </si>
  <si>
    <t>barcelona</t>
  </si>
  <si>
    <t>sevilla</t>
  </si>
  <si>
    <t>getafe</t>
  </si>
  <si>
    <t>osasuna</t>
  </si>
  <si>
    <t>milan</t>
  </si>
  <si>
    <t>¿Cuál es la probabilidad implícita vs. la real según tus cálculos?</t>
  </si>
  <si>
    <t>dortmund</t>
  </si>
  <si>
    <t xml:space="preserve">Real </t>
  </si>
  <si>
    <t>Implicita</t>
  </si>
  <si>
    <t>villareal</t>
  </si>
  <si>
    <t>Probabilidad de victoria en casa</t>
  </si>
  <si>
    <t>Probabilidad de corners local</t>
  </si>
  <si>
    <t>CORNERS</t>
  </si>
  <si>
    <t>Media</t>
  </si>
  <si>
    <t>Desviaciones de cada valor</t>
  </si>
  <si>
    <t>Probabilidad de total de goles</t>
  </si>
  <si>
    <t>Suma de las variaciones cuadradas</t>
  </si>
  <si>
    <t>La varianza</t>
  </si>
  <si>
    <r>
      <t xml:space="preserve">Al restar este valor de </t>
    </r>
    <r>
      <rPr>
        <sz val="10"/>
        <color theme="1"/>
        <rFont val="Arial Unicode MS"/>
      </rPr>
      <t>1</t>
    </r>
    <r>
      <rPr>
        <sz val="11"/>
        <color theme="1"/>
        <rFont val="Calibri"/>
        <family val="2"/>
        <scheme val="minor"/>
      </rPr>
      <t xml:space="preserve">, estás obteniendo la probabilidad de que los corners sean </t>
    </r>
    <r>
      <rPr>
        <b/>
        <sz val="11"/>
        <color theme="1"/>
        <rFont val="Calibri"/>
        <family val="2"/>
        <scheme val="minor"/>
      </rPr>
      <t>mayores</t>
    </r>
    <r>
      <rPr>
        <sz val="11"/>
        <color theme="1"/>
        <rFont val="Calibri"/>
        <family val="2"/>
        <scheme val="minor"/>
      </rPr>
      <t xml:space="preserve"> a 10.5.</t>
    </r>
  </si>
  <si>
    <t>Raiz de la varianza</t>
  </si>
  <si>
    <t>Desviacion estandar aprox</t>
  </si>
  <si>
    <t>Aquí esta el 10.5 corners</t>
  </si>
  <si>
    <t>DECIMAL</t>
  </si>
  <si>
    <t>probabildad que sean mayores de 10.5 corners totales</t>
  </si>
  <si>
    <t>GOLES</t>
  </si>
  <si>
    <r>
      <t xml:space="preserve">Al restar este valor de </t>
    </r>
    <r>
      <rPr>
        <sz val="10"/>
        <color theme="1"/>
        <rFont val="Arial Unicode MS"/>
      </rPr>
      <t>1</t>
    </r>
    <r>
      <rPr>
        <sz val="11"/>
        <color theme="1"/>
        <rFont val="Calibri"/>
        <family val="2"/>
        <scheme val="minor"/>
      </rPr>
      <t>, estás obteniendo la probabilidad de que los goles sean mayores a 2.5</t>
    </r>
  </si>
  <si>
    <t>Aquí esta el 2.5</t>
  </si>
  <si>
    <t>probabildad que sean mayores de 2.5 goles</t>
  </si>
  <si>
    <t>QUEREMOS FUERA DE CASA</t>
  </si>
  <si>
    <t>Midtjyllland</t>
  </si>
  <si>
    <t>fuera de casa</t>
  </si>
  <si>
    <t>Hartberg</t>
  </si>
  <si>
    <t>Leverkusen</t>
  </si>
  <si>
    <t>BW Linz</t>
  </si>
  <si>
    <t>Feyenoord</t>
  </si>
  <si>
    <t>WAC</t>
  </si>
  <si>
    <t>sturm</t>
  </si>
  <si>
    <t>Tirol</t>
  </si>
  <si>
    <t xml:space="preserve">Sparta Praha </t>
  </si>
  <si>
    <t>Rapid</t>
  </si>
  <si>
    <t>Rhein-Neckar-Arena</t>
  </si>
  <si>
    <t>hoffenheim</t>
  </si>
  <si>
    <t xml:space="preserve"> tottenham</t>
  </si>
  <si>
    <t xml:space="preserve">Prezero Arena </t>
  </si>
  <si>
    <t>Promedio Goles a favor fuera de casa</t>
  </si>
  <si>
    <t>Desviacion estandar combinada de corners</t>
  </si>
  <si>
    <t>superar 9.5 corners</t>
  </si>
  <si>
    <t>Desviacion estandar combinada de goles</t>
  </si>
  <si>
    <t>mas de 6 corners</t>
  </si>
  <si>
    <t>superar 1.5 goles</t>
  </si>
  <si>
    <t>mas de 0.5 goles</t>
  </si>
  <si>
    <t>Wolsburg</t>
  </si>
  <si>
    <t>M'gladbach</t>
  </si>
  <si>
    <t>FCSB</t>
  </si>
  <si>
    <t>Freiburg</t>
  </si>
  <si>
    <t>Leipizig</t>
  </si>
  <si>
    <t>Lyon</t>
  </si>
  <si>
    <t>St.Pauli</t>
  </si>
  <si>
    <t>Numberg</t>
  </si>
  <si>
    <t>Bockum</t>
  </si>
  <si>
    <t>Dynamo Kyiv</t>
  </si>
  <si>
    <t>Probabilidad de corners visitante</t>
  </si>
  <si>
    <t>mientras no sea este estadio check</t>
  </si>
  <si>
    <t>Tottenham Hotspur Stadium</t>
  </si>
  <si>
    <t>Everton</t>
  </si>
  <si>
    <t>Arsenal</t>
  </si>
  <si>
    <t>Tamworth</t>
  </si>
  <si>
    <t>Forest</t>
  </si>
  <si>
    <t>Southampton</t>
  </si>
  <si>
    <t>Rangers</t>
  </si>
  <si>
    <t>Bournemouth</t>
  </si>
  <si>
    <t>Man City</t>
  </si>
  <si>
    <t>Galatasaray</t>
  </si>
  <si>
    <t>Crystak Palace</t>
  </si>
  <si>
    <t>Mercados principales</t>
  </si>
  <si>
    <t xml:space="preserve">superar 2.5 goles </t>
  </si>
  <si>
    <t>Local</t>
  </si>
  <si>
    <t>Visitante</t>
  </si>
  <si>
    <t>Tabla de Probabilidades reales</t>
  </si>
  <si>
    <t>N° de juegos</t>
  </si>
  <si>
    <t xml:space="preserve">N° de goles a favor </t>
  </si>
  <si>
    <t>N° de goles a favor</t>
  </si>
  <si>
    <t>N° de goles en contra</t>
  </si>
  <si>
    <t>Partido</t>
  </si>
  <si>
    <t>Mercado</t>
  </si>
  <si>
    <t>Probabilidad real (%)</t>
  </si>
  <si>
    <t>Probabilidad Implicita (%)</t>
  </si>
  <si>
    <t>Diferencia (%)</t>
  </si>
  <si>
    <t>Valor</t>
  </si>
  <si>
    <t xml:space="preserve">N° de goles en contra </t>
  </si>
  <si>
    <t>Hoffenheim vs Tottenham</t>
  </si>
  <si>
    <t>Más de 2.5 Goles</t>
  </si>
  <si>
    <t>Rendimiento reciente (%)</t>
  </si>
  <si>
    <t>Más de 10.5 Córners</t>
  </si>
  <si>
    <t xml:space="preserve">Rendimiento reciente </t>
  </si>
  <si>
    <t xml:space="preserve">Promedio de goles a favor </t>
  </si>
  <si>
    <t>Mas de 24.5 remates totales</t>
  </si>
  <si>
    <t>Promedio de goles a favor</t>
  </si>
  <si>
    <t xml:space="preserve">Promedio de goles en contra </t>
  </si>
  <si>
    <t>Más de 3.5 total de tarjetas</t>
  </si>
  <si>
    <t>Promedio de goles en contra</t>
  </si>
  <si>
    <t>Probabilidad de victoria (%)</t>
  </si>
  <si>
    <t xml:space="preserve">Probabilidad de victoria </t>
  </si>
  <si>
    <t>Probabilidad de victoria decimal</t>
  </si>
  <si>
    <t xml:space="preserve">Corners </t>
  </si>
  <si>
    <t xml:space="preserve">Promedio de corners </t>
  </si>
  <si>
    <t>Promedio de corners</t>
  </si>
  <si>
    <t xml:space="preserve">Remates </t>
  </si>
  <si>
    <t>Betano</t>
  </si>
  <si>
    <t>Remates</t>
  </si>
  <si>
    <t>Promedio de remates</t>
  </si>
  <si>
    <t>tarjetas</t>
  </si>
  <si>
    <t>Cuota</t>
  </si>
  <si>
    <t>Porcentaje (%)</t>
  </si>
  <si>
    <t>Promedio de tarjetas</t>
  </si>
  <si>
    <t>Más de 2.5</t>
  </si>
  <si>
    <t xml:space="preserve">Formulas </t>
  </si>
  <si>
    <t>Más de 2.5 goles (%)</t>
  </si>
  <si>
    <t>Más de 10.5 corners (extra)</t>
  </si>
  <si>
    <t>Promedio combinado de remates</t>
  </si>
  <si>
    <t>Desviacion estandar combinada de remates</t>
  </si>
  <si>
    <t>Promedio Combinado de tarjetas</t>
  </si>
  <si>
    <t>Desviacion estadnar combinada de tarjetas</t>
  </si>
  <si>
    <t>Mas de 3.5 total de tarjetas</t>
  </si>
  <si>
    <t>Equipo 1</t>
  </si>
  <si>
    <t>Equipo 2</t>
  </si>
  <si>
    <t>La Varianza</t>
  </si>
  <si>
    <t>Distribucion normal</t>
  </si>
  <si>
    <t>corners</t>
  </si>
  <si>
    <t>Corners</t>
  </si>
  <si>
    <t>tarjetas Amarillas y rojas</t>
  </si>
  <si>
    <t>1 roja en Galatasaray</t>
  </si>
  <si>
    <t>Volkswagen-Arena</t>
  </si>
  <si>
    <t>estoy por ver eso</t>
  </si>
  <si>
    <t>wolsburg</t>
  </si>
  <si>
    <t>Kiel</t>
  </si>
  <si>
    <t>Formulas, si es mayor</t>
  </si>
  <si>
    <t>Menos de 2.5 goles</t>
  </si>
  <si>
    <t>Menos de 10.5 corners (extra)</t>
  </si>
  <si>
    <t>Menos de 24.5 remates totales</t>
  </si>
  <si>
    <t>Menos de 3.5 total de tarjetas</t>
  </si>
  <si>
    <t>Formula si es menor</t>
  </si>
  <si>
    <t>Menos de 2.5 goles (%)</t>
  </si>
  <si>
    <t>Menos : Holsein stadion</t>
  </si>
  <si>
    <t>st. Pauli</t>
  </si>
  <si>
    <t>Bremen</t>
  </si>
  <si>
    <t>Koln</t>
  </si>
  <si>
    <t>Stuttgart</t>
  </si>
  <si>
    <t>Lerverkusen</t>
  </si>
  <si>
    <t>Hoffenheim</t>
  </si>
  <si>
    <t>Aachen</t>
  </si>
  <si>
    <t>a favor</t>
  </si>
  <si>
    <t>Dortmund</t>
  </si>
  <si>
    <t>en contra</t>
  </si>
  <si>
    <t>Mainz 05</t>
  </si>
  <si>
    <t>Union Berlin</t>
  </si>
  <si>
    <t>Augsburg</t>
  </si>
  <si>
    <t>Frankfurt</t>
  </si>
  <si>
    <t>remates</t>
  </si>
  <si>
    <t>roja para casa</t>
  </si>
  <si>
    <t>roja para visitante</t>
  </si>
  <si>
    <t>N° tarjetas</t>
  </si>
  <si>
    <t>Tarjetas</t>
  </si>
  <si>
    <t>Brest</t>
  </si>
  <si>
    <t>Real madrid</t>
  </si>
  <si>
    <t>rm</t>
  </si>
  <si>
    <t>Real Valladolid</t>
  </si>
  <si>
    <t>Mallorca</t>
  </si>
  <si>
    <t>Minera</t>
  </si>
  <si>
    <t>Valencia</t>
  </si>
  <si>
    <t>Pachuca</t>
  </si>
  <si>
    <t>Rayo Vallecano</t>
  </si>
  <si>
    <t>Atalanta</t>
  </si>
  <si>
    <t>Girona</t>
  </si>
  <si>
    <t>Athletic club</t>
  </si>
  <si>
    <t>Nantes</t>
  </si>
  <si>
    <t>Strasbourg</t>
  </si>
  <si>
    <t>Nice</t>
  </si>
  <si>
    <t>Rennes</t>
  </si>
  <si>
    <t>Le havre</t>
  </si>
  <si>
    <t>Toulouse</t>
  </si>
  <si>
    <t>Saint</t>
  </si>
  <si>
    <t>Marseille</t>
  </si>
  <si>
    <t>Reims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</si>
</sst>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 Unicode MS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10" fontId="0" fillId="0" borderId="0" xfId="0" applyNumberFormat="1"/>
    <xf numFmtId="0" fontId="4" fillId="4" borderId="1" xfId="0" applyFont="1" applyFill="1" applyBorder="1" applyAlignment="1">
      <alignment horizontal="center" vertical="top"/>
    </xf>
    <xf numFmtId="0" fontId="0" fillId="3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14" fontId="0" fillId="5" borderId="2" xfId="0" applyNumberFormat="1" applyFill="1" applyBorder="1" applyAlignment="1">
      <alignment horizontal="center"/>
    </xf>
    <xf numFmtId="2" fontId="0" fillId="0" borderId="0" xfId="0" applyNumberFormat="1"/>
    <xf numFmtId="2" fontId="5" fillId="0" borderId="0" xfId="0" applyNumberFormat="1" applyFont="1"/>
    <xf numFmtId="2" fontId="0" fillId="6" borderId="0" xfId="0" applyNumberFormat="1" applyFill="1"/>
    <xf numFmtId="1" fontId="0" fillId="0" borderId="0" xfId="0" applyNumberFormat="1"/>
    <xf numFmtId="0" fontId="0" fillId="7" borderId="0" xfId="0" applyFill="1"/>
    <xf numFmtId="0" fontId="5" fillId="6" borderId="0" xfId="0" applyFont="1" applyFill="1"/>
    <xf numFmtId="0" fontId="0" fillId="6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0" fillId="8" borderId="0" xfId="0" applyFill="1"/>
    <xf numFmtId="0" fontId="0" fillId="9" borderId="0" xfId="0" applyFill="1"/>
    <xf numFmtId="2" fontId="0" fillId="9" borderId="0" xfId="0" applyNumberFormat="1" applyFill="1"/>
    <xf numFmtId="0" fontId="0" fillId="10" borderId="0" xfId="0" applyFill="1"/>
    <xf numFmtId="2" fontId="0" fillId="10" borderId="0" xfId="0" applyNumberFormat="1" applyFill="1"/>
    <xf numFmtId="0" fontId="0" fillId="3" borderId="0" xfId="0" applyFill="1"/>
    <xf numFmtId="2" fontId="0" fillId="3" borderId="0" xfId="0" applyNumberFormat="1" applyFill="1"/>
    <xf numFmtId="2" fontId="0" fillId="8" borderId="0" xfId="0" applyNumberFormat="1" applyFill="1"/>
    <xf numFmtId="0" fontId="0" fillId="2" borderId="0" xfId="0" applyFill="1" applyAlignment="1">
      <alignment horizontal="center"/>
    </xf>
    <xf numFmtId="0" fontId="0" fillId="6" borderId="0" xfId="0" applyFont="1" applyFill="1" applyAlignment="1">
      <alignment horizontal="center"/>
    </xf>
  </cellXfs>
  <cellStyles count="1">
    <cellStyle name="Normal" xfId="0" builtinId="0"/>
  </cellStyles>
  <dxfs count="223"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000000"/>
          <bgColor rgb="FF92CDDC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numFmt numFmtId="2" formatCode="0.0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</xdr:row>
      <xdr:rowOff>0</xdr:rowOff>
    </xdr:from>
    <xdr:to>
      <xdr:col>11</xdr:col>
      <xdr:colOff>33131</xdr:colOff>
      <xdr:row>27</xdr:row>
      <xdr:rowOff>8564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CBD8FD-9A56-78C6-FF16-DA4CD369E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67174" y="911087"/>
          <a:ext cx="7007087" cy="40173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1476376</xdr:colOff>
      <xdr:row>1</xdr:row>
      <xdr:rowOff>95250</xdr:rowOff>
    </xdr:from>
    <xdr:to>
      <xdr:col>8</xdr:col>
      <xdr:colOff>419101</xdr:colOff>
      <xdr:row>6</xdr:row>
      <xdr:rowOff>88918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7838E6-0C80-99B7-024E-EF7A33E0D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44151" y="276225"/>
          <a:ext cx="4572000" cy="89854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6C1AE8-168B-4776-BA12-831277A492D6}" name="Tabla4" displayName="Tabla4" ref="E7:F24" totalsRowShown="0" headerRowDxfId="222">
  <autoFilter ref="E7:F24" xr:uid="{E26C1AE8-168B-4776-BA12-831277A492D6}"/>
  <tableColumns count="2">
    <tableColumn id="1" xr3:uid="{AC3DD240-EDD6-4B87-A2BE-B562EDF3035B}" name="Datos del equipo en 10 ultimos encuentros fuera de casa"/>
    <tableColumn id="2" xr3:uid="{5F110CA2-69F3-49B1-ACF5-1ACB6344DB8F}" name="Dato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1852F7-D3D9-442C-8294-8D66F347F18F}" name="Tabla3" displayName="Tabla3" ref="B7:C24" totalsRowShown="0" headerRowDxfId="221">
  <autoFilter ref="B7:C24" xr:uid="{BB1852F7-D3D9-442C-8294-8D66F347F18F}"/>
  <tableColumns count="2">
    <tableColumn id="1" xr3:uid="{2CF5ADE9-AF4C-44B5-9682-124565023905}" name="Datos del equipo en 10 ultimos encuentros en casa"/>
    <tableColumn id="2" xr3:uid="{EE2755EE-BD73-47FD-8EDF-7A422B17F404}" name="Dato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48608B-8AED-4BEE-892F-E9FF3C6170C0}" name="Tabla42" displayName="Tabla42" ref="E7:F24" totalsRowShown="0" headerRowDxfId="220">
  <autoFilter ref="E7:F24" xr:uid="{7548608B-8AED-4BEE-892F-E9FF3C6170C0}"/>
  <tableColumns count="2">
    <tableColumn id="1" xr3:uid="{4007BAD5-3A4B-47DF-A9C4-13672C233B9C}" name="Datos del equipo en 10 ultimos encuentros fuera de casa"/>
    <tableColumn id="2" xr3:uid="{B5C56374-7A55-4EE5-8075-D5475F2D75B0}" name="Dato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7A3DB5-4431-481D-9E3C-07B3BA9BECF8}" name="Tabla33" displayName="Tabla33" ref="B7:C28" totalsRowShown="0" headerRowDxfId="219">
  <autoFilter ref="B7:C28" xr:uid="{D17A3DB5-4431-481D-9E3C-07B3BA9BECF8}"/>
  <tableColumns count="2">
    <tableColumn id="1" xr3:uid="{CC004B6B-C27F-4987-A03F-5F54FE0CEF1D}" name="Datos del equipo en 10 ultimos encuentros en casa"/>
    <tableColumn id="2" xr3:uid="{8D0DE414-07C2-4455-B67D-C606AEAC485F}" name="Dato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4D1E92-A552-4E79-8622-5544965361F7}" name="Tabla4210" displayName="Tabla4210" ref="E7:F24" totalsRowShown="0" headerRowDxfId="218">
  <autoFilter ref="E7:F24" xr:uid="{874D1E92-A552-4E79-8622-5544965361F7}"/>
  <tableColumns count="2">
    <tableColumn id="1" xr3:uid="{3E4637DB-0541-4435-ABB3-5FD2012F29AC}" name="Datos del equipo en 10 ultimos encuentros fuera de casa"/>
    <tableColumn id="2" xr3:uid="{B02376D2-DF91-4B0B-83F0-C03927201949}" name="Dato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7B670C3-05C5-4C20-81B0-0F2659AEF36D}" name="Tabla3311" displayName="Tabla3311" ref="B7:C28" totalsRowShown="0" headerRowDxfId="217">
  <autoFilter ref="B7:C28" xr:uid="{77B670C3-05C5-4C20-81B0-0F2659AEF36D}"/>
  <tableColumns count="2">
    <tableColumn id="1" xr3:uid="{B201A929-240F-4390-9040-DB0421E82337}" name="Datos del equipo en 10 ultimos encuentros en casa"/>
    <tableColumn id="2" xr3:uid="{6053DB70-1B63-4197-AE85-FDB516022469}" name="Dato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91BCEC7-2951-4D83-AFEA-A0DEE642C8E8}" name="Tabla6" displayName="Tabla6" ref="F12:K16" totalsRowShown="0">
  <autoFilter ref="F12:K16" xr:uid="{D91BCEC7-2951-4D83-AFEA-A0DEE642C8E8}"/>
  <tableColumns count="6">
    <tableColumn id="1" xr3:uid="{2049F36C-5C29-4CFB-9438-2306859F74E6}" name="Partido"/>
    <tableColumn id="2" xr3:uid="{6AE1E5DD-EF80-49CB-978A-8E12EE5FF29B}" name="Mercado"/>
    <tableColumn id="3" xr3:uid="{5A477464-899B-465E-B150-A2E7B9C7F46B}" name="Probabilidad real (%)" dataDxfId="216">
      <calculatedColumnFormula>(1- NORMDIST(2.5,C28,C29,TRUE))*100</calculatedColumnFormula>
    </tableColumn>
    <tableColumn id="4" xr3:uid="{7AE7502F-B4DF-42C7-9C85-B32BBB329141}" name="Probabilidad Implicita (%)" dataDxfId="215">
      <calculatedColumnFormula>H24</calculatedColumnFormula>
    </tableColumn>
    <tableColumn id="5" xr3:uid="{A84D20DE-34B2-4046-B67B-7FF2A1766C0A}" name="Diferencia (%)" dataDxfId="214">
      <calculatedColumnFormula>Tabla6[[#This Row],[Probabilidad real (%)]]-Tabla6[[#This Row],[Probabilidad Implicita (%)]]</calculatedColumnFormula>
    </tableColumn>
    <tableColumn id="6" xr3:uid="{878A080C-20A0-4188-B8E0-03E3E6D86346}" name="Valor" dataDxfId="213">
      <calculatedColumnFormula>IF(Tabla6[[#This Row],[Diferencia (%)]] &gt; 0, "Hay valor", "No hay Valor rey")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7D1D80-2B3C-4180-926D-98FD6AD8D85D}" name="Tabla7" displayName="Tabla7" ref="B9:C24" totalsRowShown="0">
  <autoFilter ref="B9:C24" xr:uid="{AF7D1D80-2B3C-4180-926D-98FD6AD8D85D}"/>
  <tableColumns count="2">
    <tableColumn id="1" xr3:uid="{FE26C8C4-9D94-494A-80BE-97D4F74426C1}" name="Datos del equipo en 10 ultimos encuentros en casa"/>
    <tableColumn id="2" xr3:uid="{3C93D514-3DDB-47A3-9953-B4FD6C9F1C0C}" name="Dato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30D1C4-0DBC-4DBE-A891-2A223D5961B0}" name="Tabla8" displayName="Tabla8" ref="M9:N24" totalsRowShown="0">
  <autoFilter ref="M9:N24" xr:uid="{B630D1C4-0DBC-4DBE-A891-2A223D5961B0}"/>
  <tableColumns count="2">
    <tableColumn id="1" xr3:uid="{19BE9BD7-5852-48A9-963A-3522ACAE31AE}" name="Datos del equipo en 10 ultimos encuentros fuera de casa"/>
    <tableColumn id="2" xr3:uid="{EE1BCEC5-803F-4814-AB79-A75C9F8AA764}" name="Dato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0E33470-7C80-41D7-BE17-9711252406A9}" name="Tabla12" displayName="Tabla12" ref="B67:G78" totalsRowShown="0" headerRowDxfId="212" dataDxfId="211">
  <autoFilter ref="B67:G78" xr:uid="{40E33470-7C80-41D7-BE17-9711252406A9}"/>
  <tableColumns count="6">
    <tableColumn id="1" xr3:uid="{21B806E8-5947-45C2-A7F3-7A6DD310B67B}" name="Equipo 1" dataDxfId="210"/>
    <tableColumn id="2" xr3:uid="{C69AF25D-799F-4163-AC45-EC7F5D772762}" name="Equipo 2" dataDxfId="209"/>
    <tableColumn id="3" xr3:uid="{24C7F144-E4DE-42F9-A3AA-B9FEC3CC2FB9}" name="Media" dataDxfId="208"/>
    <tableColumn id="4" xr3:uid="{A1F98D2A-D156-40B7-BE35-47AFCBD7DE1C}" name="Local" dataDxfId="207"/>
    <tableColumn id="5" xr3:uid="{86A6F4E3-B894-4BA7-924F-EBCCB32D05A1}" name="Visitante" dataDxfId="206"/>
    <tableColumn id="6" xr3:uid="{B9936429-E17F-4E07-B869-402ABD2DE54A}" name="Desviaciones de cada valor" dataDxfId="205">
      <calculatedColumnFormula>(E68-D68)^2</calculatedColumnFormula>
    </tableColumn>
  </tableColumns>
  <tableStyleInfo name="TableStyleMedium1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6123B53-0D72-4FDD-AF25-7ECC9E3CB701}" name="Tabla13" displayName="Tabla13" ref="B88:G99" totalsRowShown="0" headerRowDxfId="204" dataDxfId="203">
  <autoFilter ref="B88:G99" xr:uid="{56123B53-0D72-4FDD-AF25-7ECC9E3CB701}"/>
  <tableColumns count="6">
    <tableColumn id="1" xr3:uid="{D501B209-6893-4646-B1CA-89FCD0B6563C}" name="Equipo 1" dataDxfId="202"/>
    <tableColumn id="2" xr3:uid="{D12FD165-EE63-4936-91AB-84FFD3C75632}" name="Equipo 2" dataDxfId="201"/>
    <tableColumn id="3" xr3:uid="{25F00D62-BD31-47B3-82F2-1125F8AFDA95}" name="Media" dataDxfId="200"/>
    <tableColumn id="4" xr3:uid="{EDAA3659-1755-45CE-8794-B70043CB32B5}" name="Local" dataDxfId="199"/>
    <tableColumn id="5" xr3:uid="{2CA185C4-02E8-4049-9938-6C802C1F38FB}" name="Visitante" dataDxfId="198"/>
    <tableColumn id="6" xr3:uid="{2FB2E2FD-2362-468A-BE6B-6AE603A81C62}" name="Desviaciones de cada valor" dataDxfId="197">
      <calculatedColumnFormula>(E89-D89)^2</calculatedColumnFormula>
    </tableColumn>
  </tableColumns>
  <tableStyleInfo name="TableStyleMedium1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C1E1EF8-404E-45E2-9274-97F526221EF8}" name="Tabla14" displayName="Tabla14" ref="F23:H27" totalsRowShown="0">
  <autoFilter ref="F23:H27" xr:uid="{7C1E1EF8-404E-45E2-9274-97F526221EF8}"/>
  <tableColumns count="3">
    <tableColumn id="1" xr3:uid="{41642ABD-7F87-441A-AC8A-61D6D8AEE81E}" name="Mercado"/>
    <tableColumn id="2" xr3:uid="{8459F1A2-FD27-4542-A6F3-0D3B8AF03EB8}" name="Cuota"/>
    <tableColumn id="3" xr3:uid="{00E39E73-EAB8-4311-8D99-2B6DE3BBA9C6}" name="Porcentaje (%)" dataDxfId="196">
      <calculatedColumnFormula>(1/G24)*100</calculatedColumnFormula>
    </tableColumn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B4AF61D-7B82-438A-BED1-F5A5C303C8C5}" name="Tabla16" displayName="Tabla16" ref="K54:P65" totalsRowShown="0" headerRowDxfId="195" dataDxfId="194">
  <autoFilter ref="K54:P65" xr:uid="{9B4AF61D-7B82-438A-BED1-F5A5C303C8C5}"/>
  <tableColumns count="6">
    <tableColumn id="1" xr3:uid="{F7E6D90B-925F-4DBF-8629-AB96677DF971}" name="Equipo 1" dataDxfId="193"/>
    <tableColumn id="2" xr3:uid="{F321B605-A1BD-4D7E-B954-48F06B843B8C}" name="Equipo 2" dataDxfId="192"/>
    <tableColumn id="3" xr3:uid="{72C4B830-1430-4577-8218-602E4556E533}" name="Media" dataDxfId="191"/>
    <tableColumn id="4" xr3:uid="{DF36AE60-403D-432B-AF57-20916D16719D}" name="Local" dataDxfId="190"/>
    <tableColumn id="5" xr3:uid="{2840995D-0D12-46F8-BFEA-016451D77A1C}" name="Visitante" dataDxfId="189"/>
    <tableColumn id="6" xr3:uid="{8FE38FBC-85B4-44F3-B953-9A63F95C1D46}" name="Desviaciones de cada valor" dataDxfId="188">
      <calculatedColumnFormula>(N55-M55)^2</calculatedColumnFormula>
    </tableColumn>
  </tableColumns>
  <tableStyleInfo name="TableStyleMedium1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5590557-374A-4447-829F-7BD12CBF02C3}" name="Tabla17" displayName="Tabla17" ref="K78:P89" totalsRowShown="0" headerRowDxfId="187" dataDxfId="186">
  <autoFilter ref="K78:P89" xr:uid="{F5590557-374A-4447-829F-7BD12CBF02C3}"/>
  <tableColumns count="6">
    <tableColumn id="1" xr3:uid="{E953297B-9455-4BF0-BACE-406C982AA398}" name="Equipo 1" dataDxfId="185"/>
    <tableColumn id="2" xr3:uid="{99F8794A-7DE7-4E60-AE74-22A9D4BC842F}" name="Equipo 2" dataDxfId="184"/>
    <tableColumn id="3" xr3:uid="{3B7D5E40-D4CA-43ED-AA38-4AB7BF1FDB09}" name="Media" dataDxfId="183"/>
    <tableColumn id="4" xr3:uid="{C4CA3487-25D1-4B68-9950-E257C5DDD90B}" name="Visitante" dataDxfId="182"/>
    <tableColumn id="5" xr3:uid="{AF9385E5-C0E9-484C-8446-3B7FA454F226}" name="Local" dataDxfId="181"/>
    <tableColumn id="6" xr3:uid="{93B363E9-05DB-4AEF-9589-B6F964DE8C27}" name="Desviaciones de cada valor" dataDxfId="180">
      <calculatedColumnFormula>(N79-M79)^2</calculatedColumnFormula>
    </tableColumn>
  </tableColumns>
  <tableStyleInfo name="TableStyleMedium1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82DB05B-C615-4005-AFFB-5D69F9356421}" name="Tabla1319" displayName="Tabla1319" ref="B110:G121" totalsRowShown="0" headerRowDxfId="179" dataDxfId="178">
  <autoFilter ref="B110:G121" xr:uid="{D82DB05B-C615-4005-AFFB-5D69F9356421}"/>
  <tableColumns count="6">
    <tableColumn id="1" xr3:uid="{C5824C75-BD04-4F18-96B7-396BA9E1F82B}" name="Equipo 1" dataDxfId="177"/>
    <tableColumn id="2" xr3:uid="{3C488CEF-CD32-4A17-8947-22E95A5C90DB}" name="Equipo 2" dataDxfId="176"/>
    <tableColumn id="3" xr3:uid="{98C2B83C-51CE-4C73-BE09-849CCE5EC31A}" name="Media" dataDxfId="175"/>
    <tableColumn id="4" xr3:uid="{5D436650-9076-4505-BDC6-AE1EE63AAF4C}" name="Local" dataDxfId="174"/>
    <tableColumn id="5" xr3:uid="{C1EBF913-4940-44F8-AA14-885D8DA5A92A}" name="Visitante" dataDxfId="173"/>
    <tableColumn id="6" xr3:uid="{32DEACA3-BA40-458A-82F2-F636E1AB5B61}" name="Desviaciones de cada valor" dataDxfId="172">
      <calculatedColumnFormula>(E111-D111)^2</calculatedColumnFormula>
    </tableColumn>
  </tableColumns>
  <tableStyleInfo name="TableStyleMedium1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EB98C60-A0AA-47B5-BC52-EF4B549B8313}" name="Tabla131920" displayName="Tabla131920" ref="B134:G145" totalsRowShown="0" headerRowDxfId="171" dataDxfId="170">
  <autoFilter ref="B134:G145" xr:uid="{9EB98C60-A0AA-47B5-BC52-EF4B549B8313}"/>
  <tableColumns count="6">
    <tableColumn id="1" xr3:uid="{E966C8BC-53AA-4AEC-92CE-6FCE0BD61D82}" name="Equipo 1" dataDxfId="169"/>
    <tableColumn id="2" xr3:uid="{1B4209D5-5840-4041-8CB0-D4C0874158E6}" name="Equipo 2" dataDxfId="168"/>
    <tableColumn id="3" xr3:uid="{3E0FB5C4-A3C0-47A1-BE01-56236DAAA1C0}" name="Media" dataDxfId="167"/>
    <tableColumn id="4" xr3:uid="{62772227-9D9A-4E91-9FA0-7A6207F9EE17}" name="Local" dataDxfId="166"/>
    <tableColumn id="5" xr3:uid="{0E343E0C-B3BB-4BC2-A958-EC2734CAE0DC}" name="Visitante" dataDxfId="165"/>
    <tableColumn id="6" xr3:uid="{DB94FDD4-120C-4C3C-BECF-08149C9729F5}" name="Desviaciones de cada valor" dataDxfId="164">
      <calculatedColumnFormula>(E135-D135)^2</calculatedColumnFormula>
    </tableColumn>
  </tableColumns>
  <tableStyleInfo name="TableStyleMedium1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1A01D5B-5A6B-4D92-AC15-28D201D719AE}" name="Tabla131912" displayName="Tabla131912" ref="K104:P115" totalsRowShown="0" headerRowDxfId="163" dataDxfId="162">
  <autoFilter ref="K104:P115" xr:uid="{21A01D5B-5A6B-4D92-AC15-28D201D719AE}"/>
  <tableColumns count="6">
    <tableColumn id="1" xr3:uid="{E2D91B74-FFD5-4761-AE8E-B6F2FAE03599}" name="Equipo 1" dataDxfId="161"/>
    <tableColumn id="2" xr3:uid="{B14077E1-8188-4037-8DBD-A249D1655DAD}" name="Equipo 2" dataDxfId="160"/>
    <tableColumn id="3" xr3:uid="{5431F7BD-3439-461C-86E3-21F9BC3E6FC3}" name="Media" dataDxfId="159"/>
    <tableColumn id="4" xr3:uid="{8FCDABF9-957B-4835-850E-3A60F12DAB83}" name="Visitante" dataDxfId="158"/>
    <tableColumn id="5" xr3:uid="{9A583019-F424-460C-A2E2-48AF2E3B0C1C}" name="Local" dataDxfId="157"/>
    <tableColumn id="6" xr3:uid="{EEDFEBEE-0BDC-4D82-97DB-3AE373A09D61}" name="Desviaciones de cada valor" dataDxfId="156">
      <calculatedColumnFormula>(N105-M105)^2</calculatedColumnFormula>
    </tableColumn>
  </tableColumns>
  <tableStyleInfo name="TableStyleMedium1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D13E42D-3A02-4F63-806C-C39FE42DD9B5}" name="Tabla13192021" displayName="Tabla13192021" ref="K131:P142" totalsRowShown="0" headerRowDxfId="155" dataDxfId="154">
  <autoFilter ref="K131:P142" xr:uid="{5D13E42D-3A02-4F63-806C-C39FE42DD9B5}"/>
  <tableColumns count="6">
    <tableColumn id="1" xr3:uid="{8CCAD2C7-6441-4551-B5B3-83DB486A8EEE}" name="Equipo 1" dataDxfId="153"/>
    <tableColumn id="2" xr3:uid="{133AC13A-C320-417B-B9EE-D7335C4782F4}" name="Equipo 2" dataDxfId="152"/>
    <tableColumn id="3" xr3:uid="{BDC1C2B6-7D17-4F41-A5FA-8CA9C296012C}" name="Media" dataDxfId="151"/>
    <tableColumn id="4" xr3:uid="{7F54BFB9-C65E-4842-93B6-5122EACA01D1}" name="Visitante" dataDxfId="150"/>
    <tableColumn id="5" xr3:uid="{9BC6F3E2-CD29-43BC-92A7-3553F0E59A03}" name="Local" dataDxfId="149"/>
    <tableColumn id="6" xr3:uid="{0D803E65-E2C5-4D74-9028-0EDAA99C8CC8}" name="Desviaciones de cada valor" dataDxfId="148">
      <calculatedColumnFormula>(N132-M132)^2</calculatedColumnFormula>
    </tableColumn>
  </tableColumns>
  <tableStyleInfo name="TableStyleMedium1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283D4B-2F98-4A9C-AC3F-8C216CDC0A23}" name="Tabla66" displayName="Tabla66" ref="F12:K16" totalsRowShown="0">
  <autoFilter ref="F12:K16" xr:uid="{D91BCEC7-2951-4D83-AFEA-A0DEE642C8E8}"/>
  <tableColumns count="6">
    <tableColumn id="1" xr3:uid="{1A149F2A-1C45-4A7A-865D-517C6CA3D725}" name="Partido"/>
    <tableColumn id="2" xr3:uid="{B35DF601-D0F0-4522-898B-A23AA0391109}" name="Mercado"/>
    <tableColumn id="3" xr3:uid="{21051C88-3867-4DD0-BC76-2CB30FD3F23E}" name="Probabilidad real (%)" dataDxfId="147">
      <calculatedColumnFormula>(1- NORMDIST(2.5,C28,C29,TRUE))*100</calculatedColumnFormula>
    </tableColumn>
    <tableColumn id="4" xr3:uid="{20443F97-C57D-4971-9B11-5B74A6ABC8B9}" name="Probabilidad Implicita (%)" dataDxfId="146">
      <calculatedColumnFormula>H24</calculatedColumnFormula>
    </tableColumn>
    <tableColumn id="5" xr3:uid="{549B7704-7503-410C-B9E2-96CC21037C0C}" name="Diferencia (%)" dataDxfId="145">
      <calculatedColumnFormula>Tabla66[[#This Row],[Probabilidad real (%)]]-Tabla66[[#This Row],[Probabilidad Implicita (%)]]</calculatedColumnFormula>
    </tableColumn>
    <tableColumn id="6" xr3:uid="{9D4422AD-BBD6-40DF-A4C7-BF867BC81232}" name="Valor" dataDxfId="144">
      <calculatedColumnFormula>IF(Tabla66[[#This Row],[Diferencia (%)]] &gt; 0, "Hay valor", "No hay Valor rey")</calculatedColumnFormula>
    </tableColumn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F2DAF23-6C90-4992-A975-269B1B6860A6}" name="Tabla716" displayName="Tabla716" ref="B9:C24" totalsRowShown="0">
  <autoFilter ref="B9:C24" xr:uid="{AF7D1D80-2B3C-4180-926D-98FD6AD8D85D}"/>
  <tableColumns count="2">
    <tableColumn id="1" xr3:uid="{7053DCF0-0DD5-4186-8973-BE7D6E9A438D}" name="Datos del equipo en 10 ultimos encuentros en casa"/>
    <tableColumn id="2" xr3:uid="{3B7FA062-E3ED-428C-B0E2-FE841D180594}" name="Datos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F81CEDD-BCDE-42C1-ABA6-EE1ECF4F8146}" name="Tabla822" displayName="Tabla822" ref="M9:N24" totalsRowShown="0">
  <autoFilter ref="M9:N24" xr:uid="{B630D1C4-0DBC-4DBE-A891-2A223D5961B0}"/>
  <tableColumns count="2">
    <tableColumn id="1" xr3:uid="{2CF2C481-DF5A-4A30-A9AA-BBA7D5B1771C}" name="Datos del equipo en 10 ultimos encuentros fuera de casa"/>
    <tableColumn id="2" xr3:uid="{48051006-0042-4A42-8564-6CCA4F728E8E}" name="Datos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BD750E6-EEFB-48A0-A3B6-4F6385B182A0}" name="Tabla1223" displayName="Tabla1223" ref="B67:G78" totalsRowShown="0" headerRowDxfId="143" dataDxfId="142">
  <autoFilter ref="B67:G78" xr:uid="{40E33470-7C80-41D7-BE17-9711252406A9}"/>
  <tableColumns count="6">
    <tableColumn id="1" xr3:uid="{5D410D6F-5D29-4924-A00F-C4E4E1DF0590}" name="Equipo 1" dataDxfId="141"/>
    <tableColumn id="2" xr3:uid="{66637053-D06E-4681-9844-958AD9F93A0B}" name="Equipo 2" dataDxfId="140"/>
    <tableColumn id="3" xr3:uid="{43BD168A-01F4-4DC4-897C-66BB1125DC25}" name="Media" dataDxfId="139"/>
    <tableColumn id="4" xr3:uid="{76B6921F-BC89-4118-8BDF-65DB357E5CDA}" name="Local" dataDxfId="138"/>
    <tableColumn id="5" xr3:uid="{CF6F2264-8FAC-4DAB-8BFE-952300C4C2D8}" name="Visitante" dataDxfId="137"/>
    <tableColumn id="6" xr3:uid="{A6D0B54F-1BCB-472F-93ED-31B302915065}" name="Desviaciones de cada valor" dataDxfId="136">
      <calculatedColumnFormula>(E68-D68)^2</calculatedColumnFormula>
    </tableColumn>
  </tableColumns>
  <tableStyleInfo name="TableStyleMedium1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D57EA5E-CBAB-40D0-9615-BB8765F3A1ED}" name="Tabla1324" displayName="Tabla1324" ref="B87:G98" totalsRowShown="0" headerRowDxfId="135" dataDxfId="134">
  <autoFilter ref="B87:G98" xr:uid="{56123B53-0D72-4FDD-AF25-7ECC9E3CB701}"/>
  <tableColumns count="6">
    <tableColumn id="1" xr3:uid="{0D7C44C7-A8A7-408A-9ED6-63F7F811954F}" name="Equipo 1" dataDxfId="133"/>
    <tableColumn id="2" xr3:uid="{7B9CE582-F404-438C-BF6B-483CE1EFFE78}" name="Equipo 2" dataDxfId="132"/>
    <tableColumn id="3" xr3:uid="{ABC4C4B2-A9A6-4D7E-B227-789F3A943CC9}" name="Media" dataDxfId="131"/>
    <tableColumn id="4" xr3:uid="{E7F3450D-B0BA-4C87-92E2-41782EFE077E}" name="Local" dataDxfId="130"/>
    <tableColumn id="5" xr3:uid="{ABB4EE75-2FD3-460D-8A9B-E16EDC58B729}" name="Visitante" dataDxfId="129"/>
    <tableColumn id="6" xr3:uid="{95ADF8CB-7CEA-44C7-BB28-86020BD9F019}" name="Desviaciones de cada valor" dataDxfId="128">
      <calculatedColumnFormula>(E88-D88)^2</calculatedColumnFormula>
    </tableColumn>
  </tableColumns>
  <tableStyleInfo name="TableStyleMedium1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5F99D9B-C4D3-4344-8C0D-D74A059C92A8}" name="Tabla1425" displayName="Tabla1425" ref="F23:H27" totalsRowShown="0">
  <autoFilter ref="F23:H27" xr:uid="{7C1E1EF8-404E-45E2-9274-97F526221EF8}"/>
  <tableColumns count="3">
    <tableColumn id="1" xr3:uid="{0B43069E-33F2-46AB-9483-BFCED8358EB9}" name="Mercado"/>
    <tableColumn id="2" xr3:uid="{B8650A0A-6BDF-4423-9C3A-CB8254AF972A}" name="Cuota"/>
    <tableColumn id="3" xr3:uid="{9B18F4C9-70EC-4D43-8A3B-CB7C2567F049}" name="Porcentaje (%)" dataDxfId="127">
      <calculatedColumnFormula>(1/G24)*100</calculatedColumnFormula>
    </tableColumn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834139B-D9D4-4A32-9C31-6CA164E06D97}" name="Tabla1626" displayName="Tabla1626" ref="K54:P65" totalsRowShown="0" headerRowDxfId="126" dataDxfId="125">
  <autoFilter ref="K54:P65" xr:uid="{9B4AF61D-7B82-438A-BED1-F5A5C303C8C5}"/>
  <tableColumns count="6">
    <tableColumn id="1" xr3:uid="{0D8FFD6C-B304-43BF-8960-6BC91347886B}" name="Equipo 1" dataDxfId="124"/>
    <tableColumn id="2" xr3:uid="{90813FAA-E768-4019-9113-9D49067B26BB}" name="Equipo 2" dataDxfId="123"/>
    <tableColumn id="3" xr3:uid="{DCDC1152-2E29-40B3-ABD1-53C2C0471351}" name="Media" dataDxfId="122"/>
    <tableColumn id="4" xr3:uid="{0AF58413-B4CA-4E09-86F2-A35F042C470D}" name="Visitante" dataDxfId="121"/>
    <tableColumn id="5" xr3:uid="{890F1246-A3CF-4101-8558-1D147A4CE77F}" name="Local" dataDxfId="120"/>
    <tableColumn id="6" xr3:uid="{79F4B591-822A-4B01-B958-F3860F4CCC39}" name="Desviaciones de cada valor" dataDxfId="119">
      <calculatedColumnFormula>(N55-M55)^2</calculatedColumnFormula>
    </tableColumn>
  </tableColumns>
  <tableStyleInfo name="TableStyleMedium1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CE9A959-2D11-4468-9B7C-8DBDC322D1BA}" name="Tabla1727" displayName="Tabla1727" ref="K78:P89" totalsRowShown="0" headerRowDxfId="118" dataDxfId="117">
  <autoFilter ref="K78:P89" xr:uid="{F5590557-374A-4447-829F-7BD12CBF02C3}"/>
  <tableColumns count="6">
    <tableColumn id="1" xr3:uid="{D1F5AFF9-FE3C-4A10-93A5-0B57AC262E0B}" name="Equipo 1" dataDxfId="116"/>
    <tableColumn id="2" xr3:uid="{A304DF47-4CB7-49F8-805D-43337A7DAC59}" name="Equipo 2" dataDxfId="115"/>
    <tableColumn id="3" xr3:uid="{79A2DCFD-5931-40A2-9E11-66F70CE5CFA0}" name="Media" dataDxfId="114"/>
    <tableColumn id="4" xr3:uid="{CEAA8EDA-76B7-4879-90A0-2E01269F9646}" name="Visitante" dataDxfId="113"/>
    <tableColumn id="5" xr3:uid="{1DABCD82-EE10-4626-A933-374A88734FDF}" name="Local" dataDxfId="112"/>
    <tableColumn id="6" xr3:uid="{1E73B550-756B-4DEE-8196-168C384AA8E4}" name="Desviaciones de cada valor" dataDxfId="111">
      <calculatedColumnFormula>(N79-M79)^2</calculatedColumnFormula>
    </tableColumn>
  </tableColumns>
  <tableStyleInfo name="TableStyleMedium1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FE6BE5A-087D-4028-9210-3405C3FD46D7}" name="Tabla131928" displayName="Tabla131928" ref="B109:G120" totalsRowShown="0" headerRowDxfId="110" dataDxfId="109">
  <autoFilter ref="B109:G120" xr:uid="{D82DB05B-C615-4005-AFFB-5D69F9356421}"/>
  <tableColumns count="6">
    <tableColumn id="1" xr3:uid="{0554886F-AB92-489D-BC78-03AA950D1E07}" name="Equipo 1" dataDxfId="108"/>
    <tableColumn id="2" xr3:uid="{DF586EA1-2B6A-4B55-931F-4360C1539A88}" name="Equipo 2" dataDxfId="107"/>
    <tableColumn id="3" xr3:uid="{3D611794-CE37-4D2E-9C7F-5DFA9D15C867}" name="Media" dataDxfId="106"/>
    <tableColumn id="4" xr3:uid="{69598A88-4299-478F-9800-B79BE34430B7}" name="Local" dataDxfId="105"/>
    <tableColumn id="5" xr3:uid="{6F24F57F-EE87-4509-B3E6-E8F9F22AA6BF}" name="Visitante" dataDxfId="104"/>
    <tableColumn id="6" xr3:uid="{0B7DABB0-5B9B-4A72-BCC9-CA220ADC8AA2}" name="Desviaciones de cada valor" dataDxfId="103">
      <calculatedColumnFormula>(E110-D110)^2</calculatedColumnFormula>
    </tableColumn>
  </tableColumns>
  <tableStyleInfo name="TableStyleMedium1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135E8A1-2502-442F-8260-29A2E1E1AC4F}" name="Tabla13192029" displayName="Tabla13192029" ref="B133:G144" totalsRowShown="0" headerRowDxfId="102" dataDxfId="101">
  <autoFilter ref="B133:G144" xr:uid="{9EB98C60-A0AA-47B5-BC52-EF4B549B8313}"/>
  <tableColumns count="6">
    <tableColumn id="1" xr3:uid="{BBCB6AF4-6759-46C5-9773-993C71301DBF}" name="Equipo 1" dataDxfId="100"/>
    <tableColumn id="2" xr3:uid="{EE57126E-0F32-43DF-A319-02C51A28AC38}" name="Equipo 2" dataDxfId="99"/>
    <tableColumn id="3" xr3:uid="{6F56E982-4A8C-4A85-B4C6-973BCBCB58C6}" name="Media" dataDxfId="98"/>
    <tableColumn id="4" xr3:uid="{ABFB65E1-4BC4-4F10-9CCB-1B8C1D0832E1}" name="Local" dataDxfId="97"/>
    <tableColumn id="5" xr3:uid="{CBEC27E6-988E-4A67-BF02-52C40D79248B}" name="Visitante" dataDxfId="96"/>
    <tableColumn id="6" xr3:uid="{84A6FB63-D5A3-4C74-8FA2-6C0BA0F40F8B}" name="Desviaciones de cada valor" dataDxfId="95">
      <calculatedColumnFormula>(E134-D134)^2</calculatedColumnFormula>
    </tableColumn>
  </tableColumns>
  <tableStyleInfo name="TableStyleMedium1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C43BA75-E5A2-4689-BA4D-B9DF3BDA5940}" name="Tabla13191230" displayName="Tabla13191230" ref="K104:P115" totalsRowShown="0" headerRowDxfId="94" dataDxfId="93">
  <autoFilter ref="K104:P115" xr:uid="{21A01D5B-5A6B-4D92-AC15-28D201D719AE}"/>
  <tableColumns count="6">
    <tableColumn id="1" xr3:uid="{CFE20CFC-8DD6-41C4-8E3E-BBA5933822B8}" name="Equipo 1" dataDxfId="92"/>
    <tableColumn id="2" xr3:uid="{E7D32569-621C-4B28-9A19-4A36B7E9AF37}" name="Equipo 2" dataDxfId="91"/>
    <tableColumn id="3" xr3:uid="{21D3C8DB-0686-425E-AD01-231DC7D4E076}" name="Media" dataDxfId="90"/>
    <tableColumn id="4" xr3:uid="{6ED98625-2C03-4456-90D5-517445BFB937}" name="Visitante" dataDxfId="89"/>
    <tableColumn id="5" xr3:uid="{F25A000C-2FC3-448E-9775-DDA2F741DAFA}" name="Local" dataDxfId="88"/>
    <tableColumn id="6" xr3:uid="{96A220A0-07A8-4E81-A348-C363D46E0D7D}" name="Desviaciones de cada valor" dataDxfId="87">
      <calculatedColumnFormula>(N105-M105)^2</calculatedColumnFormula>
    </tableColumn>
  </tableColumns>
  <tableStyleInfo name="TableStyleMedium1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814E27C-31DB-4834-9BFB-90038BCA10D8}" name="Tabla1319202131" displayName="Tabla1319202131" ref="K131:P142" totalsRowShown="0" headerRowDxfId="86" dataDxfId="85">
  <autoFilter ref="K131:P142" xr:uid="{5D13E42D-3A02-4F63-806C-C39FE42DD9B5}"/>
  <tableColumns count="6">
    <tableColumn id="1" xr3:uid="{619F5F43-9870-4589-B35F-30AE9429CF9E}" name="Equipo 1" dataDxfId="84"/>
    <tableColumn id="2" xr3:uid="{A73CC6F8-1A7D-4CC4-9CAF-020A57AEB3F9}" name="Equipo 2" dataDxfId="83"/>
    <tableColumn id="3" xr3:uid="{03AACA9F-808A-45BE-B9E1-C139D263210B}" name="Media" dataDxfId="82"/>
    <tableColumn id="4" xr3:uid="{345010E6-B74E-4F8C-80E4-7D8FA7C8FCF3}" name="Visitante" dataDxfId="81"/>
    <tableColumn id="5" xr3:uid="{586D9C4C-BA74-429D-9634-C2181F03EA7B}" name="Local" dataDxfId="80"/>
    <tableColumn id="6" xr3:uid="{7CF303CC-ED33-436D-AABE-0DD1298E9392}" name="Desviaciones de cada valor" dataDxfId="79">
      <calculatedColumnFormula>(N132-M132)^2</calculatedColumnFormula>
    </tableColumn>
  </tableColumns>
  <tableStyleInfo name="TableStyleMedium1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19C6554-0F28-4170-B57B-E8BDED57FB48}" name="Tabla142532" displayName="Tabla142532" ref="F48:H52" totalsRowShown="0">
  <autoFilter ref="F48:H52" xr:uid="{D19C6554-0F28-4170-B57B-E8BDED57FB48}"/>
  <tableColumns count="3">
    <tableColumn id="1" xr3:uid="{BC65EFAE-B5CF-45E3-AEB7-DCC29D78DE40}" name="Mercado"/>
    <tableColumn id="2" xr3:uid="{89EEF48E-193A-451A-9F36-47EC26EA562F}" name="Cuota"/>
    <tableColumn id="3" xr3:uid="{D9E68DDD-9AD1-4796-9AB5-FBCF372ECADA}" name="Porcentaje (%)" dataDxfId="78">
      <calculatedColumnFormula>(1/G49)*100</calculatedColumnFormula>
    </tableColumn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37D2F3A-18A0-49CF-82C3-661513489C79}" name="Tabla6633" displayName="Tabla6633" ref="F38:K42" totalsRowShown="0">
  <autoFilter ref="F38:K42" xr:uid="{837D2F3A-18A0-49CF-82C3-661513489C79}"/>
  <tableColumns count="6">
    <tableColumn id="1" xr3:uid="{E7E6F7FA-31C2-4B13-94B1-D1DD4613D827}" name="Partido"/>
    <tableColumn id="2" xr3:uid="{91D12D74-7C8A-4F83-B740-55C40537D1D9}" name="Mercado"/>
    <tableColumn id="3" xr3:uid="{F0D0FB9F-C8CE-4643-B9E7-6CF1FEA4A0DD}" name="Probabilidad real (%)" dataDxfId="77"/>
    <tableColumn id="4" xr3:uid="{AFD1B1D9-12F9-4521-9B6D-8FBDE1484127}" name="Probabilidad Implicita (%)" dataDxfId="76">
      <calculatedColumnFormula>H49</calculatedColumnFormula>
    </tableColumn>
    <tableColumn id="5" xr3:uid="{A5BA74B9-45F8-4938-8238-CCF3FA0EC489}" name="Diferencia (%)" dataDxfId="75">
      <calculatedColumnFormula>Tabla6633[[#This Row],[Probabilidad real (%)]]-Tabla6633[[#This Row],[Probabilidad Implicita (%)]]</calculatedColumnFormula>
    </tableColumn>
    <tableColumn id="6" xr3:uid="{3BE46F1C-7477-4114-BE51-0B2F12288D58}" name="Valor" dataDxfId="74">
      <calculatedColumnFormula>IF(Tabla6633[[#This Row],[Diferencia (%)]] &gt; 0, "Hay valor", "No hay Valor rey")</calculatedColumnFormula>
    </tableColumn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FC26987-FF6E-442C-9CB1-968F48701DA4}" name="Tabla6634" displayName="Tabla6634" ref="F12:K16" totalsRowShown="0">
  <autoFilter ref="F12:K16" xr:uid="{D91BCEC7-2951-4D83-AFEA-A0DEE642C8E8}"/>
  <tableColumns count="6">
    <tableColumn id="1" xr3:uid="{CE3F2D80-4279-410B-A29E-5A8E511A168A}" name="Partido"/>
    <tableColumn id="2" xr3:uid="{A862B27E-2E9C-4C67-8F20-57CDF3AD2E14}" name="Mercado"/>
    <tableColumn id="3" xr3:uid="{004C0F4B-AF31-4787-9E78-9169CFB4A678}" name="Probabilidad real (%)" dataDxfId="73">
      <calculatedColumnFormula>(1- NORMDIST(2.5,C28,C29,TRUE))*100</calculatedColumnFormula>
    </tableColumn>
    <tableColumn id="4" xr3:uid="{36A1B4D2-A90D-4776-B636-B69D33297284}" name="Probabilidad Implicita (%)" dataDxfId="72">
      <calculatedColumnFormula>H24</calculatedColumnFormula>
    </tableColumn>
    <tableColumn id="5" xr3:uid="{1CB30C63-FF14-4A9B-9ADF-C194985C1214}" name="Diferencia (%)" dataDxfId="71">
      <calculatedColumnFormula>Tabla6634[[#This Row],[Probabilidad real (%)]]-Tabla6634[[#This Row],[Probabilidad Implicita (%)]]</calculatedColumnFormula>
    </tableColumn>
    <tableColumn id="6" xr3:uid="{A606CE1B-9F67-4D63-B0B2-13394E6478EF}" name="Valor" dataDxfId="70">
      <calculatedColumnFormula>IF(Tabla6634[[#This Row],[Diferencia (%)]] &gt; 0, "Hay valor", "No hay Valor rey")</calculatedColumnFormula>
    </tableColumn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4164A4FF-E462-451E-BFF9-08AA0CDD0650}" name="Tabla71635" displayName="Tabla71635" ref="B9:C24" totalsRowShown="0">
  <autoFilter ref="B9:C24" xr:uid="{AF7D1D80-2B3C-4180-926D-98FD6AD8D85D}"/>
  <tableColumns count="2">
    <tableColumn id="1" xr3:uid="{D7DBA152-BBEB-4118-9234-08E23F87CB7E}" name="Datos del equipo en 10 ultimos encuentros en casa"/>
    <tableColumn id="2" xr3:uid="{39C3D436-96C5-4576-A37D-21DB049CDADE}" name="Datos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D0A2792-5CE1-4783-9D89-2F8DEFB6260F}" name="Tabla82236" displayName="Tabla82236" ref="M9:N24" totalsRowShown="0">
  <autoFilter ref="M9:N24" xr:uid="{B630D1C4-0DBC-4DBE-A891-2A223D5961B0}"/>
  <tableColumns count="2">
    <tableColumn id="1" xr3:uid="{C3A4E3B1-FAB1-42C6-8D43-F2BDCC6962F2}" name="Datos del equipo en 10 ultimos encuentros fuera de casa"/>
    <tableColumn id="2" xr3:uid="{F07B9981-8778-4D94-9199-4EF1B544517D}" name="Datos"/>
  </tableColumns>
  <tableStyleInfo name="TableStyleMedium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138FC8E0-7F2A-4AB2-B951-5D8EB9ED9A18}" name="Tabla122337" displayName="Tabla122337" ref="B67:G78" totalsRowShown="0" headerRowDxfId="69" dataDxfId="68">
  <autoFilter ref="B67:G78" xr:uid="{40E33470-7C80-41D7-BE17-9711252406A9}"/>
  <tableColumns count="6">
    <tableColumn id="1" xr3:uid="{869D1A72-381E-4AEF-99BB-F6549AF3279C}" name="Equipo 1" dataDxfId="67"/>
    <tableColumn id="2" xr3:uid="{A4B29B60-2128-42E3-8410-7DEEA93D42F9}" name="Equipo 2" dataDxfId="66"/>
    <tableColumn id="3" xr3:uid="{A17BDBDA-9601-4E13-9790-39DDE801CC6B}" name="Media" dataDxfId="65"/>
    <tableColumn id="4" xr3:uid="{52B2FF72-7BE1-4A59-ADC9-B48C4F15B3CA}" name="Local" dataDxfId="64"/>
    <tableColumn id="5" xr3:uid="{55E1FA48-1E50-47B7-BC19-D7E22B8681A6}" name="Visitante" dataDxfId="63"/>
    <tableColumn id="6" xr3:uid="{E11F0289-79B9-4CB8-AE57-AE671A282F43}" name="Desviaciones de cada valor" dataDxfId="62">
      <calculatedColumnFormula>(E68-D68)^2</calculatedColumnFormula>
    </tableColumn>
  </tableColumns>
  <tableStyleInfo name="TableStyleMedium1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A3B8CE98-B62A-4A2C-BA12-246BAE034F38}" name="Tabla132438" displayName="Tabla132438" ref="B87:G98" totalsRowShown="0" headerRowDxfId="61" dataDxfId="60">
  <autoFilter ref="B87:G98" xr:uid="{56123B53-0D72-4FDD-AF25-7ECC9E3CB701}"/>
  <tableColumns count="6">
    <tableColumn id="1" xr3:uid="{7B808641-EBFA-4D4A-BD7D-EA90A85BF922}" name="Equipo 1" dataDxfId="59"/>
    <tableColumn id="2" xr3:uid="{24247A55-FA0B-4E2C-B1DB-5F842ABC4FEC}" name="Equipo 2" dataDxfId="58"/>
    <tableColumn id="3" xr3:uid="{B2B596A5-BB57-4E46-918D-7B98F8CB30C6}" name="Media" dataDxfId="57"/>
    <tableColumn id="4" xr3:uid="{3A7FDA20-7805-4E03-AA4F-542F6DA35D29}" name="Local" dataDxfId="56"/>
    <tableColumn id="5" xr3:uid="{9617BE7D-C9E9-4863-AF48-4D0413564594}" name="Visitante" dataDxfId="55"/>
    <tableColumn id="6" xr3:uid="{799A1214-CC22-4DA2-93A8-8A74E880AF3F}" name="Desviaciones de cada valor" dataDxfId="54">
      <calculatedColumnFormula>(E88-D88)^2</calculatedColumnFormula>
    </tableColumn>
  </tableColumns>
  <tableStyleInfo name="TableStyleMedium1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6E3C845E-137E-45D5-9AC2-C49C99EAFCEE}" name="Tabla142539" displayName="Tabla142539" ref="F23:H27" totalsRowShown="0">
  <autoFilter ref="F23:H27" xr:uid="{7C1E1EF8-404E-45E2-9274-97F526221EF8}"/>
  <tableColumns count="3">
    <tableColumn id="1" xr3:uid="{EB58714C-3167-46FB-BAC3-7449CC2562CB}" name="Mercado"/>
    <tableColumn id="2" xr3:uid="{2398AF86-A4A9-496B-9A29-2D8A4EF8C857}" name="Cuota"/>
    <tableColumn id="3" xr3:uid="{D14B58FF-033D-4525-934F-02EEAD2E46B3}" name="Porcentaje (%)" dataDxfId="53">
      <calculatedColumnFormula>(1/G24)*100</calculatedColumnFormula>
    </tableColumn>
  </tableColumns>
  <tableStyleInfo name="TableStyleMedium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0176A47-44B2-4C92-980F-E561017B9BDE}" name="Tabla162640" displayName="Tabla162640" ref="K54:P65" totalsRowShown="0" headerRowDxfId="52" dataDxfId="51">
  <autoFilter ref="K54:P65" xr:uid="{9B4AF61D-7B82-438A-BED1-F5A5C303C8C5}"/>
  <tableColumns count="6">
    <tableColumn id="1" xr3:uid="{A3B40837-C953-493F-B981-1F5DF44C7409}" name="Equipo 1" dataDxfId="50"/>
    <tableColumn id="2" xr3:uid="{D850A90B-BA1E-413C-ACB9-50AA6E86362B}" name="Equipo 2" dataDxfId="49"/>
    <tableColumn id="3" xr3:uid="{F8C98B6F-DBE2-4630-8D02-8F65A76C5C50}" name="Media" dataDxfId="48"/>
    <tableColumn id="4" xr3:uid="{F45C3C3F-0E0D-4BC8-9763-8205D67ADEA0}" name="Visitante" dataDxfId="47"/>
    <tableColumn id="5" xr3:uid="{A598D909-204F-4A2A-B7C7-3728C49F9B51}" name="Local" dataDxfId="46"/>
    <tableColumn id="6" xr3:uid="{42F44165-1773-4880-A234-720CC0ECD5AA}" name="Desviaciones de cada valor" dataDxfId="45">
      <calculatedColumnFormula>(N55-M55)^2</calculatedColumnFormula>
    </tableColumn>
  </tableColumns>
  <tableStyleInfo name="TableStyleMedium1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E3725DB-76A8-47B3-B0D7-6B139EA4C1A2}" name="Tabla172741" displayName="Tabla172741" ref="K78:P89" totalsRowShown="0" headerRowDxfId="44" dataDxfId="43">
  <autoFilter ref="K78:P89" xr:uid="{F5590557-374A-4447-829F-7BD12CBF02C3}"/>
  <tableColumns count="6">
    <tableColumn id="1" xr3:uid="{8A06370F-CE7E-4A48-9236-ED34B7EAE9DD}" name="Equipo 1" dataDxfId="42"/>
    <tableColumn id="2" xr3:uid="{D473F448-6997-44A0-BBB7-01AE667DB26C}" name="Equipo 2" dataDxfId="41"/>
    <tableColumn id="3" xr3:uid="{66E3E926-DBAA-475A-888D-F50BC25B65F6}" name="Media" dataDxfId="40"/>
    <tableColumn id="4" xr3:uid="{20B4F899-D7FC-4210-B41C-8F0053F10F5F}" name="Visitante" dataDxfId="39"/>
    <tableColumn id="5" xr3:uid="{E6F03F88-9788-4358-98F9-50258F9C6458}" name="Local" dataDxfId="38"/>
    <tableColumn id="6" xr3:uid="{F36C1035-3EBA-4317-9350-604D323E35A1}" name="Desviaciones de cada valor" dataDxfId="37">
      <calculatedColumnFormula>(N79-M79)^2</calculatedColumnFormula>
    </tableColumn>
  </tableColumns>
  <tableStyleInfo name="TableStyleMedium1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A19D1B62-1F54-4520-A0EA-5DDB70D0EF91}" name="Tabla13192842" displayName="Tabla13192842" ref="B109:G120" totalsRowShown="0" headerRowDxfId="36" dataDxfId="35">
  <autoFilter ref="B109:G120" xr:uid="{D82DB05B-C615-4005-AFFB-5D69F9356421}"/>
  <tableColumns count="6">
    <tableColumn id="1" xr3:uid="{FFC8D1EF-5B9A-4EA8-B75F-0D07CF831D54}" name="Equipo 1" dataDxfId="34"/>
    <tableColumn id="2" xr3:uid="{A90E707B-BD17-4BE5-952B-42AFC0264738}" name="Equipo 2" dataDxfId="33"/>
    <tableColumn id="3" xr3:uid="{3CEC0390-4922-461D-8EA2-C6FBA6795BD8}" name="Media" dataDxfId="32"/>
    <tableColumn id="4" xr3:uid="{8C4FFEC9-24BC-4793-AD5E-B587C50ADA75}" name="Local" dataDxfId="31"/>
    <tableColumn id="5" xr3:uid="{F240FD98-6BF5-4E80-8B98-90380F998256}" name="Visitante" dataDxfId="30"/>
    <tableColumn id="6" xr3:uid="{94024087-7B6D-47B3-976C-ED3D41B5EE48}" name="Desviaciones de cada valor" dataDxfId="29">
      <calculatedColumnFormula>(E110-D110)^2</calculatedColumnFormula>
    </tableColumn>
  </tableColumns>
  <tableStyleInfo name="TableStyleMedium1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309E2D73-0A85-4CCC-A742-F7A541810275}" name="Tabla1319202943" displayName="Tabla1319202943" ref="B133:G144" totalsRowShown="0" headerRowDxfId="28" dataDxfId="27">
  <autoFilter ref="B133:G144" xr:uid="{9EB98C60-A0AA-47B5-BC52-EF4B549B8313}"/>
  <tableColumns count="6">
    <tableColumn id="1" xr3:uid="{3CDC299D-9151-4D35-9A15-12257F8E74F4}" name="Equipo 1" dataDxfId="26"/>
    <tableColumn id="2" xr3:uid="{B4D47989-2E12-4EB2-994A-9F9D84E6AB0D}" name="Equipo 2" dataDxfId="25"/>
    <tableColumn id="3" xr3:uid="{46BB0E9D-D6EB-433F-9119-08BE16C42C07}" name="Media" dataDxfId="24"/>
    <tableColumn id="4" xr3:uid="{6E0C1731-79E3-49F0-9C44-E391E8105277}" name="Local" dataDxfId="23"/>
    <tableColumn id="5" xr3:uid="{3CD45733-AABA-4C11-8743-97821DF19BFC}" name="Visitante" dataDxfId="22"/>
    <tableColumn id="6" xr3:uid="{D4FB71EC-FFBD-4A5C-9BC9-0F6491EA8878}" name="Desviaciones de cada valor" dataDxfId="21">
      <calculatedColumnFormula>(E134-D134)^2</calculatedColumnFormula>
    </tableColumn>
  </tableColumns>
  <tableStyleInfo name="TableStyleMedium1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20B756DB-F636-48AA-AE37-27F12622E863}" name="Tabla1319123044" displayName="Tabla1319123044" ref="K104:P115" totalsRowShown="0" headerRowDxfId="20" dataDxfId="19">
  <autoFilter ref="K104:P115" xr:uid="{21A01D5B-5A6B-4D92-AC15-28D201D719AE}"/>
  <tableColumns count="6">
    <tableColumn id="1" xr3:uid="{DFE32ED6-013F-4634-A50A-52E2643A076F}" name="Equipo 1" dataDxfId="18"/>
    <tableColumn id="2" xr3:uid="{BA9F1586-FFF3-4410-A200-95B2A7A3C456}" name="Equipo 2" dataDxfId="17"/>
    <tableColumn id="3" xr3:uid="{C48D4A37-6D7C-4597-AD2B-07EABC4D31C5}" name="Media" dataDxfId="16"/>
    <tableColumn id="4" xr3:uid="{7D6AE067-719D-45F2-93CE-99C0FFCBCBD5}" name="Visitante" dataDxfId="15"/>
    <tableColumn id="5" xr3:uid="{204EC1C6-1DED-490E-BDB2-D40C5F840824}" name="Local" dataDxfId="14"/>
    <tableColumn id="6" xr3:uid="{8FE165D7-9FBF-4511-B35F-A41066AAEA74}" name="Desviaciones de cada valor" dataDxfId="13">
      <calculatedColumnFormula>(N105-M105)^2</calculatedColumnFormula>
    </tableColumn>
  </tableColumns>
  <tableStyleInfo name="TableStyleMedium1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5BD0E954-987E-4B3E-9653-71F0D9042A9A}" name="Tabla131920213145" displayName="Tabla131920213145" ref="K131:P142" totalsRowShown="0" headerRowDxfId="12" dataDxfId="11">
  <autoFilter ref="K131:P142" xr:uid="{5D13E42D-3A02-4F63-806C-C39FE42DD9B5}"/>
  <tableColumns count="6">
    <tableColumn id="1" xr3:uid="{D8DE5101-2717-4B62-9DDD-6E17319DF9B9}" name="Equipo 1" dataDxfId="10"/>
    <tableColumn id="2" xr3:uid="{87A0DD8A-4BDD-4C40-8A82-EAD372215A5F}" name="Equipo 2" dataDxfId="9"/>
    <tableColumn id="3" xr3:uid="{0A475C76-A452-4AF9-8FFB-B057770DBBD6}" name="Media" dataDxfId="8"/>
    <tableColumn id="4" xr3:uid="{38081BFD-5AAA-40E0-A748-68ED34A1E516}" name="Visitante" dataDxfId="7"/>
    <tableColumn id="5" xr3:uid="{16646B19-2569-4CB4-BEA7-EC38F203925A}" name="Local" dataDxfId="6"/>
    <tableColumn id="6" xr3:uid="{9DC7DD01-D8E7-4B84-92E0-4F5B3DE23D04}" name="Desviaciones de cada valor" dataDxfId="5">
      <calculatedColumnFormula>(N132-M132)^2</calculatedColumnFormula>
    </tableColumn>
  </tableColumns>
  <tableStyleInfo name="TableStyleMedium19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23548907-89C0-4438-A0B2-C45C7BD99B67}" name="Tabla14253246" displayName="Tabla14253246" ref="F48:H52" totalsRowShown="0">
  <autoFilter ref="F48:H52" xr:uid="{D19C6554-0F28-4170-B57B-E8BDED57FB48}"/>
  <tableColumns count="3">
    <tableColumn id="1" xr3:uid="{8E4E1A11-6522-409D-9DB4-57E1303B9CFC}" name="Mercado"/>
    <tableColumn id="2" xr3:uid="{72CF465D-5DB3-46F0-927D-5BF7514C9538}" name="Cuota"/>
    <tableColumn id="3" xr3:uid="{384E7EAB-0AA2-4801-A1D9-0C6FC72DA4EA}" name="Porcentaje (%)" dataDxfId="4">
      <calculatedColumnFormula>(1/G49)*100</calculatedColumnFormula>
    </tableColumn>
  </tableColumns>
  <tableStyleInfo name="TableStyleMedium9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7567E541-9F9C-4CD9-A912-A2F79B48667D}" name="Tabla663347" displayName="Tabla663347" ref="F38:K42" totalsRowShown="0">
  <autoFilter ref="F38:K42" xr:uid="{837D2F3A-18A0-49CF-82C3-661513489C79}"/>
  <tableColumns count="6">
    <tableColumn id="1" xr3:uid="{088C72C4-5B71-4FC5-ABF3-1A41925A97B4}" name="Partido"/>
    <tableColumn id="2" xr3:uid="{4F05720F-6A98-4EE3-A5B6-1A4120D33495}" name="Mercado"/>
    <tableColumn id="3" xr3:uid="{6791CC02-2530-4CDF-8D65-20A90B32CA86}" name="Probabilidad real (%)" dataDxfId="3"/>
    <tableColumn id="4" xr3:uid="{D196A57B-4B70-4E24-A2B3-0CC066C20BF0}" name="Probabilidad Implicita (%)" dataDxfId="2">
      <calculatedColumnFormula>H49</calculatedColumnFormula>
    </tableColumn>
    <tableColumn id="5" xr3:uid="{DD630DBA-1B9F-44BC-A496-C7306AAD8D73}" name="Diferencia (%)" dataDxfId="1">
      <calculatedColumnFormula>Tabla663347[[#This Row],[Probabilidad real (%)]]-Tabla663347[[#This Row],[Probabilidad Implicita (%)]]</calculatedColumnFormula>
    </tableColumn>
    <tableColumn id="6" xr3:uid="{1EEE8EF8-756B-42B7-8000-0DCF726F5784}" name="Valor" dataDxfId="0">
      <calculatedColumnFormula>IF(Tabla663347[[#This Row],[Diferencia (%)]] &gt; 0, "Hay valor", "No hay Valor rey")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12" Type="http://schemas.openxmlformats.org/officeDocument/2006/relationships/table" Target="../tables/table18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6" Type="http://schemas.openxmlformats.org/officeDocument/2006/relationships/table" Target="../tables/table12.xml"/><Relationship Id="rId11" Type="http://schemas.openxmlformats.org/officeDocument/2006/relationships/table" Target="../tables/table17.xml"/><Relationship Id="rId5" Type="http://schemas.openxmlformats.org/officeDocument/2006/relationships/table" Target="../tables/table11.xml"/><Relationship Id="rId10" Type="http://schemas.openxmlformats.org/officeDocument/2006/relationships/table" Target="../tables/table16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5.xml"/><Relationship Id="rId13" Type="http://schemas.openxmlformats.org/officeDocument/2006/relationships/table" Target="../tables/table30.xml"/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12" Type="http://schemas.openxmlformats.org/officeDocument/2006/relationships/table" Target="../tables/table29.xml"/><Relationship Id="rId2" Type="http://schemas.openxmlformats.org/officeDocument/2006/relationships/table" Target="../tables/table19.xml"/><Relationship Id="rId1" Type="http://schemas.openxmlformats.org/officeDocument/2006/relationships/drawing" Target="../drawings/drawing2.xml"/><Relationship Id="rId6" Type="http://schemas.openxmlformats.org/officeDocument/2006/relationships/table" Target="../tables/table23.xml"/><Relationship Id="rId11" Type="http://schemas.openxmlformats.org/officeDocument/2006/relationships/table" Target="../tables/table28.xml"/><Relationship Id="rId5" Type="http://schemas.openxmlformats.org/officeDocument/2006/relationships/table" Target="../tables/table22.xml"/><Relationship Id="rId15" Type="http://schemas.openxmlformats.org/officeDocument/2006/relationships/table" Target="../tables/table32.xml"/><Relationship Id="rId10" Type="http://schemas.openxmlformats.org/officeDocument/2006/relationships/table" Target="../tables/table27.xml"/><Relationship Id="rId4" Type="http://schemas.openxmlformats.org/officeDocument/2006/relationships/table" Target="../tables/table21.xml"/><Relationship Id="rId9" Type="http://schemas.openxmlformats.org/officeDocument/2006/relationships/table" Target="../tables/table26.xml"/><Relationship Id="rId14" Type="http://schemas.openxmlformats.org/officeDocument/2006/relationships/table" Target="../tables/table3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0.xml"/><Relationship Id="rId13" Type="http://schemas.openxmlformats.org/officeDocument/2006/relationships/table" Target="../tables/table45.xml"/><Relationship Id="rId3" Type="http://schemas.openxmlformats.org/officeDocument/2006/relationships/table" Target="../tables/table35.xml"/><Relationship Id="rId7" Type="http://schemas.openxmlformats.org/officeDocument/2006/relationships/table" Target="../tables/table39.xml"/><Relationship Id="rId12" Type="http://schemas.openxmlformats.org/officeDocument/2006/relationships/table" Target="../tables/table44.xml"/><Relationship Id="rId2" Type="http://schemas.openxmlformats.org/officeDocument/2006/relationships/table" Target="../tables/table34.xml"/><Relationship Id="rId1" Type="http://schemas.openxmlformats.org/officeDocument/2006/relationships/table" Target="../tables/table33.xml"/><Relationship Id="rId6" Type="http://schemas.openxmlformats.org/officeDocument/2006/relationships/table" Target="../tables/table38.xml"/><Relationship Id="rId11" Type="http://schemas.openxmlformats.org/officeDocument/2006/relationships/table" Target="../tables/table43.xml"/><Relationship Id="rId5" Type="http://schemas.openxmlformats.org/officeDocument/2006/relationships/table" Target="../tables/table37.xml"/><Relationship Id="rId10" Type="http://schemas.openxmlformats.org/officeDocument/2006/relationships/table" Target="../tables/table42.xml"/><Relationship Id="rId4" Type="http://schemas.openxmlformats.org/officeDocument/2006/relationships/table" Target="../tables/table36.xml"/><Relationship Id="rId9" Type="http://schemas.openxmlformats.org/officeDocument/2006/relationships/table" Target="../tables/table41.xml"/><Relationship Id="rId14" Type="http://schemas.openxmlformats.org/officeDocument/2006/relationships/table" Target="../tables/table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73"/>
  <sheetViews>
    <sheetView zoomScale="79" zoomScaleNormal="108" workbookViewId="0">
      <selection activeCell="D44" sqref="D44"/>
    </sheetView>
  </sheetViews>
  <sheetFormatPr defaultColWidth="8.85546875" defaultRowHeight="14.45"/>
  <cols>
    <col min="1" max="1" width="12" customWidth="1"/>
    <col min="2" max="2" width="48.42578125" bestFit="1" customWidth="1"/>
    <col min="3" max="3" width="21.28515625" customWidth="1"/>
    <col min="4" max="4" width="34.28515625" bestFit="1" customWidth="1"/>
    <col min="5" max="5" width="53.42578125" bestFit="1" customWidth="1"/>
    <col min="6" max="6" width="26" bestFit="1" customWidth="1"/>
    <col min="7" max="7" width="26" customWidth="1"/>
    <col min="8" max="8" width="54.7109375" bestFit="1" customWidth="1"/>
    <col min="9" max="10" width="29.85546875" customWidth="1"/>
    <col min="11" max="11" width="41.7109375" bestFit="1" customWidth="1"/>
    <col min="12" max="12" width="35.85546875" bestFit="1" customWidth="1"/>
    <col min="13" max="14" width="30.28515625" customWidth="1"/>
    <col min="15" max="15" width="16.42578125" customWidth="1"/>
    <col min="16" max="16" width="15.7109375" customWidth="1"/>
    <col min="17" max="17" width="20" customWidth="1"/>
    <col min="18" max="18" width="22.85546875" customWidth="1"/>
    <col min="19" max="19" width="18.28515625" customWidth="1"/>
    <col min="20" max="20" width="17.28515625" customWidth="1"/>
  </cols>
  <sheetData>
    <row r="2" spans="2:16">
      <c r="B2" s="5" t="s">
        <v>0</v>
      </c>
      <c r="C2" s="5" t="s">
        <v>1</v>
      </c>
      <c r="D2" s="5" t="s">
        <v>2</v>
      </c>
    </row>
    <row r="3" spans="2:16">
      <c r="B3" s="8">
        <v>45659</v>
      </c>
      <c r="C3" s="6" t="s">
        <v>3</v>
      </c>
      <c r="D3" s="7" t="s">
        <v>4</v>
      </c>
    </row>
    <row r="5" spans="2:16">
      <c r="B5" t="s">
        <v>5</v>
      </c>
      <c r="E5" t="s">
        <v>6</v>
      </c>
      <c r="I5" t="s">
        <v>7</v>
      </c>
    </row>
    <row r="7" spans="2:16">
      <c r="B7" s="3" t="s">
        <v>8</v>
      </c>
      <c r="C7" s="3" t="s">
        <v>9</v>
      </c>
      <c r="E7" s="3" t="s">
        <v>10</v>
      </c>
      <c r="F7" s="3" t="s">
        <v>9</v>
      </c>
    </row>
    <row r="8" spans="2:16">
      <c r="B8" t="s">
        <v>11</v>
      </c>
      <c r="C8">
        <v>10</v>
      </c>
      <c r="E8" t="s">
        <v>11</v>
      </c>
      <c r="F8">
        <v>10</v>
      </c>
    </row>
    <row r="9" spans="2:16">
      <c r="B9" t="s">
        <v>12</v>
      </c>
      <c r="C9">
        <v>30</v>
      </c>
      <c r="E9" t="s">
        <v>13</v>
      </c>
      <c r="F9">
        <v>6</v>
      </c>
      <c r="G9" t="s">
        <v>14</v>
      </c>
      <c r="H9" t="s">
        <v>15</v>
      </c>
    </row>
    <row r="10" spans="2:16">
      <c r="B10" t="s">
        <v>16</v>
      </c>
      <c r="C10">
        <v>16</v>
      </c>
      <c r="E10" t="s">
        <v>16</v>
      </c>
      <c r="F10">
        <v>20</v>
      </c>
    </row>
    <row r="11" spans="2:16">
      <c r="B11" t="s">
        <v>17</v>
      </c>
      <c r="C11">
        <v>8</v>
      </c>
      <c r="E11" t="s">
        <v>17</v>
      </c>
      <c r="F11">
        <v>1</v>
      </c>
      <c r="P11" s="1"/>
    </row>
    <row r="12" spans="2:16">
      <c r="B12" t="s">
        <v>18</v>
      </c>
      <c r="C12" s="12">
        <f>C11/C8*100</f>
        <v>80</v>
      </c>
      <c r="D12" t="s">
        <v>19</v>
      </c>
      <c r="E12" t="s">
        <v>20</v>
      </c>
      <c r="F12">
        <f>F11/F8*100</f>
        <v>10</v>
      </c>
      <c r="G12" t="s">
        <v>19</v>
      </c>
    </row>
    <row r="13" spans="2:16">
      <c r="B13" t="s">
        <v>21</v>
      </c>
      <c r="C13">
        <f>C9/C8</f>
        <v>3</v>
      </c>
      <c r="E13" t="s">
        <v>22</v>
      </c>
      <c r="F13">
        <f>F9/F8</f>
        <v>0.6</v>
      </c>
    </row>
    <row r="14" spans="2:16">
      <c r="B14" t="s">
        <v>23</v>
      </c>
      <c r="C14">
        <f>C10/C8</f>
        <v>1.6</v>
      </c>
      <c r="E14" t="s">
        <v>24</v>
      </c>
      <c r="F14">
        <f>F10/F8</f>
        <v>2</v>
      </c>
    </row>
    <row r="15" spans="2:16">
      <c r="B15" t="s">
        <v>25</v>
      </c>
      <c r="C15">
        <f>C12+(C13-C14)/C8</f>
        <v>80.14</v>
      </c>
      <c r="D15" t="s">
        <v>19</v>
      </c>
      <c r="E15" t="s">
        <v>26</v>
      </c>
      <c r="F15">
        <f>F12+(F13-F14)/F8</f>
        <v>9.86</v>
      </c>
      <c r="G15" t="s">
        <v>19</v>
      </c>
    </row>
    <row r="16" spans="2:16">
      <c r="B16" t="s">
        <v>27</v>
      </c>
      <c r="C16">
        <f>C15/100</f>
        <v>0.8014</v>
      </c>
      <c r="E16" t="s">
        <v>28</v>
      </c>
      <c r="F16">
        <f>F15/100</f>
        <v>9.8599999999999993E-2</v>
      </c>
    </row>
    <row r="17" spans="2:6">
      <c r="B17" t="s">
        <v>29</v>
      </c>
      <c r="C17" t="s">
        <v>30</v>
      </c>
      <c r="D17" t="s">
        <v>31</v>
      </c>
      <c r="E17" t="s">
        <v>29</v>
      </c>
      <c r="F17" t="s">
        <v>32</v>
      </c>
    </row>
    <row r="18" spans="2:6">
      <c r="B18" t="s">
        <v>33</v>
      </c>
      <c r="C18" t="s">
        <v>34</v>
      </c>
      <c r="E18" t="s">
        <v>33</v>
      </c>
      <c r="F18" t="s">
        <v>35</v>
      </c>
    </row>
    <row r="19" spans="2:6">
      <c r="B19" t="s">
        <v>36</v>
      </c>
      <c r="C19">
        <v>81</v>
      </c>
      <c r="E19" t="s">
        <v>37</v>
      </c>
      <c r="F19">
        <v>42</v>
      </c>
    </row>
    <row r="20" spans="2:6">
      <c r="B20" t="s">
        <v>38</v>
      </c>
      <c r="C20">
        <f>C19/C8</f>
        <v>8.1</v>
      </c>
      <c r="E20" t="s">
        <v>39</v>
      </c>
      <c r="F20">
        <f>F19/F8</f>
        <v>4.2</v>
      </c>
    </row>
    <row r="21" spans="2:6">
      <c r="B21" s="1" t="s">
        <v>40</v>
      </c>
      <c r="C21">
        <v>99</v>
      </c>
      <c r="E21" s="1" t="s">
        <v>40</v>
      </c>
    </row>
    <row r="22" spans="2:6">
      <c r="B22" t="s">
        <v>41</v>
      </c>
      <c r="C22">
        <f>C21/C8</f>
        <v>9.9</v>
      </c>
      <c r="E22" t="s">
        <v>41</v>
      </c>
    </row>
    <row r="23" spans="2:6">
      <c r="B23" t="s">
        <v>42</v>
      </c>
      <c r="C23">
        <f>(C20+F20)/2</f>
        <v>6.15</v>
      </c>
      <c r="E23" t="s">
        <v>43</v>
      </c>
    </row>
    <row r="24" spans="2:6">
      <c r="B24" t="s">
        <v>44</v>
      </c>
      <c r="C24">
        <f>(C13+F13)/2</f>
        <v>1.8</v>
      </c>
      <c r="E24" t="s">
        <v>44</v>
      </c>
    </row>
    <row r="30" spans="2:6">
      <c r="C30" t="s">
        <v>45</v>
      </c>
      <c r="D30">
        <f>1-(C16+F16)</f>
        <v>9.9999999999999978E-2</v>
      </c>
    </row>
    <row r="31" spans="2:6">
      <c r="C31" t="s">
        <v>46</v>
      </c>
      <c r="D31">
        <f>D30*100</f>
        <v>9.9999999999999982</v>
      </c>
      <c r="E31" t="s">
        <v>19</v>
      </c>
    </row>
    <row r="34" spans="2:13">
      <c r="B34" t="s">
        <v>47</v>
      </c>
      <c r="C34">
        <v>1.9</v>
      </c>
      <c r="D34" t="s">
        <v>48</v>
      </c>
      <c r="E34" s="4">
        <f t="shared" ref="E34:E41" si="0">1/C34</f>
        <v>0.52631578947368418</v>
      </c>
    </row>
    <row r="35" spans="2:13">
      <c r="B35" t="s">
        <v>49</v>
      </c>
      <c r="C35">
        <v>12.5</v>
      </c>
      <c r="D35" t="s">
        <v>48</v>
      </c>
      <c r="E35" s="4">
        <f t="shared" si="0"/>
        <v>0.08</v>
      </c>
    </row>
    <row r="36" spans="2:13">
      <c r="B36" t="s">
        <v>50</v>
      </c>
      <c r="C36">
        <v>20</v>
      </c>
      <c r="D36" t="s">
        <v>48</v>
      </c>
      <c r="E36" s="4">
        <f t="shared" si="0"/>
        <v>0.05</v>
      </c>
    </row>
    <row r="37" spans="2:13">
      <c r="B37" t="s">
        <v>51</v>
      </c>
      <c r="C37">
        <v>2.7</v>
      </c>
      <c r="D37" t="s">
        <v>48</v>
      </c>
      <c r="E37" s="4">
        <f t="shared" si="0"/>
        <v>0.37037037037037035</v>
      </c>
      <c r="H37" s="2"/>
      <c r="I37" s="2" t="s">
        <v>52</v>
      </c>
      <c r="J37" s="2"/>
      <c r="K37" s="2"/>
      <c r="L37" s="2"/>
      <c r="M37" s="2"/>
    </row>
    <row r="38" spans="2:13">
      <c r="B38" t="s">
        <v>53</v>
      </c>
      <c r="C38">
        <v>1.52</v>
      </c>
      <c r="D38" t="s">
        <v>48</v>
      </c>
      <c r="E38" s="4">
        <f t="shared" si="0"/>
        <v>0.65789473684210531</v>
      </c>
      <c r="H38" s="2"/>
      <c r="I38" s="2"/>
      <c r="J38" s="2"/>
      <c r="K38" s="2"/>
      <c r="L38" s="2"/>
      <c r="M38" s="2"/>
    </row>
    <row r="39" spans="2:13">
      <c r="B39" t="s">
        <v>54</v>
      </c>
      <c r="C39">
        <v>1.22</v>
      </c>
      <c r="D39" t="s">
        <v>48</v>
      </c>
      <c r="E39" s="4">
        <f t="shared" si="0"/>
        <v>0.81967213114754101</v>
      </c>
      <c r="H39" s="2" t="s">
        <v>55</v>
      </c>
      <c r="I39" s="2" t="s">
        <v>56</v>
      </c>
      <c r="J39" s="2"/>
      <c r="K39" s="2">
        <v>11</v>
      </c>
      <c r="L39" s="2">
        <v>13</v>
      </c>
      <c r="M39" s="2" t="s">
        <v>57</v>
      </c>
    </row>
    <row r="40" spans="2:13">
      <c r="B40" t="s">
        <v>58</v>
      </c>
      <c r="C40">
        <v>1.18</v>
      </c>
      <c r="D40" t="s">
        <v>48</v>
      </c>
      <c r="E40" s="4">
        <f t="shared" si="0"/>
        <v>0.84745762711864414</v>
      </c>
      <c r="H40" s="2" t="s">
        <v>55</v>
      </c>
      <c r="I40" s="2" t="s">
        <v>59</v>
      </c>
      <c r="J40" s="2"/>
      <c r="K40" s="2">
        <v>10</v>
      </c>
      <c r="L40" s="2">
        <v>11</v>
      </c>
      <c r="M40" s="2" t="s">
        <v>57</v>
      </c>
    </row>
    <row r="41" spans="2:13">
      <c r="B41" t="s">
        <v>60</v>
      </c>
      <c r="C41">
        <v>2.0699999999999998</v>
      </c>
      <c r="D41" t="s">
        <v>48</v>
      </c>
      <c r="E41" s="4">
        <f t="shared" si="0"/>
        <v>0.48309178743961356</v>
      </c>
      <c r="H41" s="2" t="s">
        <v>55</v>
      </c>
      <c r="I41" s="2" t="s">
        <v>61</v>
      </c>
      <c r="J41" s="2"/>
      <c r="K41" s="2">
        <v>14</v>
      </c>
      <c r="L41" s="2">
        <v>13</v>
      </c>
      <c r="M41" s="2" t="s">
        <v>57</v>
      </c>
    </row>
    <row r="42" spans="2:13">
      <c r="H42" s="2" t="s">
        <v>55</v>
      </c>
      <c r="I42" s="2" t="s">
        <v>62</v>
      </c>
      <c r="J42" s="2"/>
      <c r="K42" s="2">
        <v>5</v>
      </c>
      <c r="L42" s="2">
        <v>14</v>
      </c>
      <c r="M42" s="2" t="s">
        <v>57</v>
      </c>
    </row>
    <row r="43" spans="2:13">
      <c r="H43" s="2" t="s">
        <v>55</v>
      </c>
      <c r="I43" s="2" t="s">
        <v>63</v>
      </c>
      <c r="J43" s="2"/>
      <c r="K43" s="2">
        <v>7</v>
      </c>
      <c r="L43" s="2">
        <v>26</v>
      </c>
      <c r="M43" s="2" t="s">
        <v>57</v>
      </c>
    </row>
    <row r="44" spans="2:13">
      <c r="H44" s="2" t="s">
        <v>55</v>
      </c>
      <c r="I44" s="2" t="s">
        <v>64</v>
      </c>
      <c r="J44" s="2"/>
      <c r="K44" s="2">
        <v>9</v>
      </c>
      <c r="L44" s="2">
        <v>16</v>
      </c>
      <c r="M44" s="2" t="s">
        <v>57</v>
      </c>
    </row>
    <row r="45" spans="2:13">
      <c r="H45" s="2" t="s">
        <v>55</v>
      </c>
      <c r="I45" s="2" t="s">
        <v>65</v>
      </c>
      <c r="J45" s="2"/>
      <c r="K45" s="2">
        <v>11</v>
      </c>
      <c r="L45" s="2">
        <v>9</v>
      </c>
      <c r="M45" s="2" t="s">
        <v>57</v>
      </c>
    </row>
    <row r="46" spans="2:13">
      <c r="H46" s="2" t="s">
        <v>55</v>
      </c>
      <c r="I46" s="2" t="s">
        <v>61</v>
      </c>
      <c r="J46" s="2"/>
      <c r="K46" s="2">
        <v>15</v>
      </c>
      <c r="L46" s="2">
        <v>17</v>
      </c>
      <c r="M46" s="2" t="s">
        <v>57</v>
      </c>
    </row>
    <row r="47" spans="2:13">
      <c r="C47" s="25" t="s">
        <v>66</v>
      </c>
      <c r="D47" s="25"/>
      <c r="H47" s="2" t="s">
        <v>55</v>
      </c>
      <c r="I47" s="2" t="s">
        <v>67</v>
      </c>
      <c r="J47" s="2"/>
      <c r="K47" s="2">
        <v>10</v>
      </c>
      <c r="L47" s="2">
        <v>11</v>
      </c>
      <c r="M47" s="2" t="s">
        <v>57</v>
      </c>
    </row>
    <row r="48" spans="2:13">
      <c r="C48" t="s">
        <v>68</v>
      </c>
      <c r="D48" t="s">
        <v>69</v>
      </c>
      <c r="H48" s="2" t="s">
        <v>55</v>
      </c>
      <c r="I48" s="2" t="s">
        <v>70</v>
      </c>
      <c r="J48" s="2"/>
      <c r="K48" s="2">
        <v>7</v>
      </c>
      <c r="L48" s="2">
        <v>11</v>
      </c>
      <c r="M48" s="2" t="s">
        <v>57</v>
      </c>
    </row>
    <row r="49" spans="2:14">
      <c r="B49" t="s">
        <v>71</v>
      </c>
      <c r="C49">
        <f>C15</f>
        <v>80.14</v>
      </c>
      <c r="D49" s="4">
        <f>E34</f>
        <v>0.52631578947368418</v>
      </c>
    </row>
    <row r="50" spans="2:14">
      <c r="B50" t="s">
        <v>26</v>
      </c>
      <c r="C50">
        <f>F15</f>
        <v>9.86</v>
      </c>
      <c r="D50" s="4">
        <f>E36</f>
        <v>0.05</v>
      </c>
    </row>
    <row r="51" spans="2:14">
      <c r="B51" t="s">
        <v>45</v>
      </c>
      <c r="C51">
        <f>D31</f>
        <v>9.9999999999999982</v>
      </c>
      <c r="D51" s="4">
        <f>E35</f>
        <v>0.08</v>
      </c>
      <c r="K51">
        <f>SUM(K39:K48)</f>
        <v>99</v>
      </c>
    </row>
    <row r="52" spans="2:14">
      <c r="B52" t="s">
        <v>72</v>
      </c>
      <c r="C52" s="9">
        <f>I77</f>
        <v>59.038203838548831</v>
      </c>
      <c r="D52" s="4">
        <f>E41</f>
        <v>0.48309178743961356</v>
      </c>
      <c r="H52" s="2"/>
      <c r="I52" s="2" t="s">
        <v>73</v>
      </c>
      <c r="J52" s="2" t="s">
        <v>74</v>
      </c>
      <c r="K52" s="2"/>
      <c r="L52" s="2"/>
      <c r="M52" s="2"/>
      <c r="N52" t="s">
        <v>75</v>
      </c>
    </row>
    <row r="53" spans="2:14">
      <c r="B53" t="s">
        <v>76</v>
      </c>
      <c r="C53" s="9">
        <f>I106</f>
        <v>33.476340190792996</v>
      </c>
      <c r="D53" s="4">
        <f>E39</f>
        <v>0.81967213114754101</v>
      </c>
      <c r="H53" s="2"/>
      <c r="I53" s="2"/>
      <c r="J53" s="2"/>
      <c r="K53" s="2"/>
      <c r="L53" s="2"/>
      <c r="M53" s="2"/>
    </row>
    <row r="54" spans="2:14">
      <c r="H54" s="2" t="s">
        <v>55</v>
      </c>
      <c r="I54" s="2" t="s">
        <v>56</v>
      </c>
      <c r="J54" s="2">
        <f>SUM(K54:K63)/10</f>
        <v>8.1</v>
      </c>
      <c r="K54" s="2">
        <v>8</v>
      </c>
      <c r="L54" s="2">
        <v>2</v>
      </c>
      <c r="M54" s="2" t="s">
        <v>57</v>
      </c>
      <c r="N54">
        <f>(K54-J54)^2</f>
        <v>9.9999999999999291E-3</v>
      </c>
    </row>
    <row r="55" spans="2:14">
      <c r="H55" s="2" t="s">
        <v>55</v>
      </c>
      <c r="I55" s="2" t="s">
        <v>59</v>
      </c>
      <c r="J55" s="2">
        <f>SUM(K54:K63)/10</f>
        <v>8.1</v>
      </c>
      <c r="K55" s="2">
        <v>11</v>
      </c>
      <c r="L55" s="2">
        <v>6</v>
      </c>
      <c r="M55" s="2" t="s">
        <v>57</v>
      </c>
      <c r="N55">
        <f>(K55-J55)^2</f>
        <v>8.4100000000000019</v>
      </c>
    </row>
    <row r="56" spans="2:14">
      <c r="H56" s="2" t="s">
        <v>55</v>
      </c>
      <c r="I56" s="2" t="s">
        <v>61</v>
      </c>
      <c r="J56" s="2">
        <f>SUM(K54:K63)/10</f>
        <v>8.1</v>
      </c>
      <c r="K56" s="2">
        <v>9</v>
      </c>
      <c r="L56" s="2">
        <v>5</v>
      </c>
      <c r="M56" s="2" t="s">
        <v>57</v>
      </c>
      <c r="N56">
        <f t="shared" ref="N56:N63" si="1">(K56-J56)^2</f>
        <v>0.81000000000000061</v>
      </c>
    </row>
    <row r="57" spans="2:14">
      <c r="H57" s="2" t="s">
        <v>55</v>
      </c>
      <c r="I57" s="2" t="s">
        <v>62</v>
      </c>
      <c r="J57" s="2">
        <f>SUM(K54:K63)/10</f>
        <v>8.1</v>
      </c>
      <c r="K57" s="2">
        <v>6</v>
      </c>
      <c r="L57" s="2">
        <v>6</v>
      </c>
      <c r="M57" s="2" t="s">
        <v>57</v>
      </c>
      <c r="N57">
        <f t="shared" si="1"/>
        <v>4.4099999999999984</v>
      </c>
    </row>
    <row r="58" spans="2:14">
      <c r="H58" s="2" t="s">
        <v>55</v>
      </c>
      <c r="I58" s="2" t="s">
        <v>63</v>
      </c>
      <c r="J58" s="2">
        <f>SUM(K54:K63)/10</f>
        <v>8.1</v>
      </c>
      <c r="K58" s="2">
        <v>5</v>
      </c>
      <c r="L58" s="2">
        <v>3</v>
      </c>
      <c r="M58" s="2" t="s">
        <v>57</v>
      </c>
      <c r="N58">
        <f t="shared" si="1"/>
        <v>9.6099999999999977</v>
      </c>
    </row>
    <row r="59" spans="2:14">
      <c r="H59" s="2" t="s">
        <v>55</v>
      </c>
      <c r="I59" s="2" t="s">
        <v>64</v>
      </c>
      <c r="J59" s="2">
        <f>SUM(K54:K63)/10</f>
        <v>8.1</v>
      </c>
      <c r="K59" s="2">
        <v>11</v>
      </c>
      <c r="L59" s="2">
        <v>3</v>
      </c>
      <c r="M59" s="2" t="s">
        <v>57</v>
      </c>
      <c r="N59">
        <f t="shared" si="1"/>
        <v>8.4100000000000019</v>
      </c>
    </row>
    <row r="60" spans="2:14">
      <c r="H60" s="2" t="s">
        <v>55</v>
      </c>
      <c r="I60" s="2" t="s">
        <v>65</v>
      </c>
      <c r="J60" s="2">
        <f>SUM(K54:K63)/10</f>
        <v>8.1</v>
      </c>
      <c r="K60" s="2">
        <v>8</v>
      </c>
      <c r="L60" s="2">
        <v>5</v>
      </c>
      <c r="M60" s="2" t="s">
        <v>57</v>
      </c>
      <c r="N60">
        <f t="shared" si="1"/>
        <v>9.9999999999999291E-3</v>
      </c>
    </row>
    <row r="61" spans="2:14">
      <c r="H61" s="2" t="s">
        <v>55</v>
      </c>
      <c r="I61" s="2" t="s">
        <v>61</v>
      </c>
      <c r="J61" s="2">
        <f>SUM(K54:K63)/10</f>
        <v>8.1</v>
      </c>
      <c r="K61" s="2">
        <v>10</v>
      </c>
      <c r="L61" s="2">
        <v>3</v>
      </c>
      <c r="M61" s="2" t="s">
        <v>57</v>
      </c>
      <c r="N61">
        <f t="shared" si="1"/>
        <v>3.6100000000000012</v>
      </c>
    </row>
    <row r="62" spans="2:14">
      <c r="H62" s="2" t="s">
        <v>55</v>
      </c>
      <c r="I62" s="2" t="s">
        <v>67</v>
      </c>
      <c r="J62" s="2">
        <f>SUM(K54:K63)/10</f>
        <v>8.1</v>
      </c>
      <c r="K62" s="2">
        <v>11</v>
      </c>
      <c r="L62" s="2">
        <v>4</v>
      </c>
      <c r="M62" s="2" t="s">
        <v>57</v>
      </c>
      <c r="N62">
        <f t="shared" si="1"/>
        <v>8.4100000000000019</v>
      </c>
    </row>
    <row r="63" spans="2:14">
      <c r="H63" s="2" t="s">
        <v>55</v>
      </c>
      <c r="I63" s="2" t="s">
        <v>70</v>
      </c>
      <c r="J63" s="2">
        <f>SUM(K54:K63)/10</f>
        <v>8.1</v>
      </c>
      <c r="K63" s="2">
        <v>2</v>
      </c>
      <c r="L63" s="2">
        <v>5</v>
      </c>
      <c r="M63" s="2" t="s">
        <v>57</v>
      </c>
      <c r="N63">
        <f t="shared" si="1"/>
        <v>37.209999999999994</v>
      </c>
    </row>
    <row r="67" spans="8:14">
      <c r="L67" s="2" t="s">
        <v>77</v>
      </c>
      <c r="M67" s="2">
        <f>SUM(N54:N63)</f>
        <v>80.900000000000006</v>
      </c>
    </row>
    <row r="69" spans="8:14">
      <c r="L69" t="s">
        <v>78</v>
      </c>
      <c r="M69">
        <f>M67/10</f>
        <v>8.09</v>
      </c>
    </row>
    <row r="71" spans="8:14">
      <c r="H71" t="s">
        <v>79</v>
      </c>
      <c r="L71" t="s">
        <v>80</v>
      </c>
      <c r="M71" s="9">
        <f>SQRT(M69)</f>
        <v>2.8442925306655784</v>
      </c>
    </row>
    <row r="73" spans="8:14">
      <c r="L73" t="s">
        <v>81</v>
      </c>
      <c r="M73" s="10">
        <f>SQRT(M69)</f>
        <v>2.8442925306655784</v>
      </c>
    </row>
    <row r="75" spans="8:14">
      <c r="I75" t="s">
        <v>82</v>
      </c>
    </row>
    <row r="76" spans="8:14">
      <c r="H76" t="s">
        <v>83</v>
      </c>
      <c r="I76">
        <f>1- NORMDIST(5.5,C23,M73,TRUE)</f>
        <v>0.59038203838548831</v>
      </c>
    </row>
    <row r="77" spans="8:14">
      <c r="H77" t="s">
        <v>84</v>
      </c>
      <c r="I77" s="11">
        <f>I76*100</f>
        <v>59.038203838548831</v>
      </c>
      <c r="J77">
        <v>59.04</v>
      </c>
    </row>
    <row r="80" spans="8:14">
      <c r="H80" s="13"/>
      <c r="I80" s="13"/>
      <c r="J80" s="13"/>
      <c r="K80" s="13"/>
      <c r="L80" s="13"/>
      <c r="M80" s="13"/>
      <c r="N80" s="13"/>
    </row>
    <row r="82" spans="8:14">
      <c r="H82" s="2"/>
      <c r="I82" s="2" t="s">
        <v>85</v>
      </c>
      <c r="J82" s="2" t="s">
        <v>74</v>
      </c>
      <c r="K82" s="2"/>
      <c r="L82" s="2"/>
      <c r="M82" s="2"/>
      <c r="N82" t="s">
        <v>75</v>
      </c>
    </row>
    <row r="83" spans="8:14">
      <c r="H83" s="2"/>
      <c r="I83" s="2"/>
      <c r="J83" s="2"/>
      <c r="K83" s="2"/>
      <c r="L83" s="2"/>
      <c r="M83" s="2"/>
    </row>
    <row r="84" spans="8:14">
      <c r="H84" s="2" t="s">
        <v>55</v>
      </c>
      <c r="I84" s="2" t="s">
        <v>56</v>
      </c>
      <c r="J84" s="2">
        <f>SUM(K84:K93)/10</f>
        <v>2.9</v>
      </c>
      <c r="K84" s="2">
        <v>4</v>
      </c>
      <c r="L84" s="2">
        <v>1</v>
      </c>
      <c r="M84" s="2" t="s">
        <v>57</v>
      </c>
      <c r="N84">
        <f>(K84-J84)^2</f>
        <v>1.2100000000000002</v>
      </c>
    </row>
    <row r="85" spans="8:14">
      <c r="H85" s="2" t="s">
        <v>55</v>
      </c>
      <c r="I85" s="2" t="s">
        <v>59</v>
      </c>
      <c r="J85" s="2">
        <f>SUM(K84:K93)/10</f>
        <v>2.9</v>
      </c>
      <c r="K85" s="2">
        <v>5</v>
      </c>
      <c r="L85" s="2">
        <v>2</v>
      </c>
      <c r="M85" s="2" t="s">
        <v>57</v>
      </c>
      <c r="N85">
        <f t="shared" ref="N85:N93" si="2">(K85-J85)^2</f>
        <v>4.41</v>
      </c>
    </row>
    <row r="86" spans="8:14">
      <c r="H86" s="2" t="s">
        <v>55</v>
      </c>
      <c r="I86" s="2" t="s">
        <v>61</v>
      </c>
      <c r="J86" s="2">
        <f>SUM(K84:K93)/10</f>
        <v>2.9</v>
      </c>
      <c r="K86" s="2">
        <v>2</v>
      </c>
      <c r="L86" s="2">
        <v>5</v>
      </c>
      <c r="M86" s="2" t="s">
        <v>57</v>
      </c>
      <c r="N86">
        <f t="shared" si="2"/>
        <v>0.80999999999999983</v>
      </c>
    </row>
    <row r="87" spans="8:14">
      <c r="H87" s="2" t="s">
        <v>55</v>
      </c>
      <c r="I87" s="2" t="s">
        <v>62</v>
      </c>
      <c r="J87" s="2">
        <f>SUM(K84:K93)/10</f>
        <v>2.9</v>
      </c>
      <c r="K87" s="2">
        <v>4</v>
      </c>
      <c r="L87" s="2">
        <v>2</v>
      </c>
      <c r="M87" s="2" t="s">
        <v>57</v>
      </c>
      <c r="N87">
        <f t="shared" si="2"/>
        <v>1.2100000000000002</v>
      </c>
    </row>
    <row r="88" spans="8:14">
      <c r="H88" s="2" t="s">
        <v>55</v>
      </c>
      <c r="I88" s="2" t="s">
        <v>63</v>
      </c>
      <c r="J88" s="2">
        <f>SUM(K84:K93)/10</f>
        <v>2.9</v>
      </c>
      <c r="K88" s="2">
        <v>2</v>
      </c>
      <c r="L88" s="2">
        <v>0</v>
      </c>
      <c r="M88" s="2" t="s">
        <v>57</v>
      </c>
      <c r="N88">
        <f t="shared" si="2"/>
        <v>0.80999999999999983</v>
      </c>
    </row>
    <row r="89" spans="8:14">
      <c r="H89" s="2" t="s">
        <v>55</v>
      </c>
      <c r="I89" s="2" t="s">
        <v>64</v>
      </c>
      <c r="J89" s="2">
        <f>SUM(K84:K93)/10</f>
        <v>2.9</v>
      </c>
      <c r="K89" s="2">
        <v>4</v>
      </c>
      <c r="L89" s="2">
        <v>0</v>
      </c>
      <c r="M89" s="2" t="s">
        <v>57</v>
      </c>
      <c r="N89">
        <f t="shared" si="2"/>
        <v>1.2100000000000002</v>
      </c>
    </row>
    <row r="90" spans="8:14">
      <c r="H90" s="2" t="s">
        <v>55</v>
      </c>
      <c r="I90" s="2" t="s">
        <v>65</v>
      </c>
      <c r="J90" s="2">
        <f>SUM(K84:K93)/10</f>
        <v>2.9</v>
      </c>
      <c r="K90" s="2">
        <v>1</v>
      </c>
      <c r="L90" s="2">
        <v>3</v>
      </c>
      <c r="M90" s="2" t="s">
        <v>57</v>
      </c>
      <c r="N90">
        <f t="shared" si="2"/>
        <v>3.61</v>
      </c>
    </row>
    <row r="91" spans="8:14">
      <c r="H91" s="2" t="s">
        <v>55</v>
      </c>
      <c r="I91" s="2" t="s">
        <v>61</v>
      </c>
      <c r="J91" s="2">
        <f>SUM(K84:K93)/10</f>
        <v>2.9</v>
      </c>
      <c r="K91" s="2">
        <v>0</v>
      </c>
      <c r="L91" s="2">
        <v>4</v>
      </c>
      <c r="M91" s="2" t="s">
        <v>57</v>
      </c>
      <c r="N91">
        <f t="shared" si="2"/>
        <v>8.41</v>
      </c>
    </row>
    <row r="92" spans="8:14">
      <c r="H92" s="2" t="s">
        <v>55</v>
      </c>
      <c r="I92" s="2" t="s">
        <v>67</v>
      </c>
      <c r="J92" s="2">
        <f>SUM(K84:K93)/10</f>
        <v>2.9</v>
      </c>
      <c r="K92" s="2">
        <v>5</v>
      </c>
      <c r="L92" s="2">
        <v>2</v>
      </c>
      <c r="M92" s="2" t="s">
        <v>57</v>
      </c>
      <c r="N92">
        <f t="shared" si="2"/>
        <v>4.41</v>
      </c>
    </row>
    <row r="93" spans="8:14">
      <c r="H93" s="2" t="s">
        <v>55</v>
      </c>
      <c r="I93" s="2" t="s">
        <v>70</v>
      </c>
      <c r="J93" s="2">
        <f>SUM(K84:K93)/10</f>
        <v>2.9</v>
      </c>
      <c r="K93" s="2">
        <v>2</v>
      </c>
      <c r="L93" s="2">
        <v>0</v>
      </c>
      <c r="M93" s="2" t="s">
        <v>57</v>
      </c>
      <c r="N93">
        <f t="shared" si="2"/>
        <v>0.80999999999999983</v>
      </c>
    </row>
    <row r="96" spans="8:14">
      <c r="L96" t="s">
        <v>77</v>
      </c>
      <c r="M96">
        <f>SUM(N84:N93)</f>
        <v>26.9</v>
      </c>
    </row>
    <row r="98" spans="8:13">
      <c r="L98" t="s">
        <v>78</v>
      </c>
      <c r="M98">
        <f>M96/10</f>
        <v>2.69</v>
      </c>
    </row>
    <row r="100" spans="8:13">
      <c r="H100" t="s">
        <v>86</v>
      </c>
      <c r="L100" t="s">
        <v>80</v>
      </c>
      <c r="M100">
        <f>SQRT(M98)</f>
        <v>1.6401219466856725</v>
      </c>
    </row>
    <row r="102" spans="8:13">
      <c r="L102" t="s">
        <v>81</v>
      </c>
      <c r="M102" s="9">
        <f>SQRT(M98)</f>
        <v>1.6401219466856725</v>
      </c>
    </row>
    <row r="104" spans="8:13">
      <c r="I104" t="s">
        <v>87</v>
      </c>
    </row>
    <row r="105" spans="8:13">
      <c r="H105" t="s">
        <v>83</v>
      </c>
      <c r="I105">
        <f>1- NORMDIST(2.5,C24,M102,TRUE)</f>
        <v>0.33476340190792997</v>
      </c>
    </row>
    <row r="106" spans="8:13">
      <c r="H106" t="s">
        <v>88</v>
      </c>
      <c r="I106" s="11">
        <f>I105*100</f>
        <v>33.476340190792996</v>
      </c>
      <c r="J106" t="s">
        <v>19</v>
      </c>
    </row>
    <row r="114" spans="1:7">
      <c r="E114" t="s">
        <v>15</v>
      </c>
      <c r="F114" t="s">
        <v>89</v>
      </c>
    </row>
    <row r="117" spans="1:7">
      <c r="A117" s="2"/>
      <c r="B117" s="2" t="s">
        <v>85</v>
      </c>
      <c r="C117" s="2" t="s">
        <v>74</v>
      </c>
      <c r="D117" s="2"/>
      <c r="E117" s="2"/>
      <c r="F117" s="2"/>
      <c r="G117" t="s">
        <v>75</v>
      </c>
    </row>
    <row r="118" spans="1:7">
      <c r="A118" s="2"/>
      <c r="B118" s="2"/>
      <c r="C118" s="2"/>
      <c r="D118" s="2"/>
      <c r="E118" s="2"/>
      <c r="F118" s="2"/>
    </row>
    <row r="119" spans="1:7">
      <c r="A119" s="2" t="s">
        <v>4</v>
      </c>
      <c r="B119" s="2" t="s">
        <v>90</v>
      </c>
      <c r="C119" s="2">
        <f>SUM(D119:D127)/10</f>
        <v>0.6</v>
      </c>
      <c r="D119" s="2">
        <v>2</v>
      </c>
      <c r="E119" s="2">
        <v>3</v>
      </c>
      <c r="F119" s="2" t="s">
        <v>91</v>
      </c>
      <c r="G119">
        <f>(D119-C119)^2</f>
        <v>1.9599999999999997</v>
      </c>
    </row>
    <row r="120" spans="1:7">
      <c r="A120" s="2" t="s">
        <v>4</v>
      </c>
      <c r="B120" s="2" t="s">
        <v>92</v>
      </c>
      <c r="C120" s="2">
        <f>SUM(D119:D127)/10</f>
        <v>0.6</v>
      </c>
      <c r="D120" s="2">
        <v>1</v>
      </c>
      <c r="E120" s="2">
        <v>1</v>
      </c>
      <c r="F120" s="2" t="s">
        <v>91</v>
      </c>
      <c r="G120">
        <f t="shared" ref="G120:G127" si="3">(D120-C120)^2</f>
        <v>0.16000000000000003</v>
      </c>
    </row>
    <row r="121" spans="1:7">
      <c r="A121" s="2" t="s">
        <v>4</v>
      </c>
      <c r="B121" s="2" t="s">
        <v>93</v>
      </c>
      <c r="C121" s="2">
        <f>SUM(D119:D127)/10</f>
        <v>0.6</v>
      </c>
      <c r="D121" s="2">
        <v>0</v>
      </c>
      <c r="E121" s="2">
        <v>5</v>
      </c>
      <c r="F121" s="2" t="s">
        <v>91</v>
      </c>
      <c r="G121">
        <f t="shared" si="3"/>
        <v>0.36</v>
      </c>
    </row>
    <row r="122" spans="1:7">
      <c r="A122" s="2" t="s">
        <v>4</v>
      </c>
      <c r="B122" s="2" t="s">
        <v>94</v>
      </c>
      <c r="C122" s="2">
        <f>SUM(D119:D127)/10</f>
        <v>0.6</v>
      </c>
      <c r="D122" s="2">
        <v>0</v>
      </c>
      <c r="E122" s="2">
        <v>2</v>
      </c>
      <c r="F122" s="2" t="s">
        <v>91</v>
      </c>
      <c r="G122">
        <f t="shared" si="3"/>
        <v>0.36</v>
      </c>
    </row>
    <row r="123" spans="1:7">
      <c r="A123" s="2" t="s">
        <v>4</v>
      </c>
      <c r="B123" s="2" t="s">
        <v>95</v>
      </c>
      <c r="C123" s="2">
        <f>SUM(D119:D127)/10</f>
        <v>0.6</v>
      </c>
      <c r="D123" s="2">
        <v>3</v>
      </c>
      <c r="E123" s="2">
        <v>1</v>
      </c>
      <c r="F123" s="2" t="s">
        <v>91</v>
      </c>
      <c r="G123">
        <f t="shared" si="3"/>
        <v>5.76</v>
      </c>
    </row>
    <row r="124" spans="1:7">
      <c r="A124" s="2" t="s">
        <v>4</v>
      </c>
      <c r="B124" s="2" t="s">
        <v>96</v>
      </c>
      <c r="C124" s="2">
        <f>SUM(D119:D127)/10</f>
        <v>0.6</v>
      </c>
      <c r="D124" s="2">
        <v>0</v>
      </c>
      <c r="E124" s="2">
        <v>0</v>
      </c>
      <c r="F124" s="2" t="s">
        <v>91</v>
      </c>
      <c r="G124">
        <f t="shared" si="3"/>
        <v>0.36</v>
      </c>
    </row>
    <row r="125" spans="1:7">
      <c r="A125" s="2" t="s">
        <v>4</v>
      </c>
      <c r="B125" s="2" t="s">
        <v>97</v>
      </c>
      <c r="C125" s="2">
        <f>SUM(D119:D127)/10</f>
        <v>0.6</v>
      </c>
      <c r="D125" s="2">
        <v>0</v>
      </c>
      <c r="E125" s="2">
        <v>5</v>
      </c>
      <c r="F125" s="2" t="s">
        <v>91</v>
      </c>
      <c r="G125">
        <f t="shared" si="3"/>
        <v>0.36</v>
      </c>
    </row>
    <row r="126" spans="1:7">
      <c r="A126" s="2" t="s">
        <v>4</v>
      </c>
      <c r="B126" s="2" t="s">
        <v>98</v>
      </c>
      <c r="C126" s="2">
        <f>SUM(D119:D127)/10</f>
        <v>0.6</v>
      </c>
      <c r="D126" s="2">
        <v>0</v>
      </c>
      <c r="E126" s="2">
        <v>0</v>
      </c>
      <c r="F126" s="2" t="s">
        <v>91</v>
      </c>
      <c r="G126">
        <f t="shared" si="3"/>
        <v>0.36</v>
      </c>
    </row>
    <row r="127" spans="1:7">
      <c r="A127" s="2" t="s">
        <v>4</v>
      </c>
      <c r="B127" s="2" t="s">
        <v>99</v>
      </c>
      <c r="C127" s="2">
        <f>SUM(D119:D127)/10</f>
        <v>0.6</v>
      </c>
      <c r="D127" s="2">
        <v>0</v>
      </c>
      <c r="E127" s="2">
        <v>3</v>
      </c>
      <c r="F127" s="2" t="s">
        <v>91</v>
      </c>
      <c r="G127">
        <f t="shared" si="3"/>
        <v>0.36</v>
      </c>
    </row>
    <row r="128" spans="1:7">
      <c r="A128" s="2" t="s">
        <v>4</v>
      </c>
      <c r="B128" s="2" t="s">
        <v>100</v>
      </c>
      <c r="C128">
        <f>SUM(D119:D127)/10</f>
        <v>0.6</v>
      </c>
      <c r="D128" s="2">
        <v>2</v>
      </c>
      <c r="E128" s="2">
        <v>3</v>
      </c>
      <c r="F128" s="2" t="s">
        <v>91</v>
      </c>
      <c r="G128">
        <f>(D128-C128)^2</f>
        <v>1.9599999999999997</v>
      </c>
    </row>
    <row r="130" spans="1:6">
      <c r="E130" t="s">
        <v>77</v>
      </c>
      <c r="F130">
        <f>SUM(G119:G128)</f>
        <v>11.999999999999996</v>
      </c>
    </row>
    <row r="132" spans="1:6">
      <c r="E132" t="s">
        <v>78</v>
      </c>
      <c r="F132">
        <f>F130/10</f>
        <v>1.1999999999999997</v>
      </c>
    </row>
    <row r="134" spans="1:6">
      <c r="A134" t="s">
        <v>86</v>
      </c>
      <c r="E134" t="s">
        <v>80</v>
      </c>
      <c r="F134">
        <f>SQRT(F132)</f>
        <v>1.0954451150103321</v>
      </c>
    </row>
    <row r="136" spans="1:6">
      <c r="E136" t="s">
        <v>81</v>
      </c>
      <c r="F136" s="9">
        <f>SQRT(F132)</f>
        <v>1.0954451150103321</v>
      </c>
    </row>
    <row r="138" spans="1:6">
      <c r="B138" t="s">
        <v>87</v>
      </c>
    </row>
    <row r="139" spans="1:6">
      <c r="A139" t="s">
        <v>83</v>
      </c>
      <c r="B139">
        <f>1- NORMDIST(2.5,C24,F136,TRUE)</f>
        <v>0.2614083269595443</v>
      </c>
    </row>
    <row r="140" spans="1:6">
      <c r="A140" t="s">
        <v>88</v>
      </c>
      <c r="B140" s="11">
        <f>B139*100</f>
        <v>26.14083269595443</v>
      </c>
      <c r="C140" t="s">
        <v>19</v>
      </c>
    </row>
    <row r="148" spans="1:7">
      <c r="A148" s="2"/>
      <c r="B148" s="2" t="s">
        <v>73</v>
      </c>
      <c r="C148" s="2" t="s">
        <v>74</v>
      </c>
      <c r="D148" s="2"/>
      <c r="E148" s="2"/>
      <c r="F148" s="2"/>
      <c r="G148" t="s">
        <v>75</v>
      </c>
    </row>
    <row r="149" spans="1:7">
      <c r="A149" s="2"/>
      <c r="B149" s="2"/>
      <c r="C149" s="2"/>
      <c r="D149" s="2"/>
      <c r="E149" s="2"/>
      <c r="F149" s="2"/>
    </row>
    <row r="150" spans="1:7">
      <c r="A150" s="2" t="s">
        <v>4</v>
      </c>
      <c r="B150" s="2" t="s">
        <v>90</v>
      </c>
      <c r="C150" s="2">
        <f>SUM(D150:D159)/10</f>
        <v>4.2</v>
      </c>
      <c r="D150" s="2">
        <v>2</v>
      </c>
      <c r="E150" s="2">
        <v>1</v>
      </c>
      <c r="F150" s="2" t="s">
        <v>91</v>
      </c>
      <c r="G150">
        <f>(D150-C150)^2</f>
        <v>4.8400000000000007</v>
      </c>
    </row>
    <row r="151" spans="1:7">
      <c r="A151" s="2" t="s">
        <v>4</v>
      </c>
      <c r="B151" s="2" t="s">
        <v>92</v>
      </c>
      <c r="C151" s="2">
        <f>SUM(D150:D159)/10</f>
        <v>4.2</v>
      </c>
      <c r="D151" s="2">
        <v>9</v>
      </c>
      <c r="E151" s="2">
        <v>1</v>
      </c>
      <c r="F151" s="2" t="s">
        <v>91</v>
      </c>
      <c r="G151">
        <f>(D151-C151)^2</f>
        <v>23.04</v>
      </c>
    </row>
    <row r="152" spans="1:7">
      <c r="A152" s="2" t="s">
        <v>4</v>
      </c>
      <c r="B152" s="2" t="s">
        <v>93</v>
      </c>
      <c r="C152" s="2">
        <f>SUM(D150:D159)/10</f>
        <v>4.2</v>
      </c>
      <c r="D152" s="2">
        <v>3</v>
      </c>
      <c r="E152" s="2">
        <v>6</v>
      </c>
      <c r="F152" s="2" t="s">
        <v>91</v>
      </c>
      <c r="G152">
        <f t="shared" ref="G152:G159" si="4">(D152-C152)^2</f>
        <v>1.4400000000000004</v>
      </c>
    </row>
    <row r="153" spans="1:7">
      <c r="A153" s="2" t="s">
        <v>4</v>
      </c>
      <c r="B153" s="2" t="s">
        <v>94</v>
      </c>
      <c r="C153" s="2">
        <f>SUM(D150:D159)/10</f>
        <v>4.2</v>
      </c>
      <c r="D153" s="2">
        <v>3</v>
      </c>
      <c r="E153" s="2">
        <v>5</v>
      </c>
      <c r="F153" s="2" t="s">
        <v>91</v>
      </c>
      <c r="G153">
        <f t="shared" si="4"/>
        <v>1.4400000000000004</v>
      </c>
    </row>
    <row r="154" spans="1:7">
      <c r="A154" s="2" t="s">
        <v>4</v>
      </c>
      <c r="B154" s="2" t="s">
        <v>95</v>
      </c>
      <c r="C154" s="2">
        <f>SUM(D150:D159)/10</f>
        <v>4.2</v>
      </c>
      <c r="D154" s="2">
        <v>3</v>
      </c>
      <c r="E154" s="2">
        <v>4</v>
      </c>
      <c r="F154" s="2" t="s">
        <v>91</v>
      </c>
      <c r="G154">
        <f t="shared" si="4"/>
        <v>1.4400000000000004</v>
      </c>
    </row>
    <row r="155" spans="1:7">
      <c r="A155" s="2" t="s">
        <v>4</v>
      </c>
      <c r="B155" s="2" t="s">
        <v>96</v>
      </c>
      <c r="C155" s="2">
        <f>SUM(D150:D159)/10</f>
        <v>4.2</v>
      </c>
      <c r="D155" s="2">
        <v>9</v>
      </c>
      <c r="E155" s="2">
        <v>4</v>
      </c>
      <c r="F155" s="2" t="s">
        <v>91</v>
      </c>
      <c r="G155">
        <f t="shared" si="4"/>
        <v>23.04</v>
      </c>
    </row>
    <row r="156" spans="1:7">
      <c r="A156" s="2" t="s">
        <v>4</v>
      </c>
      <c r="B156" s="2" t="s">
        <v>97</v>
      </c>
      <c r="C156" s="2">
        <f>SUM(D150:D159)/10</f>
        <v>4.2</v>
      </c>
      <c r="D156" s="2">
        <v>3</v>
      </c>
      <c r="E156" s="2">
        <v>4</v>
      </c>
      <c r="F156" s="2" t="s">
        <v>91</v>
      </c>
      <c r="G156">
        <f t="shared" si="4"/>
        <v>1.4400000000000004</v>
      </c>
    </row>
    <row r="157" spans="1:7">
      <c r="A157" s="2" t="s">
        <v>4</v>
      </c>
      <c r="B157" s="2" t="s">
        <v>98</v>
      </c>
      <c r="C157" s="2">
        <f>SUM(D150:D159)/10</f>
        <v>4.2</v>
      </c>
      <c r="D157" s="2">
        <v>2</v>
      </c>
      <c r="E157" s="2">
        <v>3</v>
      </c>
      <c r="F157" s="2" t="s">
        <v>91</v>
      </c>
      <c r="G157">
        <f t="shared" si="4"/>
        <v>4.8400000000000007</v>
      </c>
    </row>
    <row r="158" spans="1:7">
      <c r="A158" s="2" t="s">
        <v>4</v>
      </c>
      <c r="B158" s="2" t="s">
        <v>99</v>
      </c>
      <c r="C158" s="2">
        <f>SUM(D150:D159)/10</f>
        <v>4.2</v>
      </c>
      <c r="D158" s="2">
        <v>2</v>
      </c>
      <c r="E158" s="2">
        <v>4</v>
      </c>
      <c r="F158" s="2" t="s">
        <v>91</v>
      </c>
      <c r="G158">
        <f t="shared" si="4"/>
        <v>4.8400000000000007</v>
      </c>
    </row>
    <row r="159" spans="1:7">
      <c r="A159" s="2" t="s">
        <v>4</v>
      </c>
      <c r="B159" s="2" t="s">
        <v>100</v>
      </c>
      <c r="C159" s="2">
        <f>SUM(D150:D159)/10</f>
        <v>4.2</v>
      </c>
      <c r="D159" s="2">
        <v>6</v>
      </c>
      <c r="E159" s="2">
        <v>4</v>
      </c>
      <c r="F159" s="2" t="s">
        <v>91</v>
      </c>
      <c r="G159">
        <f t="shared" si="4"/>
        <v>3.2399999999999993</v>
      </c>
    </row>
    <row r="163" spans="1:6">
      <c r="E163" s="2" t="s">
        <v>77</v>
      </c>
      <c r="F163" s="2">
        <f>SUM(G150:G159)</f>
        <v>69.599999999999994</v>
      </c>
    </row>
    <row r="165" spans="1:6">
      <c r="E165" t="s">
        <v>78</v>
      </c>
      <c r="F165">
        <f>F163/10</f>
        <v>6.9599999999999991</v>
      </c>
    </row>
    <row r="167" spans="1:6">
      <c r="A167" t="s">
        <v>79</v>
      </c>
      <c r="E167" t="s">
        <v>80</v>
      </c>
      <c r="F167" s="9">
        <f>SQRT(F165)</f>
        <v>2.6381811916545836</v>
      </c>
    </row>
    <row r="169" spans="1:6">
      <c r="E169" t="s">
        <v>81</v>
      </c>
      <c r="F169" s="10">
        <f>SQRT(F165)</f>
        <v>2.6381811916545836</v>
      </c>
    </row>
    <row r="171" spans="1:6">
      <c r="B171" t="s">
        <v>82</v>
      </c>
    </row>
    <row r="172" spans="1:6">
      <c r="A172" t="s">
        <v>83</v>
      </c>
      <c r="B172">
        <f>1- NORMDIST(5.5,C23,F169,TRUE)</f>
        <v>0.59730667804665738</v>
      </c>
    </row>
    <row r="173" spans="1:6">
      <c r="A173" t="s">
        <v>84</v>
      </c>
      <c r="B173" s="11">
        <f>B172*100</f>
        <v>59.730667804665735</v>
      </c>
      <c r="C173" t="s">
        <v>19</v>
      </c>
    </row>
  </sheetData>
  <mergeCells count="1">
    <mergeCell ref="C47:D47"/>
  </mergeCells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AF9B3-4B04-4A8A-8631-7119182AEDAD}">
  <dimension ref="A1:P173"/>
  <sheetViews>
    <sheetView zoomScale="98" workbookViewId="0">
      <selection activeCell="D44" sqref="D44"/>
    </sheetView>
  </sheetViews>
  <sheetFormatPr defaultColWidth="8.85546875" defaultRowHeight="14.45"/>
  <cols>
    <col min="1" max="1" width="12" customWidth="1"/>
    <col min="2" max="2" width="48.42578125" bestFit="1" customWidth="1"/>
    <col min="3" max="3" width="21.28515625" customWidth="1"/>
    <col min="4" max="4" width="34.28515625" bestFit="1" customWidth="1"/>
    <col min="5" max="5" width="53.42578125" bestFit="1" customWidth="1"/>
    <col min="6" max="6" width="26" bestFit="1" customWidth="1"/>
    <col min="7" max="7" width="26" customWidth="1"/>
    <col min="8" max="8" width="54.7109375" bestFit="1" customWidth="1"/>
    <col min="9" max="10" width="29.85546875" customWidth="1"/>
    <col min="11" max="11" width="41.7109375" bestFit="1" customWidth="1"/>
    <col min="12" max="12" width="35.85546875" bestFit="1" customWidth="1"/>
    <col min="13" max="14" width="30.28515625" customWidth="1"/>
    <col min="15" max="15" width="16.42578125" customWidth="1"/>
    <col min="16" max="16" width="15.7109375" customWidth="1"/>
    <col min="17" max="17" width="20" customWidth="1"/>
    <col min="18" max="18" width="22.85546875" customWidth="1"/>
    <col min="19" max="19" width="18.28515625" customWidth="1"/>
    <col min="20" max="20" width="17.28515625" customWidth="1"/>
  </cols>
  <sheetData>
    <row r="1" spans="2:16">
      <c r="C1" t="s">
        <v>101</v>
      </c>
    </row>
    <row r="2" spans="2:16">
      <c r="B2" s="5" t="s">
        <v>0</v>
      </c>
      <c r="C2" s="5" t="s">
        <v>1</v>
      </c>
      <c r="D2" s="5" t="s">
        <v>2</v>
      </c>
    </row>
    <row r="3" spans="2:16">
      <c r="B3" s="8">
        <v>45680</v>
      </c>
      <c r="C3" s="6" t="s">
        <v>102</v>
      </c>
      <c r="D3" s="7" t="s">
        <v>103</v>
      </c>
    </row>
    <row r="4" spans="2:16">
      <c r="C4" t="s">
        <v>104</v>
      </c>
    </row>
    <row r="5" spans="2:16">
      <c r="B5" t="s">
        <v>5</v>
      </c>
      <c r="E5" t="s">
        <v>6</v>
      </c>
    </row>
    <row r="7" spans="2:16">
      <c r="B7" s="3" t="s">
        <v>8</v>
      </c>
      <c r="C7" s="3" t="s">
        <v>9</v>
      </c>
      <c r="E7" s="3" t="s">
        <v>10</v>
      </c>
      <c r="F7" s="3" t="s">
        <v>9</v>
      </c>
    </row>
    <row r="8" spans="2:16">
      <c r="B8" t="s">
        <v>11</v>
      </c>
      <c r="C8">
        <v>10</v>
      </c>
      <c r="E8" t="s">
        <v>11</v>
      </c>
      <c r="F8">
        <v>10</v>
      </c>
    </row>
    <row r="9" spans="2:16">
      <c r="B9" t="s">
        <v>12</v>
      </c>
      <c r="C9">
        <v>15</v>
      </c>
      <c r="E9" t="s">
        <v>13</v>
      </c>
      <c r="F9">
        <v>18</v>
      </c>
    </row>
    <row r="10" spans="2:16">
      <c r="B10" t="s">
        <v>16</v>
      </c>
      <c r="C10">
        <v>13</v>
      </c>
      <c r="E10" t="s">
        <v>16</v>
      </c>
      <c r="F10">
        <v>12</v>
      </c>
    </row>
    <row r="11" spans="2:16">
      <c r="B11" t="s">
        <v>17</v>
      </c>
      <c r="C11">
        <v>4</v>
      </c>
      <c r="E11" t="s">
        <v>17</v>
      </c>
      <c r="F11">
        <v>3</v>
      </c>
      <c r="P11" s="1"/>
    </row>
    <row r="12" spans="2:16">
      <c r="B12" t="s">
        <v>18</v>
      </c>
      <c r="C12" s="12">
        <f>C11/C8*100</f>
        <v>40</v>
      </c>
      <c r="D12" t="s">
        <v>19</v>
      </c>
      <c r="E12" t="s">
        <v>20</v>
      </c>
      <c r="F12">
        <f>F11/F8*100</f>
        <v>30</v>
      </c>
      <c r="G12" t="s">
        <v>19</v>
      </c>
    </row>
    <row r="13" spans="2:16">
      <c r="B13" t="s">
        <v>21</v>
      </c>
      <c r="C13">
        <f>C9/C8</f>
        <v>1.5</v>
      </c>
      <c r="E13" t="s">
        <v>105</v>
      </c>
      <c r="F13">
        <f>F9/F8</f>
        <v>1.8</v>
      </c>
    </row>
    <row r="14" spans="2:16">
      <c r="B14" t="s">
        <v>23</v>
      </c>
      <c r="C14">
        <f>C10/C8</f>
        <v>1.3</v>
      </c>
      <c r="E14" t="s">
        <v>24</v>
      </c>
      <c r="F14">
        <f>F10/F8</f>
        <v>1.2</v>
      </c>
    </row>
    <row r="15" spans="2:16">
      <c r="B15" t="s">
        <v>25</v>
      </c>
      <c r="C15">
        <f>C12+(C13-C14)/C8</f>
        <v>40.020000000000003</v>
      </c>
      <c r="E15" t="s">
        <v>26</v>
      </c>
      <c r="F15">
        <f>F12+(F13-F14)/F8</f>
        <v>30.06</v>
      </c>
      <c r="G15" t="s">
        <v>19</v>
      </c>
    </row>
    <row r="16" spans="2:16">
      <c r="B16" t="s">
        <v>27</v>
      </c>
      <c r="C16">
        <f>C15/100</f>
        <v>0.40020000000000006</v>
      </c>
      <c r="E16" t="s">
        <v>28</v>
      </c>
      <c r="F16">
        <f>F15/100</f>
        <v>0.30059999999999998</v>
      </c>
    </row>
    <row r="17" spans="2:6">
      <c r="B17" t="s">
        <v>29</v>
      </c>
      <c r="C17" t="s">
        <v>30</v>
      </c>
      <c r="D17" t="s">
        <v>31</v>
      </c>
      <c r="E17" t="s">
        <v>29</v>
      </c>
      <c r="F17" t="s">
        <v>32</v>
      </c>
    </row>
    <row r="18" spans="2:6">
      <c r="B18" t="s">
        <v>33</v>
      </c>
      <c r="C18" t="s">
        <v>34</v>
      </c>
      <c r="E18" t="s">
        <v>33</v>
      </c>
      <c r="F18" t="s">
        <v>35</v>
      </c>
    </row>
    <row r="19" spans="2:6">
      <c r="B19" t="s">
        <v>36</v>
      </c>
      <c r="C19">
        <v>58</v>
      </c>
      <c r="E19" t="s">
        <v>37</v>
      </c>
      <c r="F19">
        <v>62</v>
      </c>
    </row>
    <row r="20" spans="2:6">
      <c r="B20" t="s">
        <v>38</v>
      </c>
      <c r="C20">
        <f>C19/C8</f>
        <v>5.8</v>
      </c>
      <c r="E20" t="s">
        <v>39</v>
      </c>
      <c r="F20">
        <f>F19/F8</f>
        <v>6.2</v>
      </c>
    </row>
    <row r="21" spans="2:6">
      <c r="B21" s="1" t="s">
        <v>40</v>
      </c>
      <c r="C21">
        <v>132</v>
      </c>
      <c r="E21" s="1" t="s">
        <v>40</v>
      </c>
    </row>
    <row r="22" spans="2:6">
      <c r="B22" t="s">
        <v>41</v>
      </c>
      <c r="C22">
        <f>C21/C8</f>
        <v>13.2</v>
      </c>
      <c r="E22" t="s">
        <v>41</v>
      </c>
    </row>
    <row r="23" spans="2:6">
      <c r="B23" t="s">
        <v>42</v>
      </c>
      <c r="C23">
        <f>C20+F20</f>
        <v>12</v>
      </c>
      <c r="E23" t="s">
        <v>43</v>
      </c>
    </row>
    <row r="24" spans="2:6">
      <c r="B24" t="s">
        <v>44</v>
      </c>
      <c r="C24">
        <f>C13+F13</f>
        <v>3.3</v>
      </c>
      <c r="E24" t="s">
        <v>44</v>
      </c>
    </row>
    <row r="25" spans="2:6">
      <c r="B25" t="s">
        <v>106</v>
      </c>
      <c r="C25">
        <f>SQRT((I76^2) + (B172^2))</f>
        <v>1.1840072111276561</v>
      </c>
    </row>
    <row r="26" spans="2:6">
      <c r="B26" t="s">
        <v>107</v>
      </c>
      <c r="C26">
        <f>1- NORMDIST(9.5,C23,C25,TRUE)</f>
        <v>0.98263418876622566</v>
      </c>
      <c r="D26" t="s">
        <v>19</v>
      </c>
    </row>
    <row r="27" spans="2:6">
      <c r="B27" t="s">
        <v>108</v>
      </c>
      <c r="C27" s="9">
        <f>SQRT((I105^2) + (B139^2))</f>
        <v>1.0034204037550369</v>
      </c>
      <c r="E27" t="s">
        <v>109</v>
      </c>
    </row>
    <row r="28" spans="2:6">
      <c r="B28" t="s">
        <v>110</v>
      </c>
      <c r="C28">
        <f>1- NORMDIST(2.5,C24,C27,TRUE)</f>
        <v>0.78735375246989225</v>
      </c>
      <c r="D28" t="s">
        <v>19</v>
      </c>
      <c r="E28" t="s">
        <v>111</v>
      </c>
    </row>
    <row r="30" spans="2:6">
      <c r="C30" t="s">
        <v>45</v>
      </c>
      <c r="D30">
        <f>1-(C16+F16)</f>
        <v>0.29919999999999991</v>
      </c>
    </row>
    <row r="31" spans="2:6">
      <c r="C31" t="s">
        <v>46</v>
      </c>
      <c r="D31">
        <f>D30*100</f>
        <v>29.919999999999991</v>
      </c>
      <c r="E31" t="s">
        <v>19</v>
      </c>
    </row>
    <row r="34" spans="2:13">
      <c r="B34" t="s">
        <v>47</v>
      </c>
      <c r="C34">
        <v>2.82</v>
      </c>
      <c r="D34" t="s">
        <v>48</v>
      </c>
      <c r="E34" s="4">
        <f t="shared" ref="E34:E41" si="0">1/C34</f>
        <v>0.3546099290780142</v>
      </c>
    </row>
    <row r="35" spans="2:13">
      <c r="B35" t="s">
        <v>49</v>
      </c>
      <c r="C35">
        <v>12.5</v>
      </c>
      <c r="D35" t="s">
        <v>48</v>
      </c>
      <c r="E35" s="4">
        <f t="shared" si="0"/>
        <v>0.08</v>
      </c>
    </row>
    <row r="36" spans="2:13">
      <c r="B36" t="s">
        <v>50</v>
      </c>
      <c r="C36">
        <v>2.35</v>
      </c>
      <c r="D36" t="s">
        <v>48</v>
      </c>
      <c r="E36" s="4">
        <f t="shared" si="0"/>
        <v>0.42553191489361702</v>
      </c>
    </row>
    <row r="37" spans="2:13">
      <c r="B37" t="s">
        <v>51</v>
      </c>
      <c r="C37">
        <v>2.7</v>
      </c>
      <c r="D37" t="s">
        <v>48</v>
      </c>
      <c r="E37" s="4">
        <f t="shared" si="0"/>
        <v>0.37037037037037035</v>
      </c>
      <c r="H37" s="2"/>
      <c r="I37" s="2" t="s">
        <v>52</v>
      </c>
      <c r="J37" s="2"/>
      <c r="K37" s="2"/>
      <c r="L37" s="2"/>
      <c r="M37" s="2"/>
    </row>
    <row r="38" spans="2:13">
      <c r="B38" t="s">
        <v>53</v>
      </c>
      <c r="C38">
        <v>1.52</v>
      </c>
      <c r="D38" t="s">
        <v>48</v>
      </c>
      <c r="E38" s="4">
        <f t="shared" si="0"/>
        <v>0.65789473684210531</v>
      </c>
      <c r="H38" s="2"/>
      <c r="I38" s="2"/>
      <c r="J38" s="2"/>
      <c r="K38" s="2"/>
      <c r="L38" s="2"/>
      <c r="M38" s="2"/>
    </row>
    <row r="39" spans="2:13">
      <c r="B39" t="s">
        <v>54</v>
      </c>
      <c r="C39">
        <v>1.22</v>
      </c>
      <c r="D39" t="s">
        <v>48</v>
      </c>
      <c r="E39" s="4">
        <f t="shared" si="0"/>
        <v>0.81967213114754101</v>
      </c>
      <c r="H39" s="2" t="s">
        <v>102</v>
      </c>
      <c r="I39" s="2" t="s">
        <v>112</v>
      </c>
      <c r="J39" s="2"/>
      <c r="K39" s="2">
        <v>15</v>
      </c>
      <c r="L39" s="2">
        <v>14</v>
      </c>
      <c r="M39" s="2" t="s">
        <v>57</v>
      </c>
    </row>
    <row r="40" spans="2:13">
      <c r="B40" t="s">
        <v>58</v>
      </c>
      <c r="C40">
        <v>1.18</v>
      </c>
      <c r="D40" t="s">
        <v>48</v>
      </c>
      <c r="E40" s="4">
        <f t="shared" si="0"/>
        <v>0.84745762711864414</v>
      </c>
      <c r="H40" s="2" t="s">
        <v>102</v>
      </c>
      <c r="I40" s="2" t="s">
        <v>113</v>
      </c>
      <c r="J40" s="2"/>
      <c r="K40" s="2">
        <v>14</v>
      </c>
      <c r="L40" s="2">
        <v>6</v>
      </c>
      <c r="M40" s="2" t="s">
        <v>57</v>
      </c>
    </row>
    <row r="41" spans="2:13">
      <c r="B41" t="s">
        <v>60</v>
      </c>
      <c r="C41">
        <v>2.0699999999999998</v>
      </c>
      <c r="D41" t="s">
        <v>48</v>
      </c>
      <c r="E41" s="4">
        <f t="shared" si="0"/>
        <v>0.48309178743961356</v>
      </c>
      <c r="H41" s="2" t="s">
        <v>102</v>
      </c>
      <c r="I41" s="2" t="s">
        <v>114</v>
      </c>
      <c r="J41" s="2"/>
      <c r="K41" s="2">
        <v>17</v>
      </c>
      <c r="L41" s="2">
        <v>18</v>
      </c>
      <c r="M41" s="2" t="s">
        <v>57</v>
      </c>
    </row>
    <row r="42" spans="2:13">
      <c r="H42" s="2" t="s">
        <v>102</v>
      </c>
      <c r="I42" s="2" t="s">
        <v>115</v>
      </c>
      <c r="J42" s="2"/>
      <c r="K42" s="2">
        <v>10</v>
      </c>
      <c r="L42" s="2">
        <v>5</v>
      </c>
      <c r="M42" s="2" t="s">
        <v>57</v>
      </c>
    </row>
    <row r="43" spans="2:13">
      <c r="H43" s="2" t="s">
        <v>102</v>
      </c>
      <c r="I43" s="2" t="s">
        <v>116</v>
      </c>
      <c r="J43" s="2"/>
      <c r="K43" s="2">
        <v>14</v>
      </c>
      <c r="L43" s="2">
        <v>12</v>
      </c>
      <c r="M43" s="2" t="s">
        <v>57</v>
      </c>
    </row>
    <row r="44" spans="2:13">
      <c r="H44" s="2" t="s">
        <v>102</v>
      </c>
      <c r="I44" s="2" t="s">
        <v>117</v>
      </c>
      <c r="J44" s="2"/>
      <c r="K44" s="2">
        <v>13</v>
      </c>
      <c r="L44" s="2">
        <v>12</v>
      </c>
      <c r="M44" s="2" t="s">
        <v>57</v>
      </c>
    </row>
    <row r="45" spans="2:13">
      <c r="H45" s="2" t="s">
        <v>102</v>
      </c>
      <c r="I45" s="2" t="s">
        <v>118</v>
      </c>
      <c r="J45" s="2"/>
      <c r="K45" s="2">
        <v>10</v>
      </c>
      <c r="L45" s="2">
        <v>10</v>
      </c>
      <c r="M45" s="2" t="s">
        <v>57</v>
      </c>
    </row>
    <row r="46" spans="2:13">
      <c r="H46" s="2" t="s">
        <v>102</v>
      </c>
      <c r="I46" s="2" t="s">
        <v>119</v>
      </c>
      <c r="J46" s="2"/>
      <c r="K46" s="2">
        <v>15</v>
      </c>
      <c r="L46" s="2">
        <v>9</v>
      </c>
      <c r="M46" s="2" t="s">
        <v>57</v>
      </c>
    </row>
    <row r="47" spans="2:13">
      <c r="C47" s="25" t="s">
        <v>66</v>
      </c>
      <c r="D47" s="25"/>
      <c r="H47" s="2" t="s">
        <v>102</v>
      </c>
      <c r="I47" s="2" t="s">
        <v>120</v>
      </c>
      <c r="J47" s="2"/>
      <c r="K47" s="2">
        <v>10</v>
      </c>
      <c r="L47" s="2">
        <v>12</v>
      </c>
      <c r="M47" s="2" t="s">
        <v>57</v>
      </c>
    </row>
    <row r="48" spans="2:13">
      <c r="C48" t="s">
        <v>68</v>
      </c>
      <c r="D48" t="s">
        <v>69</v>
      </c>
      <c r="H48" s="2" t="s">
        <v>102</v>
      </c>
      <c r="I48" s="2" t="s">
        <v>121</v>
      </c>
      <c r="J48" s="2"/>
      <c r="K48" s="2">
        <v>14</v>
      </c>
      <c r="L48" s="2">
        <v>8</v>
      </c>
      <c r="M48" s="2" t="s">
        <v>57</v>
      </c>
    </row>
    <row r="49" spans="2:14">
      <c r="B49" t="s">
        <v>71</v>
      </c>
      <c r="C49">
        <f>C15</f>
        <v>40.020000000000003</v>
      </c>
      <c r="D49" s="4">
        <f>E34</f>
        <v>0.3546099290780142</v>
      </c>
    </row>
    <row r="50" spans="2:14">
      <c r="B50" t="s">
        <v>26</v>
      </c>
      <c r="C50">
        <f>F15</f>
        <v>30.06</v>
      </c>
      <c r="D50" s="4">
        <f>E36</f>
        <v>0.42553191489361702</v>
      </c>
      <c r="H50">
        <f>SUM(K39:K48)</f>
        <v>132</v>
      </c>
    </row>
    <row r="51" spans="2:14">
      <c r="B51" t="s">
        <v>45</v>
      </c>
      <c r="C51">
        <f>D31</f>
        <v>29.919999999999991</v>
      </c>
      <c r="D51" s="4">
        <f>E35</f>
        <v>0.08</v>
      </c>
      <c r="K51">
        <f>SUM(K39:K48)</f>
        <v>132</v>
      </c>
    </row>
    <row r="52" spans="2:14">
      <c r="B52" t="s">
        <v>72</v>
      </c>
      <c r="C52" s="9">
        <f>I77</f>
        <v>87.914679399611757</v>
      </c>
      <c r="D52" s="4">
        <f>E41</f>
        <v>0.48309178743961356</v>
      </c>
      <c r="H52" s="2"/>
      <c r="I52" s="2" t="s">
        <v>73</v>
      </c>
      <c r="J52" s="2" t="s">
        <v>74</v>
      </c>
      <c r="K52" s="2"/>
      <c r="L52" s="2"/>
      <c r="M52" s="2"/>
      <c r="N52" t="s">
        <v>75</v>
      </c>
    </row>
    <row r="53" spans="2:14">
      <c r="B53" t="s">
        <v>76</v>
      </c>
      <c r="C53" s="9">
        <f>I106</f>
        <v>73.329174326365276</v>
      </c>
      <c r="D53" s="4">
        <f>E39</f>
        <v>0.81967213114754101</v>
      </c>
      <c r="H53" s="2"/>
      <c r="I53" s="2"/>
      <c r="J53" s="2"/>
      <c r="K53" s="2"/>
      <c r="L53" s="2"/>
      <c r="M53" s="2"/>
    </row>
    <row r="54" spans="2:14">
      <c r="B54" t="s">
        <v>122</v>
      </c>
      <c r="C54" s="9">
        <f>B173</f>
        <v>79.307880479094763</v>
      </c>
      <c r="H54" s="2" t="s">
        <v>102</v>
      </c>
      <c r="I54" s="2" t="s">
        <v>112</v>
      </c>
      <c r="J54" s="2">
        <f>SUM(K54:K63)/10</f>
        <v>5.8</v>
      </c>
      <c r="K54" s="2">
        <v>4</v>
      </c>
      <c r="L54" s="2">
        <v>8</v>
      </c>
      <c r="M54" s="2" t="s">
        <v>57</v>
      </c>
      <c r="N54">
        <f>(K54-J54)^2</f>
        <v>3.2399999999999993</v>
      </c>
    </row>
    <row r="55" spans="2:14">
      <c r="H55" s="2" t="s">
        <v>102</v>
      </c>
      <c r="I55" s="2" t="s">
        <v>113</v>
      </c>
      <c r="J55" s="2">
        <f>SUM(K54:K63)/10</f>
        <v>5.8</v>
      </c>
      <c r="K55" s="2">
        <v>8</v>
      </c>
      <c r="L55" s="2">
        <v>4</v>
      </c>
      <c r="M55" s="2" t="s">
        <v>57</v>
      </c>
      <c r="N55">
        <f>(K55-J55)^2</f>
        <v>4.8400000000000007</v>
      </c>
    </row>
    <row r="56" spans="2:14">
      <c r="H56" s="2" t="s">
        <v>102</v>
      </c>
      <c r="I56" s="2" t="s">
        <v>114</v>
      </c>
      <c r="J56" s="2">
        <f>SUM(K54:K63)/10</f>
        <v>5.8</v>
      </c>
      <c r="K56" s="2">
        <v>4</v>
      </c>
      <c r="L56" s="2">
        <v>2</v>
      </c>
      <c r="M56" s="2" t="s">
        <v>57</v>
      </c>
      <c r="N56">
        <f t="shared" ref="N56:N63" si="1">(K56-J56)^2</f>
        <v>3.2399999999999993</v>
      </c>
    </row>
    <row r="57" spans="2:14">
      <c r="H57" s="2" t="s">
        <v>102</v>
      </c>
      <c r="I57" s="2" t="s">
        <v>115</v>
      </c>
      <c r="J57" s="2">
        <f>SUM(K54:K63)/10</f>
        <v>5.8</v>
      </c>
      <c r="K57" s="2">
        <v>4</v>
      </c>
      <c r="L57" s="2">
        <v>3</v>
      </c>
      <c r="M57" s="2" t="s">
        <v>57</v>
      </c>
      <c r="N57">
        <f t="shared" si="1"/>
        <v>3.2399999999999993</v>
      </c>
    </row>
    <row r="58" spans="2:14">
      <c r="H58" s="2" t="s">
        <v>102</v>
      </c>
      <c r="I58" s="2" t="s">
        <v>116</v>
      </c>
      <c r="J58" s="2">
        <f>SUM(K54:K63)/10</f>
        <v>5.8</v>
      </c>
      <c r="K58" s="2">
        <v>5</v>
      </c>
      <c r="L58" s="2">
        <v>3</v>
      </c>
      <c r="M58" s="2" t="s">
        <v>57</v>
      </c>
      <c r="N58">
        <f t="shared" si="1"/>
        <v>0.63999999999999968</v>
      </c>
    </row>
    <row r="59" spans="2:14">
      <c r="H59" s="2" t="s">
        <v>102</v>
      </c>
      <c r="I59" s="2" t="s">
        <v>117</v>
      </c>
      <c r="J59" s="2">
        <f>SUM(K54:K63)/10</f>
        <v>5.8</v>
      </c>
      <c r="K59" s="2">
        <v>8</v>
      </c>
      <c r="L59" s="2">
        <v>8</v>
      </c>
      <c r="M59" s="2" t="s">
        <v>57</v>
      </c>
      <c r="N59">
        <f t="shared" si="1"/>
        <v>4.8400000000000007</v>
      </c>
    </row>
    <row r="60" spans="2:14">
      <c r="H60" s="2" t="s">
        <v>102</v>
      </c>
      <c r="I60" s="2" t="s">
        <v>118</v>
      </c>
      <c r="J60" s="2">
        <f>SUM(K54:K63)/10</f>
        <v>5.8</v>
      </c>
      <c r="K60" s="2">
        <v>7</v>
      </c>
      <c r="L60" s="2">
        <v>2</v>
      </c>
      <c r="M60" s="2" t="s">
        <v>57</v>
      </c>
      <c r="N60">
        <f t="shared" si="1"/>
        <v>1.4400000000000004</v>
      </c>
    </row>
    <row r="61" spans="2:14">
      <c r="H61" s="2" t="s">
        <v>102</v>
      </c>
      <c r="I61" s="2" t="s">
        <v>119</v>
      </c>
      <c r="J61" s="2">
        <f>SUM(K54:K63)/10</f>
        <v>5.8</v>
      </c>
      <c r="K61" s="2">
        <v>10</v>
      </c>
      <c r="L61" s="2">
        <v>6</v>
      </c>
      <c r="M61" s="2" t="s">
        <v>57</v>
      </c>
      <c r="N61">
        <f t="shared" si="1"/>
        <v>17.64</v>
      </c>
    </row>
    <row r="62" spans="2:14">
      <c r="H62" s="2" t="s">
        <v>102</v>
      </c>
      <c r="I62" s="2" t="s">
        <v>120</v>
      </c>
      <c r="J62" s="2">
        <f>SUM(K54:K63)/10</f>
        <v>5.8</v>
      </c>
      <c r="K62" s="2">
        <v>4</v>
      </c>
      <c r="L62" s="2">
        <v>2</v>
      </c>
      <c r="M62" s="2" t="s">
        <v>57</v>
      </c>
      <c r="N62">
        <f t="shared" si="1"/>
        <v>3.2399999999999993</v>
      </c>
    </row>
    <row r="63" spans="2:14">
      <c r="H63" s="2" t="s">
        <v>102</v>
      </c>
      <c r="I63" s="2" t="s">
        <v>121</v>
      </c>
      <c r="J63" s="2">
        <f>SUM(K54:K63)/10</f>
        <v>5.8</v>
      </c>
      <c r="K63" s="2">
        <v>4</v>
      </c>
      <c r="L63" s="2">
        <v>7</v>
      </c>
      <c r="M63" s="2" t="s">
        <v>57</v>
      </c>
      <c r="N63">
        <f t="shared" si="1"/>
        <v>3.2399999999999993</v>
      </c>
    </row>
    <row r="67" spans="8:14">
      <c r="L67" s="2" t="s">
        <v>77</v>
      </c>
      <c r="M67" s="2">
        <f>SUM(N54:N63)</f>
        <v>45.600000000000009</v>
      </c>
    </row>
    <row r="69" spans="8:14">
      <c r="L69" t="s">
        <v>78</v>
      </c>
      <c r="M69">
        <f>M67/10</f>
        <v>4.5600000000000005</v>
      </c>
    </row>
    <row r="71" spans="8:14">
      <c r="H71" t="s">
        <v>79</v>
      </c>
      <c r="L71" t="s">
        <v>80</v>
      </c>
      <c r="M71" s="9">
        <f>SQRT(M69)</f>
        <v>2.1354156504062622</v>
      </c>
    </row>
    <row r="73" spans="8:14">
      <c r="L73" t="s">
        <v>81</v>
      </c>
      <c r="M73" s="10">
        <f>SQRT(M69)</f>
        <v>2.1354156504062622</v>
      </c>
    </row>
    <row r="75" spans="8:14">
      <c r="I75" t="s">
        <v>82</v>
      </c>
    </row>
    <row r="76" spans="8:14">
      <c r="H76" t="s">
        <v>83</v>
      </c>
      <c r="I76">
        <f>1- NORMDIST(9.5,C23,M73,TRUE)</f>
        <v>0.8791467939961175</v>
      </c>
    </row>
    <row r="77" spans="8:14">
      <c r="H77" t="s">
        <v>84</v>
      </c>
      <c r="I77" s="11">
        <f>I76*100</f>
        <v>87.914679399611757</v>
      </c>
    </row>
    <row r="80" spans="8:14">
      <c r="H80" s="13"/>
      <c r="I80" s="13"/>
      <c r="J80" s="13"/>
      <c r="K80" s="13"/>
      <c r="L80" s="13"/>
      <c r="M80" s="13"/>
      <c r="N80" s="13"/>
    </row>
    <row r="82" spans="8:14">
      <c r="H82" s="2"/>
      <c r="I82" s="2" t="s">
        <v>85</v>
      </c>
      <c r="J82" s="2" t="s">
        <v>74</v>
      </c>
      <c r="K82" s="2"/>
      <c r="L82" s="2"/>
      <c r="M82" s="2"/>
      <c r="N82" t="s">
        <v>75</v>
      </c>
    </row>
    <row r="83" spans="8:14">
      <c r="H83" s="2"/>
      <c r="I83" s="2"/>
      <c r="J83" s="2"/>
      <c r="K83" s="2"/>
      <c r="L83" s="2"/>
      <c r="M83" s="2"/>
    </row>
    <row r="84" spans="8:14">
      <c r="H84" s="2" t="s">
        <v>102</v>
      </c>
      <c r="I84" s="2" t="s">
        <v>112</v>
      </c>
      <c r="J84" s="2">
        <f>SUM(K84:K93)/10</f>
        <v>1.5</v>
      </c>
      <c r="K84" s="2">
        <v>0</v>
      </c>
      <c r="L84" s="2">
        <v>1</v>
      </c>
      <c r="M84" s="2" t="s">
        <v>57</v>
      </c>
      <c r="N84">
        <f>(K84-J84)^2</f>
        <v>2.25</v>
      </c>
    </row>
    <row r="85" spans="8:14">
      <c r="H85" s="2" t="s">
        <v>102</v>
      </c>
      <c r="I85" s="2" t="s">
        <v>113</v>
      </c>
      <c r="J85" s="2">
        <f>SUM(K84:K93)/10</f>
        <v>1.5</v>
      </c>
      <c r="K85" s="2">
        <v>1</v>
      </c>
      <c r="L85" s="2">
        <v>2</v>
      </c>
      <c r="M85" s="2" t="s">
        <v>57</v>
      </c>
      <c r="N85">
        <f t="shared" ref="N85:N93" si="2">(K85-J85)^2</f>
        <v>0.25</v>
      </c>
    </row>
    <row r="86" spans="8:14">
      <c r="H86" s="2" t="s">
        <v>102</v>
      </c>
      <c r="I86" s="2" t="s">
        <v>114</v>
      </c>
      <c r="J86" s="2">
        <f>SUM(K84:K93)/10</f>
        <v>1.5</v>
      </c>
      <c r="K86" s="2">
        <v>0</v>
      </c>
      <c r="L86" s="2">
        <v>0</v>
      </c>
      <c r="M86" s="2" t="s">
        <v>57</v>
      </c>
      <c r="N86">
        <f t="shared" si="2"/>
        <v>2.25</v>
      </c>
    </row>
    <row r="87" spans="8:14">
      <c r="H87" s="2" t="s">
        <v>102</v>
      </c>
      <c r="I87" s="2" t="s">
        <v>115</v>
      </c>
      <c r="J87" s="2">
        <f>SUM(K84:K93)/10</f>
        <v>1.5</v>
      </c>
      <c r="K87" s="2">
        <v>1</v>
      </c>
      <c r="L87" s="2">
        <v>1</v>
      </c>
      <c r="M87" s="2" t="s">
        <v>57</v>
      </c>
      <c r="N87">
        <f t="shared" si="2"/>
        <v>0.25</v>
      </c>
    </row>
    <row r="88" spans="8:14">
      <c r="H88" s="2" t="s">
        <v>102</v>
      </c>
      <c r="I88" s="2" t="s">
        <v>116</v>
      </c>
      <c r="J88" s="2">
        <f>SUM(K84:K93)/10</f>
        <v>1.5</v>
      </c>
      <c r="K88" s="2">
        <v>4</v>
      </c>
      <c r="L88" s="2">
        <v>3</v>
      </c>
      <c r="M88" s="2" t="s">
        <v>57</v>
      </c>
      <c r="N88">
        <f t="shared" si="2"/>
        <v>6.25</v>
      </c>
    </row>
    <row r="89" spans="8:14">
      <c r="H89" s="2" t="s">
        <v>102</v>
      </c>
      <c r="I89" s="2" t="s">
        <v>117</v>
      </c>
      <c r="J89" s="2">
        <f>SUM(K84:K93)/10</f>
        <v>1.5</v>
      </c>
      <c r="K89" s="2">
        <v>2</v>
      </c>
      <c r="L89" s="2">
        <v>2</v>
      </c>
      <c r="M89" s="2" t="s">
        <v>57</v>
      </c>
      <c r="N89">
        <f t="shared" si="2"/>
        <v>0.25</v>
      </c>
    </row>
    <row r="90" spans="8:14">
      <c r="H90" s="2" t="s">
        <v>102</v>
      </c>
      <c r="I90" s="2" t="s">
        <v>118</v>
      </c>
      <c r="J90" s="2">
        <f>SUM(K84:K93)/10</f>
        <v>1.5</v>
      </c>
      <c r="K90" s="2">
        <v>0</v>
      </c>
      <c r="L90" s="2">
        <v>2</v>
      </c>
      <c r="M90" s="2" t="s">
        <v>57</v>
      </c>
      <c r="N90">
        <f t="shared" si="2"/>
        <v>2.25</v>
      </c>
    </row>
    <row r="91" spans="8:14">
      <c r="H91" s="2" t="s">
        <v>102</v>
      </c>
      <c r="I91" s="2" t="s">
        <v>119</v>
      </c>
      <c r="J91" s="2">
        <f>SUM(K84:K93)/10</f>
        <v>1.5</v>
      </c>
      <c r="K91" s="2">
        <v>2</v>
      </c>
      <c r="L91" s="2">
        <v>1</v>
      </c>
      <c r="M91" s="2" t="s">
        <v>57</v>
      </c>
      <c r="N91">
        <f t="shared" si="2"/>
        <v>0.25</v>
      </c>
    </row>
    <row r="92" spans="8:14">
      <c r="H92" s="2" t="s">
        <v>102</v>
      </c>
      <c r="I92" s="2" t="s">
        <v>120</v>
      </c>
      <c r="J92" s="2">
        <f>SUM(K84:K93)/10</f>
        <v>1.5</v>
      </c>
      <c r="K92" s="2">
        <v>3</v>
      </c>
      <c r="L92" s="2">
        <v>1</v>
      </c>
      <c r="M92" s="2" t="s">
        <v>57</v>
      </c>
      <c r="N92">
        <f t="shared" si="2"/>
        <v>2.25</v>
      </c>
    </row>
    <row r="93" spans="8:14">
      <c r="H93" s="2" t="s">
        <v>102</v>
      </c>
      <c r="I93" s="2" t="s">
        <v>121</v>
      </c>
      <c r="J93" s="2">
        <f>SUM(K84:K93)/10</f>
        <v>1.5</v>
      </c>
      <c r="K93" s="2">
        <v>2</v>
      </c>
      <c r="L93" s="2">
        <v>0</v>
      </c>
      <c r="M93" s="2" t="s">
        <v>57</v>
      </c>
      <c r="N93">
        <f t="shared" si="2"/>
        <v>0.25</v>
      </c>
    </row>
    <row r="96" spans="8:14">
      <c r="L96" t="s">
        <v>77</v>
      </c>
      <c r="M96">
        <f>SUM(N84:N93)</f>
        <v>16.5</v>
      </c>
    </row>
    <row r="98" spans="8:13">
      <c r="L98" t="s">
        <v>78</v>
      </c>
      <c r="M98">
        <f>M96/10</f>
        <v>1.65</v>
      </c>
    </row>
    <row r="100" spans="8:13">
      <c r="H100" t="s">
        <v>86</v>
      </c>
      <c r="L100" t="s">
        <v>80</v>
      </c>
      <c r="M100">
        <f>SQRT(M98)</f>
        <v>1.2845232578665129</v>
      </c>
    </row>
    <row r="102" spans="8:13">
      <c r="L102" t="s">
        <v>81</v>
      </c>
      <c r="M102" s="9">
        <f>SQRT(M98)</f>
        <v>1.2845232578665129</v>
      </c>
    </row>
    <row r="104" spans="8:13">
      <c r="I104" t="s">
        <v>87</v>
      </c>
    </row>
    <row r="105" spans="8:13">
      <c r="H105" t="s">
        <v>83</v>
      </c>
      <c r="I105">
        <f>1- NORMDIST(2.5,C24,M102,TRUE)</f>
        <v>0.73329174326365276</v>
      </c>
    </row>
    <row r="106" spans="8:13">
      <c r="H106" t="s">
        <v>88</v>
      </c>
      <c r="I106" s="11">
        <f>I105*100</f>
        <v>73.329174326365276</v>
      </c>
      <c r="J106" t="s">
        <v>19</v>
      </c>
    </row>
    <row r="114" spans="1:7">
      <c r="D114" t="s">
        <v>123</v>
      </c>
      <c r="E114" t="s">
        <v>124</v>
      </c>
      <c r="F114" t="s">
        <v>89</v>
      </c>
    </row>
    <row r="117" spans="1:7">
      <c r="A117" s="2"/>
      <c r="B117" s="14" t="s">
        <v>85</v>
      </c>
      <c r="C117" s="2" t="s">
        <v>74</v>
      </c>
      <c r="D117" s="2"/>
      <c r="E117" s="2"/>
      <c r="F117" s="2"/>
      <c r="G117" t="s">
        <v>75</v>
      </c>
    </row>
    <row r="118" spans="1:7">
      <c r="A118" s="2"/>
      <c r="B118" s="2"/>
      <c r="C118" s="2"/>
      <c r="D118" s="2"/>
      <c r="E118" s="2"/>
      <c r="F118" s="2"/>
    </row>
    <row r="119" spans="1:7">
      <c r="A119" s="2" t="s">
        <v>103</v>
      </c>
      <c r="B119" s="2" t="s">
        <v>125</v>
      </c>
      <c r="C119" s="2">
        <f>SUM(D119:D128)/10</f>
        <v>1.8</v>
      </c>
      <c r="D119" s="2">
        <v>2</v>
      </c>
      <c r="E119" s="2">
        <v>3</v>
      </c>
      <c r="F119" s="2" t="s">
        <v>91</v>
      </c>
      <c r="G119">
        <f>(D119-C119)^2</f>
        <v>3.999999999999998E-2</v>
      </c>
    </row>
    <row r="120" spans="1:7">
      <c r="A120" s="2" t="s">
        <v>103</v>
      </c>
      <c r="B120" s="2" t="s">
        <v>126</v>
      </c>
      <c r="C120" s="2">
        <f>SUM(D119:D128)/10</f>
        <v>1.8</v>
      </c>
      <c r="D120" s="2">
        <v>1</v>
      </c>
      <c r="E120" s="2">
        <v>2</v>
      </c>
      <c r="F120" s="2" t="s">
        <v>91</v>
      </c>
      <c r="G120">
        <f t="shared" ref="G120:G127" si="3">(D120-C120)^2</f>
        <v>0.64000000000000012</v>
      </c>
    </row>
    <row r="121" spans="1:7">
      <c r="A121" s="2" t="s">
        <v>103</v>
      </c>
      <c r="B121" s="2" t="s">
        <v>127</v>
      </c>
      <c r="C121" s="2">
        <f>SUM(D119:D128)/10</f>
        <v>1.8</v>
      </c>
      <c r="D121" s="2">
        <v>3</v>
      </c>
      <c r="E121" s="2">
        <v>0</v>
      </c>
      <c r="F121" s="2" t="s">
        <v>91</v>
      </c>
      <c r="G121">
        <f t="shared" si="3"/>
        <v>1.44</v>
      </c>
    </row>
    <row r="122" spans="1:7">
      <c r="A122" s="2" t="s">
        <v>103</v>
      </c>
      <c r="B122" s="2" t="s">
        <v>128</v>
      </c>
      <c r="C122" s="2">
        <f>SUM(D119:D128)/10</f>
        <v>1.8</v>
      </c>
      <c r="D122" s="2">
        <v>0</v>
      </c>
      <c r="E122" s="2">
        <v>1</v>
      </c>
      <c r="F122" s="2" t="s">
        <v>91</v>
      </c>
      <c r="G122">
        <f t="shared" si="3"/>
        <v>3.24</v>
      </c>
    </row>
    <row r="123" spans="1:7">
      <c r="A123" s="2" t="s">
        <v>103</v>
      </c>
      <c r="B123" s="2" t="s">
        <v>129</v>
      </c>
      <c r="C123" s="2">
        <f>SUM(D119:D128)/10</f>
        <v>1.8</v>
      </c>
      <c r="D123" s="2">
        <v>5</v>
      </c>
      <c r="E123" s="2">
        <v>0</v>
      </c>
      <c r="F123" s="2" t="s">
        <v>91</v>
      </c>
      <c r="G123">
        <f t="shared" si="3"/>
        <v>10.240000000000002</v>
      </c>
    </row>
    <row r="124" spans="1:7">
      <c r="A124" s="2" t="s">
        <v>103</v>
      </c>
      <c r="B124" s="2" t="s">
        <v>130</v>
      </c>
      <c r="C124" s="2">
        <f>SUM(D119:D128)/10</f>
        <v>1.8</v>
      </c>
      <c r="D124" s="2">
        <v>1</v>
      </c>
      <c r="E124" s="2">
        <v>1</v>
      </c>
      <c r="F124" s="2" t="s">
        <v>91</v>
      </c>
      <c r="G124">
        <f t="shared" si="3"/>
        <v>0.64000000000000012</v>
      </c>
    </row>
    <row r="125" spans="1:7">
      <c r="A125" s="2" t="s">
        <v>103</v>
      </c>
      <c r="B125" s="2" t="s">
        <v>131</v>
      </c>
      <c r="C125" s="2">
        <f>SUM(D119:D128)/10</f>
        <v>1.8</v>
      </c>
      <c r="D125" s="2">
        <v>0</v>
      </c>
      <c r="E125" s="2">
        <v>1</v>
      </c>
      <c r="F125" s="2" t="s">
        <v>91</v>
      </c>
      <c r="G125">
        <f t="shared" si="3"/>
        <v>3.24</v>
      </c>
    </row>
    <row r="126" spans="1:7">
      <c r="A126" s="2" t="s">
        <v>103</v>
      </c>
      <c r="B126" s="2" t="s">
        <v>132</v>
      </c>
      <c r="C126" s="2">
        <f>SUM(D119:D128)/10</f>
        <v>1.8</v>
      </c>
      <c r="D126" s="2">
        <v>4</v>
      </c>
      <c r="E126" s="2">
        <v>0</v>
      </c>
      <c r="F126" s="2" t="s">
        <v>91</v>
      </c>
      <c r="G126">
        <f t="shared" si="3"/>
        <v>4.8400000000000007</v>
      </c>
    </row>
    <row r="127" spans="1:7">
      <c r="A127" s="2" t="s">
        <v>103</v>
      </c>
      <c r="B127" s="2" t="s">
        <v>133</v>
      </c>
      <c r="C127" s="2">
        <f>SUM(D119:D128)/10</f>
        <v>1.8</v>
      </c>
      <c r="D127" s="2">
        <v>2</v>
      </c>
      <c r="E127" s="2">
        <v>3</v>
      </c>
      <c r="F127" s="2" t="s">
        <v>91</v>
      </c>
      <c r="G127">
        <f t="shared" si="3"/>
        <v>3.999999999999998E-2</v>
      </c>
    </row>
    <row r="128" spans="1:7">
      <c r="A128" s="2" t="s">
        <v>103</v>
      </c>
      <c r="B128" s="2" t="s">
        <v>134</v>
      </c>
      <c r="C128" s="2">
        <f>SUM(D119:D128)/10</f>
        <v>1.8</v>
      </c>
      <c r="D128" s="2">
        <v>0</v>
      </c>
      <c r="E128" s="2">
        <v>1</v>
      </c>
      <c r="F128" s="2" t="s">
        <v>91</v>
      </c>
      <c r="G128">
        <f>(D128-C128)^2</f>
        <v>3.24</v>
      </c>
    </row>
    <row r="130" spans="1:6">
      <c r="E130" t="s">
        <v>77</v>
      </c>
      <c r="F130">
        <f>SUM(G119:G128)</f>
        <v>27.6</v>
      </c>
    </row>
    <row r="132" spans="1:6">
      <c r="E132" t="s">
        <v>78</v>
      </c>
      <c r="F132">
        <f>F130/10</f>
        <v>2.7600000000000002</v>
      </c>
    </row>
    <row r="134" spans="1:6">
      <c r="A134" t="s">
        <v>86</v>
      </c>
      <c r="E134" t="s">
        <v>80</v>
      </c>
      <c r="F134">
        <f>SQRT(F132)</f>
        <v>1.6613247725836151</v>
      </c>
    </row>
    <row r="136" spans="1:6">
      <c r="E136" t="s">
        <v>81</v>
      </c>
      <c r="F136" s="9">
        <f>SQRT(F132)</f>
        <v>1.6613247725836151</v>
      </c>
    </row>
    <row r="138" spans="1:6">
      <c r="B138" t="s">
        <v>87</v>
      </c>
    </row>
    <row r="139" spans="1:6">
      <c r="A139" t="s">
        <v>83</v>
      </c>
      <c r="B139">
        <f>1- NORMDIST(2.5,C24,F136,TRUE)</f>
        <v>0.68493483334786998</v>
      </c>
    </row>
    <row r="140" spans="1:6">
      <c r="B140" s="11">
        <f>B139*100</f>
        <v>68.493483334787001</v>
      </c>
      <c r="C140" t="s">
        <v>19</v>
      </c>
    </row>
    <row r="141" spans="1:6">
      <c r="A141" t="s">
        <v>88</v>
      </c>
    </row>
    <row r="148" spans="1:7">
      <c r="A148" s="2"/>
      <c r="B148" s="2" t="s">
        <v>73</v>
      </c>
      <c r="C148" s="2" t="s">
        <v>74</v>
      </c>
      <c r="D148" s="2"/>
      <c r="E148" s="2"/>
      <c r="F148" s="2"/>
      <c r="G148" t="s">
        <v>75</v>
      </c>
    </row>
    <row r="149" spans="1:7">
      <c r="A149" s="2"/>
      <c r="B149" s="2"/>
      <c r="C149" s="2"/>
      <c r="D149" s="2"/>
      <c r="E149" s="2"/>
      <c r="F149" s="2"/>
    </row>
    <row r="150" spans="1:7">
      <c r="A150" s="2" t="s">
        <v>103</v>
      </c>
      <c r="B150" s="2" t="s">
        <v>125</v>
      </c>
      <c r="C150" s="2">
        <f>SUM(D150:D159)/10</f>
        <v>6.2</v>
      </c>
      <c r="D150" s="2">
        <v>8</v>
      </c>
      <c r="E150" s="2">
        <v>2</v>
      </c>
      <c r="F150" s="2" t="s">
        <v>91</v>
      </c>
      <c r="G150">
        <f>(D150-C150)^2</f>
        <v>3.2399999999999993</v>
      </c>
    </row>
    <row r="151" spans="1:7">
      <c r="A151" s="2" t="s">
        <v>103</v>
      </c>
      <c r="B151" s="2" t="s">
        <v>126</v>
      </c>
      <c r="C151" s="2">
        <f>SUM(D150:D159)/10</f>
        <v>6.2</v>
      </c>
      <c r="D151" s="2">
        <v>4</v>
      </c>
      <c r="E151" s="2">
        <v>10</v>
      </c>
      <c r="F151" s="2" t="s">
        <v>91</v>
      </c>
      <c r="G151">
        <f>(D151-C151)^2</f>
        <v>4.8400000000000007</v>
      </c>
    </row>
    <row r="152" spans="1:7">
      <c r="A152" s="2" t="s">
        <v>103</v>
      </c>
      <c r="B152" s="2" t="s">
        <v>127</v>
      </c>
      <c r="C152" s="2">
        <f>SUM(D150:D159)/10</f>
        <v>6.2</v>
      </c>
      <c r="D152" s="2">
        <v>11</v>
      </c>
      <c r="E152" s="2">
        <v>6</v>
      </c>
      <c r="F152" s="2" t="s">
        <v>91</v>
      </c>
      <c r="G152">
        <f t="shared" ref="G152:G159" si="4">(D152-C152)^2</f>
        <v>23.04</v>
      </c>
    </row>
    <row r="153" spans="1:7">
      <c r="A153" s="2" t="s">
        <v>103</v>
      </c>
      <c r="B153" s="2" t="s">
        <v>128</v>
      </c>
      <c r="C153" s="2">
        <f>SUM(D150:D159)/10</f>
        <v>6.2</v>
      </c>
      <c r="D153" s="2">
        <v>7</v>
      </c>
      <c r="E153" s="2">
        <v>2</v>
      </c>
      <c r="F153" s="2" t="s">
        <v>91</v>
      </c>
      <c r="G153">
        <f t="shared" si="4"/>
        <v>0.63999999999999968</v>
      </c>
    </row>
    <row r="154" spans="1:7">
      <c r="A154" s="2" t="s">
        <v>103</v>
      </c>
      <c r="B154" s="2" t="s">
        <v>129</v>
      </c>
      <c r="C154" s="2">
        <f>SUM(D150:D159)/10</f>
        <v>6.2</v>
      </c>
      <c r="D154" s="2">
        <v>5</v>
      </c>
      <c r="E154" s="2">
        <v>2</v>
      </c>
      <c r="F154" s="2" t="s">
        <v>91</v>
      </c>
      <c r="G154">
        <f t="shared" si="4"/>
        <v>1.4400000000000004</v>
      </c>
    </row>
    <row r="155" spans="1:7">
      <c r="A155" s="2" t="s">
        <v>103</v>
      </c>
      <c r="B155" s="2" t="s">
        <v>130</v>
      </c>
      <c r="C155" s="2">
        <f>SUM(D150:D159)/10</f>
        <v>6.2</v>
      </c>
      <c r="D155" s="2">
        <v>7</v>
      </c>
      <c r="E155" s="2">
        <v>7</v>
      </c>
      <c r="F155" s="2" t="s">
        <v>91</v>
      </c>
      <c r="G155">
        <f t="shared" si="4"/>
        <v>0.63999999999999968</v>
      </c>
    </row>
    <row r="156" spans="1:7">
      <c r="A156" s="2" t="s">
        <v>103</v>
      </c>
      <c r="B156" s="2" t="s">
        <v>131</v>
      </c>
      <c r="C156" s="2">
        <f>SUM(D150:D159)/10</f>
        <v>6.2</v>
      </c>
      <c r="D156" s="2">
        <v>9</v>
      </c>
      <c r="E156" s="2">
        <v>5</v>
      </c>
      <c r="F156" s="2" t="s">
        <v>91</v>
      </c>
      <c r="G156">
        <f t="shared" si="4"/>
        <v>7.839999999999999</v>
      </c>
    </row>
    <row r="157" spans="1:7">
      <c r="A157" s="2" t="s">
        <v>103</v>
      </c>
      <c r="B157" s="2" t="s">
        <v>132</v>
      </c>
      <c r="C157" s="2">
        <f>SUM(D150:D159)/10</f>
        <v>6.2</v>
      </c>
      <c r="D157" s="2">
        <v>3</v>
      </c>
      <c r="E157" s="2">
        <v>9</v>
      </c>
      <c r="F157" s="2" t="s">
        <v>91</v>
      </c>
      <c r="G157">
        <f t="shared" si="4"/>
        <v>10.240000000000002</v>
      </c>
    </row>
    <row r="158" spans="1:7">
      <c r="A158" s="2" t="s">
        <v>103</v>
      </c>
      <c r="B158" s="2" t="s">
        <v>133</v>
      </c>
      <c r="C158" s="2">
        <f>SUM(D150:D159)/10</f>
        <v>6.2</v>
      </c>
      <c r="D158" s="2">
        <v>0</v>
      </c>
      <c r="E158" s="2">
        <v>8</v>
      </c>
      <c r="F158" s="2" t="s">
        <v>91</v>
      </c>
      <c r="G158">
        <f t="shared" si="4"/>
        <v>38.440000000000005</v>
      </c>
    </row>
    <row r="159" spans="1:7">
      <c r="A159" s="2" t="s">
        <v>103</v>
      </c>
      <c r="B159" s="2" t="s">
        <v>134</v>
      </c>
      <c r="C159" s="2">
        <f>SUM(D150:D159)/10</f>
        <v>6.2</v>
      </c>
      <c r="D159" s="2">
        <v>8</v>
      </c>
      <c r="E159" s="2">
        <v>8</v>
      </c>
      <c r="F159" s="2" t="s">
        <v>91</v>
      </c>
      <c r="G159">
        <f t="shared" si="4"/>
        <v>3.2399999999999993</v>
      </c>
    </row>
    <row r="163" spans="1:6">
      <c r="E163" s="2" t="s">
        <v>77</v>
      </c>
      <c r="F163" s="2">
        <f>SUM(G150:G159)</f>
        <v>93.6</v>
      </c>
    </row>
    <row r="165" spans="1:6">
      <c r="E165" t="s">
        <v>78</v>
      </c>
      <c r="F165">
        <f>F163/10</f>
        <v>9.36</v>
      </c>
    </row>
    <row r="167" spans="1:6">
      <c r="A167" t="s">
        <v>79</v>
      </c>
      <c r="E167" t="s">
        <v>80</v>
      </c>
      <c r="F167" s="9">
        <f>SQRT(F165)</f>
        <v>3.0594117081556709</v>
      </c>
    </row>
    <row r="169" spans="1:6">
      <c r="E169" t="s">
        <v>81</v>
      </c>
      <c r="F169" s="10">
        <f>SQRT(F165)</f>
        <v>3.0594117081556709</v>
      </c>
    </row>
    <row r="171" spans="1:6">
      <c r="B171" t="s">
        <v>82</v>
      </c>
    </row>
    <row r="172" spans="1:6">
      <c r="A172" t="s">
        <v>83</v>
      </c>
      <c r="B172">
        <f>1- NORMDIST(9.5,C23,F169,TRUE)</f>
        <v>0.79307880479094761</v>
      </c>
    </row>
    <row r="173" spans="1:6">
      <c r="A173" t="s">
        <v>84</v>
      </c>
      <c r="B173" s="11">
        <f>B172*100</f>
        <v>79.307880479094763</v>
      </c>
      <c r="C173" t="s">
        <v>19</v>
      </c>
    </row>
  </sheetData>
  <mergeCells count="1">
    <mergeCell ref="C47:D47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0376-CD1B-4792-AAE9-AF08C9AA321F}">
  <dimension ref="A1:P173"/>
  <sheetViews>
    <sheetView zoomScale="74" workbookViewId="0">
      <selection activeCell="D44" sqref="D44"/>
    </sheetView>
  </sheetViews>
  <sheetFormatPr defaultColWidth="8.85546875" defaultRowHeight="14.45"/>
  <cols>
    <col min="1" max="1" width="12" customWidth="1"/>
    <col min="2" max="2" width="48.42578125" bestFit="1" customWidth="1"/>
    <col min="3" max="3" width="21.28515625" customWidth="1"/>
    <col min="4" max="4" width="34.28515625" bestFit="1" customWidth="1"/>
    <col min="5" max="5" width="53.42578125" bestFit="1" customWidth="1"/>
    <col min="6" max="6" width="26" bestFit="1" customWidth="1"/>
    <col min="7" max="7" width="26" customWidth="1"/>
    <col min="8" max="8" width="54.7109375" bestFit="1" customWidth="1"/>
    <col min="9" max="10" width="29.85546875" customWidth="1"/>
    <col min="11" max="11" width="41.7109375" bestFit="1" customWidth="1"/>
    <col min="12" max="12" width="35.85546875" bestFit="1" customWidth="1"/>
    <col min="13" max="14" width="30.28515625" customWidth="1"/>
    <col min="15" max="15" width="16.42578125" customWidth="1"/>
    <col min="16" max="16" width="15.7109375" customWidth="1"/>
    <col min="17" max="17" width="20" customWidth="1"/>
    <col min="18" max="18" width="22.85546875" customWidth="1"/>
    <col min="19" max="19" width="18.28515625" customWidth="1"/>
    <col min="20" max="20" width="17.28515625" customWidth="1"/>
  </cols>
  <sheetData>
    <row r="1" spans="2:16">
      <c r="C1" t="s">
        <v>101</v>
      </c>
    </row>
    <row r="2" spans="2:16">
      <c r="B2" s="5" t="s">
        <v>0</v>
      </c>
      <c r="C2" s="5" t="s">
        <v>1</v>
      </c>
      <c r="D2" s="5" t="s">
        <v>2</v>
      </c>
      <c r="I2" t="s">
        <v>135</v>
      </c>
    </row>
    <row r="3" spans="2:16">
      <c r="B3" s="8">
        <v>45680</v>
      </c>
      <c r="C3" s="6" t="s">
        <v>102</v>
      </c>
      <c r="D3" s="7" t="s">
        <v>103</v>
      </c>
    </row>
    <row r="4" spans="2:16">
      <c r="C4" t="s">
        <v>104</v>
      </c>
    </row>
    <row r="5" spans="2:16">
      <c r="B5" t="s">
        <v>5</v>
      </c>
      <c r="E5" t="s">
        <v>6</v>
      </c>
    </row>
    <row r="7" spans="2:16">
      <c r="B7" s="3" t="s">
        <v>8</v>
      </c>
      <c r="C7" s="3" t="s">
        <v>9</v>
      </c>
      <c r="E7" s="3" t="s">
        <v>10</v>
      </c>
      <c r="F7" s="3" t="s">
        <v>9</v>
      </c>
    </row>
    <row r="8" spans="2:16">
      <c r="B8" t="s">
        <v>11</v>
      </c>
      <c r="C8">
        <v>10</v>
      </c>
      <c r="E8" t="s">
        <v>11</v>
      </c>
      <c r="F8">
        <v>10</v>
      </c>
    </row>
    <row r="9" spans="2:16">
      <c r="B9" t="s">
        <v>12</v>
      </c>
      <c r="C9">
        <v>15</v>
      </c>
      <c r="E9" t="s">
        <v>13</v>
      </c>
      <c r="F9">
        <v>18</v>
      </c>
    </row>
    <row r="10" spans="2:16">
      <c r="B10" t="s">
        <v>16</v>
      </c>
      <c r="C10">
        <v>13</v>
      </c>
      <c r="E10" t="s">
        <v>16</v>
      </c>
      <c r="F10">
        <v>12</v>
      </c>
    </row>
    <row r="11" spans="2:16">
      <c r="B11" t="s">
        <v>17</v>
      </c>
      <c r="C11">
        <v>4</v>
      </c>
      <c r="E11" t="s">
        <v>17</v>
      </c>
      <c r="F11">
        <v>3</v>
      </c>
      <c r="P11" s="1"/>
    </row>
    <row r="12" spans="2:16">
      <c r="B12" t="s">
        <v>18</v>
      </c>
      <c r="C12" s="12">
        <f>C11/C8*100</f>
        <v>40</v>
      </c>
      <c r="D12" t="s">
        <v>19</v>
      </c>
      <c r="E12" t="s">
        <v>20</v>
      </c>
      <c r="F12">
        <f>F11/F8*100</f>
        <v>30</v>
      </c>
      <c r="G12" t="s">
        <v>19</v>
      </c>
    </row>
    <row r="13" spans="2:16">
      <c r="B13" t="s">
        <v>21</v>
      </c>
      <c r="C13">
        <f>C9/C8</f>
        <v>1.5</v>
      </c>
      <c r="E13" t="s">
        <v>105</v>
      </c>
      <c r="F13">
        <f>F9/F8</f>
        <v>1.8</v>
      </c>
    </row>
    <row r="14" spans="2:16">
      <c r="B14" t="s">
        <v>23</v>
      </c>
      <c r="C14">
        <f>C10/C8</f>
        <v>1.3</v>
      </c>
      <c r="E14" t="s">
        <v>24</v>
      </c>
      <c r="F14">
        <f>F10/F8</f>
        <v>1.2</v>
      </c>
    </row>
    <row r="15" spans="2:16">
      <c r="B15" t="s">
        <v>25</v>
      </c>
      <c r="C15">
        <f>C12+(C13-C14)/C8</f>
        <v>40.020000000000003</v>
      </c>
      <c r="E15" t="s">
        <v>26</v>
      </c>
      <c r="F15">
        <f>F12+(F13-F14)/F8</f>
        <v>30.06</v>
      </c>
      <c r="G15" t="s">
        <v>19</v>
      </c>
    </row>
    <row r="16" spans="2:16">
      <c r="B16" t="s">
        <v>27</v>
      </c>
      <c r="C16">
        <f>C15/100</f>
        <v>0.40020000000000006</v>
      </c>
      <c r="E16" t="s">
        <v>28</v>
      </c>
      <c r="F16">
        <f>F15/100</f>
        <v>0.30059999999999998</v>
      </c>
    </row>
    <row r="17" spans="2:6">
      <c r="B17" t="s">
        <v>29</v>
      </c>
      <c r="C17" t="s">
        <v>30</v>
      </c>
      <c r="D17" t="s">
        <v>31</v>
      </c>
      <c r="E17" t="s">
        <v>29</v>
      </c>
      <c r="F17" t="s">
        <v>32</v>
      </c>
    </row>
    <row r="18" spans="2:6">
      <c r="B18" t="s">
        <v>33</v>
      </c>
      <c r="C18" t="s">
        <v>34</v>
      </c>
      <c r="E18" t="s">
        <v>33</v>
      </c>
      <c r="F18" t="s">
        <v>35</v>
      </c>
    </row>
    <row r="19" spans="2:6">
      <c r="B19" t="s">
        <v>36</v>
      </c>
      <c r="C19">
        <v>58</v>
      </c>
      <c r="E19" t="s">
        <v>37</v>
      </c>
      <c r="F19">
        <v>62</v>
      </c>
    </row>
    <row r="20" spans="2:6">
      <c r="B20" t="s">
        <v>38</v>
      </c>
      <c r="C20">
        <f>C19/C8</f>
        <v>5.8</v>
      </c>
      <c r="E20" t="s">
        <v>39</v>
      </c>
      <c r="F20">
        <f>F19/F8</f>
        <v>6.2</v>
      </c>
    </row>
    <row r="21" spans="2:6">
      <c r="B21" s="1" t="s">
        <v>40</v>
      </c>
      <c r="C21">
        <v>132</v>
      </c>
      <c r="E21" s="1" t="s">
        <v>40</v>
      </c>
    </row>
    <row r="22" spans="2:6">
      <c r="B22" t="s">
        <v>41</v>
      </c>
      <c r="C22">
        <f>C21/C8</f>
        <v>13.2</v>
      </c>
      <c r="E22" t="s">
        <v>41</v>
      </c>
    </row>
    <row r="23" spans="2:6">
      <c r="B23" t="s">
        <v>42</v>
      </c>
      <c r="C23">
        <f>C20+F20</f>
        <v>12</v>
      </c>
      <c r="E23" t="s">
        <v>43</v>
      </c>
    </row>
    <row r="24" spans="2:6">
      <c r="B24" t="s">
        <v>44</v>
      </c>
      <c r="C24">
        <f>C13+F13</f>
        <v>3.3</v>
      </c>
      <c r="E24" t="s">
        <v>44</v>
      </c>
    </row>
    <row r="25" spans="2:6">
      <c r="B25" t="s">
        <v>106</v>
      </c>
      <c r="C25">
        <f>SQRT((I76^2) + (B172^2))</f>
        <v>1.1840072111276561</v>
      </c>
    </row>
    <row r="26" spans="2:6">
      <c r="B26" t="s">
        <v>107</v>
      </c>
      <c r="C26">
        <f>1- NORMDIST(9.5,C23,C25,TRUE)</f>
        <v>0.98263418876622566</v>
      </c>
      <c r="D26" t="s">
        <v>19</v>
      </c>
    </row>
    <row r="27" spans="2:6">
      <c r="B27" t="s">
        <v>108</v>
      </c>
      <c r="C27" s="9">
        <f>SQRT((I105^2) + (B139^2))</f>
        <v>1.0034204037550369</v>
      </c>
      <c r="E27" t="s">
        <v>109</v>
      </c>
    </row>
    <row r="28" spans="2:6">
      <c r="B28" t="s">
        <v>136</v>
      </c>
      <c r="C28">
        <f>1- NORMDIST(2.5,C24,C27,TRUE)</f>
        <v>0.78735375246989225</v>
      </c>
      <c r="D28" t="s">
        <v>19</v>
      </c>
      <c r="E28" t="s">
        <v>111</v>
      </c>
    </row>
    <row r="30" spans="2:6">
      <c r="C30" t="s">
        <v>45</v>
      </c>
      <c r="D30">
        <f>1-(C16+F16)</f>
        <v>0.29919999999999991</v>
      </c>
    </row>
    <row r="31" spans="2:6">
      <c r="C31" t="s">
        <v>46</v>
      </c>
      <c r="D31">
        <f>D30*100</f>
        <v>29.919999999999991</v>
      </c>
      <c r="E31" t="s">
        <v>19</v>
      </c>
    </row>
    <row r="34" spans="2:13">
      <c r="B34" t="s">
        <v>47</v>
      </c>
      <c r="C34">
        <v>2.82</v>
      </c>
      <c r="D34" t="s">
        <v>48</v>
      </c>
      <c r="E34" s="4">
        <f t="shared" ref="E34:E41" si="0">1/C34</f>
        <v>0.3546099290780142</v>
      </c>
    </row>
    <row r="35" spans="2:13">
      <c r="B35" t="s">
        <v>49</v>
      </c>
      <c r="C35">
        <v>12.5</v>
      </c>
      <c r="D35" t="s">
        <v>48</v>
      </c>
      <c r="E35" s="4">
        <f t="shared" si="0"/>
        <v>0.08</v>
      </c>
    </row>
    <row r="36" spans="2:13">
      <c r="B36" t="s">
        <v>50</v>
      </c>
      <c r="C36">
        <v>2.35</v>
      </c>
      <c r="D36" t="s">
        <v>48</v>
      </c>
      <c r="E36" s="4">
        <f t="shared" si="0"/>
        <v>0.42553191489361702</v>
      </c>
    </row>
    <row r="37" spans="2:13">
      <c r="B37" t="s">
        <v>51</v>
      </c>
      <c r="C37">
        <v>2.7</v>
      </c>
      <c r="D37" t="s">
        <v>48</v>
      </c>
      <c r="E37" s="4">
        <f t="shared" si="0"/>
        <v>0.37037037037037035</v>
      </c>
      <c r="H37" s="2"/>
      <c r="I37" s="2" t="s">
        <v>52</v>
      </c>
      <c r="J37" s="2"/>
      <c r="K37" s="2"/>
      <c r="L37" s="2"/>
      <c r="M37" s="2"/>
    </row>
    <row r="38" spans="2:13">
      <c r="B38" t="s">
        <v>53</v>
      </c>
      <c r="C38">
        <v>1.52</v>
      </c>
      <c r="D38" t="s">
        <v>48</v>
      </c>
      <c r="E38" s="4">
        <f t="shared" si="0"/>
        <v>0.65789473684210531</v>
      </c>
      <c r="H38" s="2"/>
      <c r="I38" s="2"/>
      <c r="J38" s="2"/>
      <c r="K38" s="2"/>
      <c r="L38" s="2"/>
      <c r="M38" s="2"/>
    </row>
    <row r="39" spans="2:13">
      <c r="B39" t="s">
        <v>54</v>
      </c>
      <c r="C39">
        <v>1.22</v>
      </c>
      <c r="D39" t="s">
        <v>48</v>
      </c>
      <c r="E39" s="4">
        <f t="shared" si="0"/>
        <v>0.81967213114754101</v>
      </c>
      <c r="H39" s="2" t="s">
        <v>102</v>
      </c>
      <c r="I39" s="2" t="s">
        <v>112</v>
      </c>
      <c r="J39" s="2"/>
      <c r="K39" s="2">
        <v>15</v>
      </c>
      <c r="L39" s="2">
        <v>14</v>
      </c>
      <c r="M39" s="2" t="s">
        <v>57</v>
      </c>
    </row>
    <row r="40" spans="2:13">
      <c r="B40" t="s">
        <v>58</v>
      </c>
      <c r="C40">
        <v>1.18</v>
      </c>
      <c r="D40" t="s">
        <v>48</v>
      </c>
      <c r="E40" s="4">
        <f t="shared" si="0"/>
        <v>0.84745762711864414</v>
      </c>
      <c r="H40" s="2" t="s">
        <v>102</v>
      </c>
      <c r="I40" s="2" t="s">
        <v>113</v>
      </c>
      <c r="J40" s="2"/>
      <c r="K40" s="2">
        <v>14</v>
      </c>
      <c r="L40" s="2">
        <v>6</v>
      </c>
      <c r="M40" s="2" t="s">
        <v>57</v>
      </c>
    </row>
    <row r="41" spans="2:13">
      <c r="B41" t="s">
        <v>60</v>
      </c>
      <c r="C41">
        <v>2.0699999999999998</v>
      </c>
      <c r="D41" t="s">
        <v>48</v>
      </c>
      <c r="E41" s="4">
        <f t="shared" si="0"/>
        <v>0.48309178743961356</v>
      </c>
      <c r="H41" s="2" t="s">
        <v>102</v>
      </c>
      <c r="I41" s="2" t="s">
        <v>114</v>
      </c>
      <c r="J41" s="2"/>
      <c r="K41" s="2">
        <v>17</v>
      </c>
      <c r="L41" s="2">
        <v>18</v>
      </c>
      <c r="M41" s="2" t="s">
        <v>57</v>
      </c>
    </row>
    <row r="42" spans="2:13">
      <c r="H42" s="2" t="s">
        <v>102</v>
      </c>
      <c r="I42" s="2" t="s">
        <v>115</v>
      </c>
      <c r="J42" s="2"/>
      <c r="K42" s="2">
        <v>10</v>
      </c>
      <c r="L42" s="2">
        <v>5</v>
      </c>
      <c r="M42" s="2" t="s">
        <v>57</v>
      </c>
    </row>
    <row r="43" spans="2:13">
      <c r="H43" s="2" t="s">
        <v>102</v>
      </c>
      <c r="I43" s="2" t="s">
        <v>116</v>
      </c>
      <c r="J43" s="2"/>
      <c r="K43" s="2">
        <v>14</v>
      </c>
      <c r="L43" s="2">
        <v>12</v>
      </c>
      <c r="M43" s="2" t="s">
        <v>57</v>
      </c>
    </row>
    <row r="44" spans="2:13">
      <c r="H44" s="2" t="s">
        <v>102</v>
      </c>
      <c r="I44" s="2" t="s">
        <v>117</v>
      </c>
      <c r="J44" s="2"/>
      <c r="K44" s="2">
        <v>13</v>
      </c>
      <c r="L44" s="2">
        <v>12</v>
      </c>
      <c r="M44" s="2" t="s">
        <v>57</v>
      </c>
    </row>
    <row r="45" spans="2:13">
      <c r="H45" s="2" t="s">
        <v>102</v>
      </c>
      <c r="I45" s="2" t="s">
        <v>118</v>
      </c>
      <c r="J45" s="2"/>
      <c r="K45" s="2">
        <v>10</v>
      </c>
      <c r="L45" s="2">
        <v>10</v>
      </c>
      <c r="M45" s="2" t="s">
        <v>57</v>
      </c>
    </row>
    <row r="46" spans="2:13">
      <c r="H46" s="2" t="s">
        <v>102</v>
      </c>
      <c r="I46" s="2" t="s">
        <v>119</v>
      </c>
      <c r="J46" s="2"/>
      <c r="K46" s="2">
        <v>15</v>
      </c>
      <c r="L46" s="2">
        <v>9</v>
      </c>
      <c r="M46" s="2" t="s">
        <v>57</v>
      </c>
    </row>
    <row r="47" spans="2:13">
      <c r="C47" s="25" t="s">
        <v>66</v>
      </c>
      <c r="D47" s="25"/>
      <c r="H47" s="2" t="s">
        <v>102</v>
      </c>
      <c r="I47" s="2" t="s">
        <v>120</v>
      </c>
      <c r="J47" s="2"/>
      <c r="K47" s="2">
        <v>10</v>
      </c>
      <c r="L47" s="2">
        <v>12</v>
      </c>
      <c r="M47" s="2" t="s">
        <v>57</v>
      </c>
    </row>
    <row r="48" spans="2:13">
      <c r="C48" t="s">
        <v>68</v>
      </c>
      <c r="D48" t="s">
        <v>69</v>
      </c>
      <c r="H48" s="2" t="s">
        <v>102</v>
      </c>
      <c r="I48" s="2" t="s">
        <v>121</v>
      </c>
      <c r="J48" s="2"/>
      <c r="K48" s="2">
        <v>14</v>
      </c>
      <c r="L48" s="2">
        <v>8</v>
      </c>
      <c r="M48" s="2" t="s">
        <v>57</v>
      </c>
    </row>
    <row r="49" spans="2:14">
      <c r="B49" t="s">
        <v>71</v>
      </c>
      <c r="C49">
        <f>C15</f>
        <v>40.020000000000003</v>
      </c>
      <c r="D49" s="4">
        <f>E34</f>
        <v>0.3546099290780142</v>
      </c>
    </row>
    <row r="50" spans="2:14">
      <c r="B50" t="s">
        <v>26</v>
      </c>
      <c r="C50">
        <f>F15</f>
        <v>30.06</v>
      </c>
      <c r="D50" s="4">
        <f>E36</f>
        <v>0.42553191489361702</v>
      </c>
      <c r="H50">
        <f>SUM(K39:K48)</f>
        <v>132</v>
      </c>
    </row>
    <row r="51" spans="2:14">
      <c r="B51" t="s">
        <v>45</v>
      </c>
      <c r="C51">
        <f>D31</f>
        <v>29.919999999999991</v>
      </c>
      <c r="D51" s="4">
        <f>E35</f>
        <v>0.08</v>
      </c>
      <c r="K51">
        <f>SUM(K39:K48)</f>
        <v>132</v>
      </c>
    </row>
    <row r="52" spans="2:14">
      <c r="B52" t="s">
        <v>72</v>
      </c>
      <c r="C52" s="9">
        <f>I77</f>
        <v>87.914679399611757</v>
      </c>
      <c r="D52" s="4">
        <f>E41</f>
        <v>0.48309178743961356</v>
      </c>
      <c r="H52" s="2"/>
      <c r="I52" s="2" t="s">
        <v>73</v>
      </c>
      <c r="J52" s="2" t="s">
        <v>74</v>
      </c>
      <c r="K52" s="2"/>
      <c r="L52" s="2"/>
      <c r="M52" s="2"/>
      <c r="N52" t="s">
        <v>75</v>
      </c>
    </row>
    <row r="53" spans="2:14">
      <c r="B53" t="s">
        <v>76</v>
      </c>
      <c r="C53" s="9">
        <f>I106</f>
        <v>73.329174326365276</v>
      </c>
      <c r="D53" s="4">
        <f>E39</f>
        <v>0.81967213114754101</v>
      </c>
      <c r="H53" s="2"/>
      <c r="I53" s="2"/>
      <c r="J53" s="2"/>
      <c r="K53" s="2"/>
      <c r="L53" s="2"/>
      <c r="M53" s="2"/>
    </row>
    <row r="54" spans="2:14">
      <c r="B54" t="s">
        <v>122</v>
      </c>
      <c r="C54" s="9">
        <f>B173</f>
        <v>79.307880479094763</v>
      </c>
      <c r="H54" s="2" t="s">
        <v>102</v>
      </c>
      <c r="I54" s="2" t="s">
        <v>112</v>
      </c>
      <c r="J54" s="2">
        <f>SUM(K54:K63)/10</f>
        <v>5.8</v>
      </c>
      <c r="K54" s="2">
        <v>4</v>
      </c>
      <c r="L54" s="2">
        <v>8</v>
      </c>
      <c r="M54" s="2" t="s">
        <v>57</v>
      </c>
      <c r="N54">
        <f>(K54-J54)^2</f>
        <v>3.2399999999999993</v>
      </c>
    </row>
    <row r="55" spans="2:14">
      <c r="H55" s="2" t="s">
        <v>102</v>
      </c>
      <c r="I55" s="2" t="s">
        <v>113</v>
      </c>
      <c r="J55" s="2">
        <f>SUM(K54:K63)/10</f>
        <v>5.8</v>
      </c>
      <c r="K55" s="2">
        <v>8</v>
      </c>
      <c r="L55" s="2">
        <v>4</v>
      </c>
      <c r="M55" s="2" t="s">
        <v>57</v>
      </c>
      <c r="N55">
        <f>(K55-J55)^2</f>
        <v>4.8400000000000007</v>
      </c>
    </row>
    <row r="56" spans="2:14">
      <c r="H56" s="2" t="s">
        <v>102</v>
      </c>
      <c r="I56" s="2" t="s">
        <v>114</v>
      </c>
      <c r="J56" s="2">
        <f>SUM(K54:K63)/10</f>
        <v>5.8</v>
      </c>
      <c r="K56" s="2">
        <v>4</v>
      </c>
      <c r="L56" s="2">
        <v>2</v>
      </c>
      <c r="M56" s="2" t="s">
        <v>57</v>
      </c>
      <c r="N56">
        <f t="shared" ref="N56:N63" si="1">(K56-J56)^2</f>
        <v>3.2399999999999993</v>
      </c>
    </row>
    <row r="57" spans="2:14">
      <c r="H57" s="2" t="s">
        <v>102</v>
      </c>
      <c r="I57" s="2" t="s">
        <v>115</v>
      </c>
      <c r="J57" s="2">
        <f>SUM(K54:K63)/10</f>
        <v>5.8</v>
      </c>
      <c r="K57" s="2">
        <v>4</v>
      </c>
      <c r="L57" s="2">
        <v>3</v>
      </c>
      <c r="M57" s="2" t="s">
        <v>57</v>
      </c>
      <c r="N57">
        <f t="shared" si="1"/>
        <v>3.2399999999999993</v>
      </c>
    </row>
    <row r="58" spans="2:14">
      <c r="H58" s="2" t="s">
        <v>102</v>
      </c>
      <c r="I58" s="2" t="s">
        <v>116</v>
      </c>
      <c r="J58" s="2">
        <f>SUM(K54:K63)/10</f>
        <v>5.8</v>
      </c>
      <c r="K58" s="2">
        <v>5</v>
      </c>
      <c r="L58" s="2">
        <v>3</v>
      </c>
      <c r="M58" s="2" t="s">
        <v>57</v>
      </c>
      <c r="N58">
        <f t="shared" si="1"/>
        <v>0.63999999999999968</v>
      </c>
    </row>
    <row r="59" spans="2:14">
      <c r="H59" s="2" t="s">
        <v>102</v>
      </c>
      <c r="I59" s="2" t="s">
        <v>117</v>
      </c>
      <c r="J59" s="2">
        <f>SUM(K54:K63)/10</f>
        <v>5.8</v>
      </c>
      <c r="K59" s="2">
        <v>8</v>
      </c>
      <c r="L59" s="2">
        <v>8</v>
      </c>
      <c r="M59" s="2" t="s">
        <v>57</v>
      </c>
      <c r="N59">
        <f t="shared" si="1"/>
        <v>4.8400000000000007</v>
      </c>
    </row>
    <row r="60" spans="2:14">
      <c r="H60" s="2" t="s">
        <v>102</v>
      </c>
      <c r="I60" s="2" t="s">
        <v>118</v>
      </c>
      <c r="J60" s="2">
        <f>SUM(K54:K63)/10</f>
        <v>5.8</v>
      </c>
      <c r="K60" s="2">
        <v>7</v>
      </c>
      <c r="L60" s="2">
        <v>2</v>
      </c>
      <c r="M60" s="2" t="s">
        <v>57</v>
      </c>
      <c r="N60">
        <f t="shared" si="1"/>
        <v>1.4400000000000004</v>
      </c>
    </row>
    <row r="61" spans="2:14">
      <c r="H61" s="2" t="s">
        <v>102</v>
      </c>
      <c r="I61" s="2" t="s">
        <v>119</v>
      </c>
      <c r="J61" s="2">
        <f>SUM(K54:K63)/10</f>
        <v>5.8</v>
      </c>
      <c r="K61" s="2">
        <v>10</v>
      </c>
      <c r="L61" s="2">
        <v>6</v>
      </c>
      <c r="M61" s="2" t="s">
        <v>57</v>
      </c>
      <c r="N61">
        <f t="shared" si="1"/>
        <v>17.64</v>
      </c>
    </row>
    <row r="62" spans="2:14">
      <c r="H62" s="2" t="s">
        <v>102</v>
      </c>
      <c r="I62" s="2" t="s">
        <v>120</v>
      </c>
      <c r="J62" s="2">
        <f>SUM(K54:K63)/10</f>
        <v>5.8</v>
      </c>
      <c r="K62" s="2">
        <v>4</v>
      </c>
      <c r="L62" s="2">
        <v>2</v>
      </c>
      <c r="M62" s="2" t="s">
        <v>57</v>
      </c>
      <c r="N62">
        <f t="shared" si="1"/>
        <v>3.2399999999999993</v>
      </c>
    </row>
    <row r="63" spans="2:14">
      <c r="H63" s="2" t="s">
        <v>102</v>
      </c>
      <c r="I63" s="2" t="s">
        <v>121</v>
      </c>
      <c r="J63" s="2">
        <f>SUM(K54:K63)/10</f>
        <v>5.8</v>
      </c>
      <c r="K63" s="2">
        <v>4</v>
      </c>
      <c r="L63" s="2">
        <v>7</v>
      </c>
      <c r="M63" s="2" t="s">
        <v>57</v>
      </c>
      <c r="N63">
        <f t="shared" si="1"/>
        <v>3.2399999999999993</v>
      </c>
    </row>
    <row r="67" spans="8:14">
      <c r="L67" s="2" t="s">
        <v>77</v>
      </c>
      <c r="M67" s="2">
        <f>SUM(N54:N63)</f>
        <v>45.600000000000009</v>
      </c>
    </row>
    <row r="69" spans="8:14">
      <c r="L69" t="s">
        <v>78</v>
      </c>
      <c r="M69">
        <f>M67/10</f>
        <v>4.5600000000000005</v>
      </c>
    </row>
    <row r="71" spans="8:14">
      <c r="H71" t="s">
        <v>79</v>
      </c>
      <c r="L71" t="s">
        <v>80</v>
      </c>
      <c r="M71" s="9">
        <f>SQRT(M69)</f>
        <v>2.1354156504062622</v>
      </c>
    </row>
    <row r="73" spans="8:14">
      <c r="L73" t="s">
        <v>81</v>
      </c>
      <c r="M73" s="10">
        <f>SQRT(M69)</f>
        <v>2.1354156504062622</v>
      </c>
    </row>
    <row r="75" spans="8:14">
      <c r="I75" t="s">
        <v>82</v>
      </c>
    </row>
    <row r="76" spans="8:14">
      <c r="H76" t="s">
        <v>83</v>
      </c>
      <c r="I76">
        <f>1- NORMDIST(9.5,C23,M73,TRUE)</f>
        <v>0.8791467939961175</v>
      </c>
    </row>
    <row r="77" spans="8:14">
      <c r="H77" t="s">
        <v>84</v>
      </c>
      <c r="I77" s="11">
        <f>I76*100</f>
        <v>87.914679399611757</v>
      </c>
    </row>
    <row r="80" spans="8:14">
      <c r="H80" s="13"/>
      <c r="I80" s="13"/>
      <c r="J80" s="13"/>
      <c r="K80" s="13"/>
      <c r="L80" s="13"/>
      <c r="M80" s="13"/>
      <c r="N80" s="13"/>
    </row>
    <row r="82" spans="8:14">
      <c r="H82" s="2"/>
      <c r="I82" s="2" t="s">
        <v>85</v>
      </c>
      <c r="J82" s="2" t="s">
        <v>74</v>
      </c>
      <c r="K82" s="2"/>
      <c r="L82" s="2"/>
      <c r="M82" s="2"/>
      <c r="N82" t="s">
        <v>75</v>
      </c>
    </row>
    <row r="83" spans="8:14">
      <c r="H83" s="2"/>
      <c r="I83" s="2"/>
      <c r="J83" s="2"/>
      <c r="K83" s="2"/>
      <c r="L83" s="2"/>
      <c r="M83" s="2"/>
    </row>
    <row r="84" spans="8:14">
      <c r="H84" s="2" t="s">
        <v>102</v>
      </c>
      <c r="I84" s="2" t="s">
        <v>112</v>
      </c>
      <c r="J84" s="2">
        <f>SUM(K84:K93)/10</f>
        <v>1.5</v>
      </c>
      <c r="K84" s="2">
        <v>0</v>
      </c>
      <c r="L84" s="2">
        <v>1</v>
      </c>
      <c r="M84" s="2" t="s">
        <v>57</v>
      </c>
      <c r="N84">
        <f>(K84-J84)^2</f>
        <v>2.25</v>
      </c>
    </row>
    <row r="85" spans="8:14">
      <c r="H85" s="2" t="s">
        <v>102</v>
      </c>
      <c r="I85" s="2" t="s">
        <v>113</v>
      </c>
      <c r="J85" s="2">
        <f>SUM(K84:K93)/10</f>
        <v>1.5</v>
      </c>
      <c r="K85" s="2">
        <v>1</v>
      </c>
      <c r="L85" s="2">
        <v>2</v>
      </c>
      <c r="M85" s="2" t="s">
        <v>57</v>
      </c>
      <c r="N85">
        <f t="shared" ref="N85:N93" si="2">(K85-J85)^2</f>
        <v>0.25</v>
      </c>
    </row>
    <row r="86" spans="8:14">
      <c r="H86" s="2" t="s">
        <v>102</v>
      </c>
      <c r="I86" s="2" t="s">
        <v>114</v>
      </c>
      <c r="J86" s="2">
        <f>SUM(K84:K93)/10</f>
        <v>1.5</v>
      </c>
      <c r="K86" s="2">
        <v>0</v>
      </c>
      <c r="L86" s="2">
        <v>0</v>
      </c>
      <c r="M86" s="2" t="s">
        <v>57</v>
      </c>
      <c r="N86">
        <f t="shared" si="2"/>
        <v>2.25</v>
      </c>
    </row>
    <row r="87" spans="8:14">
      <c r="H87" s="2" t="s">
        <v>102</v>
      </c>
      <c r="I87" s="2" t="s">
        <v>115</v>
      </c>
      <c r="J87" s="2">
        <f>SUM(K84:K93)/10</f>
        <v>1.5</v>
      </c>
      <c r="K87" s="2">
        <v>1</v>
      </c>
      <c r="L87" s="2">
        <v>1</v>
      </c>
      <c r="M87" s="2" t="s">
        <v>57</v>
      </c>
      <c r="N87">
        <f t="shared" si="2"/>
        <v>0.25</v>
      </c>
    </row>
    <row r="88" spans="8:14">
      <c r="H88" s="2" t="s">
        <v>102</v>
      </c>
      <c r="I88" s="2" t="s">
        <v>116</v>
      </c>
      <c r="J88" s="2">
        <f>SUM(K84:K93)/10</f>
        <v>1.5</v>
      </c>
      <c r="K88" s="2">
        <v>4</v>
      </c>
      <c r="L88" s="2">
        <v>3</v>
      </c>
      <c r="M88" s="2" t="s">
        <v>57</v>
      </c>
      <c r="N88">
        <f t="shared" si="2"/>
        <v>6.25</v>
      </c>
    </row>
    <row r="89" spans="8:14">
      <c r="H89" s="2" t="s">
        <v>102</v>
      </c>
      <c r="I89" s="2" t="s">
        <v>117</v>
      </c>
      <c r="J89" s="2">
        <f>SUM(K84:K93)/10</f>
        <v>1.5</v>
      </c>
      <c r="K89" s="2">
        <v>2</v>
      </c>
      <c r="L89" s="2">
        <v>2</v>
      </c>
      <c r="M89" s="2" t="s">
        <v>57</v>
      </c>
      <c r="N89">
        <f t="shared" si="2"/>
        <v>0.25</v>
      </c>
    </row>
    <row r="90" spans="8:14">
      <c r="H90" s="2" t="s">
        <v>102</v>
      </c>
      <c r="I90" s="2" t="s">
        <v>118</v>
      </c>
      <c r="J90" s="2">
        <f>SUM(K84:K93)/10</f>
        <v>1.5</v>
      </c>
      <c r="K90" s="2">
        <v>0</v>
      </c>
      <c r="L90" s="2">
        <v>2</v>
      </c>
      <c r="M90" s="2" t="s">
        <v>57</v>
      </c>
      <c r="N90">
        <f t="shared" si="2"/>
        <v>2.25</v>
      </c>
    </row>
    <row r="91" spans="8:14">
      <c r="H91" s="2" t="s">
        <v>102</v>
      </c>
      <c r="I91" s="2" t="s">
        <v>119</v>
      </c>
      <c r="J91" s="2">
        <f>SUM(K84:K93)/10</f>
        <v>1.5</v>
      </c>
      <c r="K91" s="2">
        <v>2</v>
      </c>
      <c r="L91" s="2">
        <v>1</v>
      </c>
      <c r="M91" s="2" t="s">
        <v>57</v>
      </c>
      <c r="N91">
        <f t="shared" si="2"/>
        <v>0.25</v>
      </c>
    </row>
    <row r="92" spans="8:14">
      <c r="H92" s="2" t="s">
        <v>102</v>
      </c>
      <c r="I92" s="2" t="s">
        <v>120</v>
      </c>
      <c r="J92" s="2">
        <f>SUM(K84:K93)/10</f>
        <v>1.5</v>
      </c>
      <c r="K92" s="2">
        <v>3</v>
      </c>
      <c r="L92" s="2">
        <v>1</v>
      </c>
      <c r="M92" s="2" t="s">
        <v>57</v>
      </c>
      <c r="N92">
        <f t="shared" si="2"/>
        <v>2.25</v>
      </c>
    </row>
    <row r="93" spans="8:14">
      <c r="H93" s="2" t="s">
        <v>102</v>
      </c>
      <c r="I93" s="2" t="s">
        <v>121</v>
      </c>
      <c r="J93" s="2">
        <f>SUM(K84:K93)/10</f>
        <v>1.5</v>
      </c>
      <c r="K93" s="2">
        <v>2</v>
      </c>
      <c r="L93" s="2">
        <v>0</v>
      </c>
      <c r="M93" s="2" t="s">
        <v>57</v>
      </c>
      <c r="N93">
        <f t="shared" si="2"/>
        <v>0.25</v>
      </c>
    </row>
    <row r="96" spans="8:14">
      <c r="L96" t="s">
        <v>77</v>
      </c>
      <c r="M96">
        <f>SUM(N84:N93)</f>
        <v>16.5</v>
      </c>
    </row>
    <row r="98" spans="8:13">
      <c r="L98" t="s">
        <v>78</v>
      </c>
      <c r="M98">
        <f>M96/10</f>
        <v>1.65</v>
      </c>
    </row>
    <row r="100" spans="8:13">
      <c r="H100" t="s">
        <v>86</v>
      </c>
      <c r="L100" t="s">
        <v>80</v>
      </c>
      <c r="M100">
        <f>SQRT(M98)</f>
        <v>1.2845232578665129</v>
      </c>
    </row>
    <row r="102" spans="8:13">
      <c r="L102" t="s">
        <v>81</v>
      </c>
      <c r="M102" s="9">
        <f>SQRT(M98)</f>
        <v>1.2845232578665129</v>
      </c>
    </row>
    <row r="104" spans="8:13">
      <c r="I104" t="s">
        <v>87</v>
      </c>
    </row>
    <row r="105" spans="8:13">
      <c r="H105" t="s">
        <v>83</v>
      </c>
      <c r="I105">
        <f>1- NORMDIST(2.5,C24,M102,TRUE)</f>
        <v>0.73329174326365276</v>
      </c>
    </row>
    <row r="106" spans="8:13">
      <c r="H106" t="s">
        <v>88</v>
      </c>
      <c r="I106" s="11">
        <f>I105*100</f>
        <v>73.329174326365276</v>
      </c>
      <c r="J106" t="s">
        <v>19</v>
      </c>
    </row>
    <row r="114" spans="1:7">
      <c r="D114" t="s">
        <v>123</v>
      </c>
      <c r="E114" t="s">
        <v>124</v>
      </c>
      <c r="F114" t="s">
        <v>89</v>
      </c>
    </row>
    <row r="117" spans="1:7">
      <c r="A117" s="2"/>
      <c r="B117" s="14" t="s">
        <v>85</v>
      </c>
      <c r="C117" s="2" t="s">
        <v>74</v>
      </c>
      <c r="D117" s="2"/>
      <c r="E117" s="2"/>
      <c r="F117" s="2"/>
      <c r="G117" t="s">
        <v>75</v>
      </c>
    </row>
    <row r="118" spans="1:7">
      <c r="A118" s="2"/>
      <c r="B118" s="2"/>
      <c r="C118" s="2"/>
      <c r="D118" s="2"/>
      <c r="E118" s="2"/>
      <c r="F118" s="2"/>
    </row>
    <row r="119" spans="1:7">
      <c r="A119" s="2" t="s">
        <v>103</v>
      </c>
      <c r="B119" s="2" t="s">
        <v>125</v>
      </c>
      <c r="C119" s="2">
        <f>SUM(D119:D128)/10</f>
        <v>1.8</v>
      </c>
      <c r="D119" s="2">
        <v>2</v>
      </c>
      <c r="E119" s="2">
        <v>3</v>
      </c>
      <c r="F119" s="2" t="s">
        <v>91</v>
      </c>
      <c r="G119">
        <f>(D119-C119)^2</f>
        <v>3.999999999999998E-2</v>
      </c>
    </row>
    <row r="120" spans="1:7">
      <c r="A120" s="2" t="s">
        <v>103</v>
      </c>
      <c r="B120" s="2" t="s">
        <v>126</v>
      </c>
      <c r="C120" s="2">
        <f>SUM(D119:D128)/10</f>
        <v>1.8</v>
      </c>
      <c r="D120" s="2">
        <v>1</v>
      </c>
      <c r="E120" s="2">
        <v>2</v>
      </c>
      <c r="F120" s="2" t="s">
        <v>91</v>
      </c>
      <c r="G120">
        <f t="shared" ref="G120:G127" si="3">(D120-C120)^2</f>
        <v>0.64000000000000012</v>
      </c>
    </row>
    <row r="121" spans="1:7">
      <c r="A121" s="2" t="s">
        <v>103</v>
      </c>
      <c r="B121" s="2" t="s">
        <v>127</v>
      </c>
      <c r="C121" s="2">
        <f>SUM(D119:D128)/10</f>
        <v>1.8</v>
      </c>
      <c r="D121" s="2">
        <v>3</v>
      </c>
      <c r="E121" s="2">
        <v>0</v>
      </c>
      <c r="F121" s="2" t="s">
        <v>91</v>
      </c>
      <c r="G121">
        <f t="shared" si="3"/>
        <v>1.44</v>
      </c>
    </row>
    <row r="122" spans="1:7">
      <c r="A122" s="2" t="s">
        <v>103</v>
      </c>
      <c r="B122" s="2" t="s">
        <v>128</v>
      </c>
      <c r="C122" s="2">
        <f>SUM(D119:D128)/10</f>
        <v>1.8</v>
      </c>
      <c r="D122" s="2">
        <v>0</v>
      </c>
      <c r="E122" s="2">
        <v>1</v>
      </c>
      <c r="F122" s="2" t="s">
        <v>91</v>
      </c>
      <c r="G122">
        <f t="shared" si="3"/>
        <v>3.24</v>
      </c>
    </row>
    <row r="123" spans="1:7">
      <c r="A123" s="2" t="s">
        <v>103</v>
      </c>
      <c r="B123" s="2" t="s">
        <v>129</v>
      </c>
      <c r="C123" s="2">
        <f>SUM(D119:D128)/10</f>
        <v>1.8</v>
      </c>
      <c r="D123" s="2">
        <v>5</v>
      </c>
      <c r="E123" s="2">
        <v>0</v>
      </c>
      <c r="F123" s="2" t="s">
        <v>91</v>
      </c>
      <c r="G123">
        <f t="shared" si="3"/>
        <v>10.240000000000002</v>
      </c>
    </row>
    <row r="124" spans="1:7">
      <c r="A124" s="2" t="s">
        <v>103</v>
      </c>
      <c r="B124" s="2" t="s">
        <v>130</v>
      </c>
      <c r="C124" s="2">
        <f>SUM(D119:D128)/10</f>
        <v>1.8</v>
      </c>
      <c r="D124" s="2">
        <v>1</v>
      </c>
      <c r="E124" s="2">
        <v>1</v>
      </c>
      <c r="F124" s="2" t="s">
        <v>91</v>
      </c>
      <c r="G124">
        <f t="shared" si="3"/>
        <v>0.64000000000000012</v>
      </c>
    </row>
    <row r="125" spans="1:7">
      <c r="A125" s="2" t="s">
        <v>103</v>
      </c>
      <c r="B125" s="2" t="s">
        <v>131</v>
      </c>
      <c r="C125" s="2">
        <f>SUM(D119:D128)/10</f>
        <v>1.8</v>
      </c>
      <c r="D125" s="2">
        <v>0</v>
      </c>
      <c r="E125" s="2">
        <v>1</v>
      </c>
      <c r="F125" s="2" t="s">
        <v>91</v>
      </c>
      <c r="G125">
        <f t="shared" si="3"/>
        <v>3.24</v>
      </c>
    </row>
    <row r="126" spans="1:7">
      <c r="A126" s="2" t="s">
        <v>103</v>
      </c>
      <c r="B126" s="2" t="s">
        <v>132</v>
      </c>
      <c r="C126" s="2">
        <f>SUM(D119:D128)/10</f>
        <v>1.8</v>
      </c>
      <c r="D126" s="2">
        <v>4</v>
      </c>
      <c r="E126" s="2">
        <v>0</v>
      </c>
      <c r="F126" s="2" t="s">
        <v>91</v>
      </c>
      <c r="G126">
        <f t="shared" si="3"/>
        <v>4.8400000000000007</v>
      </c>
    </row>
    <row r="127" spans="1:7">
      <c r="A127" s="2" t="s">
        <v>103</v>
      </c>
      <c r="B127" s="2" t="s">
        <v>133</v>
      </c>
      <c r="C127" s="2">
        <f>SUM(D119:D128)/10</f>
        <v>1.8</v>
      </c>
      <c r="D127" s="2">
        <v>2</v>
      </c>
      <c r="E127" s="2">
        <v>3</v>
      </c>
      <c r="F127" s="2" t="s">
        <v>91</v>
      </c>
      <c r="G127">
        <f t="shared" si="3"/>
        <v>3.999999999999998E-2</v>
      </c>
    </row>
    <row r="128" spans="1:7">
      <c r="A128" s="2" t="s">
        <v>103</v>
      </c>
      <c r="B128" s="2" t="s">
        <v>134</v>
      </c>
      <c r="C128" s="2">
        <f>SUM(D119:D128)/10</f>
        <v>1.8</v>
      </c>
      <c r="D128" s="2">
        <v>0</v>
      </c>
      <c r="E128" s="2">
        <v>1</v>
      </c>
      <c r="F128" s="2" t="s">
        <v>91</v>
      </c>
      <c r="G128">
        <f>(D128-C128)^2</f>
        <v>3.24</v>
      </c>
    </row>
    <row r="130" spans="1:6">
      <c r="E130" t="s">
        <v>77</v>
      </c>
      <c r="F130">
        <f>SUM(G119:G128)</f>
        <v>27.6</v>
      </c>
    </row>
    <row r="132" spans="1:6">
      <c r="E132" t="s">
        <v>78</v>
      </c>
      <c r="F132">
        <f>F130/10</f>
        <v>2.7600000000000002</v>
      </c>
    </row>
    <row r="134" spans="1:6">
      <c r="A134" t="s">
        <v>86</v>
      </c>
      <c r="E134" t="s">
        <v>80</v>
      </c>
      <c r="F134">
        <f>SQRT(F132)</f>
        <v>1.6613247725836151</v>
      </c>
    </row>
    <row r="136" spans="1:6">
      <c r="E136" t="s">
        <v>81</v>
      </c>
      <c r="F136" s="9">
        <f>SQRT(F132)</f>
        <v>1.6613247725836151</v>
      </c>
    </row>
    <row r="138" spans="1:6">
      <c r="B138" t="s">
        <v>87</v>
      </c>
    </row>
    <row r="139" spans="1:6">
      <c r="A139" t="s">
        <v>83</v>
      </c>
      <c r="B139">
        <f>1- NORMDIST(2.5,C24,F136,TRUE)</f>
        <v>0.68493483334786998</v>
      </c>
    </row>
    <row r="140" spans="1:6">
      <c r="B140" s="11">
        <f>B139*100</f>
        <v>68.493483334787001</v>
      </c>
      <c r="C140" t="s">
        <v>19</v>
      </c>
    </row>
    <row r="141" spans="1:6">
      <c r="A141" t="s">
        <v>88</v>
      </c>
    </row>
    <row r="148" spans="1:7">
      <c r="A148" s="2"/>
      <c r="B148" s="2" t="s">
        <v>73</v>
      </c>
      <c r="C148" s="2" t="s">
        <v>74</v>
      </c>
      <c r="D148" s="2"/>
      <c r="E148" s="2"/>
      <c r="F148" s="2"/>
      <c r="G148" t="s">
        <v>75</v>
      </c>
    </row>
    <row r="149" spans="1:7">
      <c r="A149" s="2"/>
      <c r="B149" s="2"/>
      <c r="C149" s="2"/>
      <c r="D149" s="2"/>
      <c r="E149" s="2"/>
      <c r="F149" s="2"/>
    </row>
    <row r="150" spans="1:7">
      <c r="A150" s="2" t="s">
        <v>103</v>
      </c>
      <c r="B150" s="2" t="s">
        <v>125</v>
      </c>
      <c r="C150" s="2">
        <f>SUM(D150:D159)/10</f>
        <v>6.2</v>
      </c>
      <c r="D150" s="2">
        <v>8</v>
      </c>
      <c r="E150" s="2">
        <v>2</v>
      </c>
      <c r="F150" s="2" t="s">
        <v>91</v>
      </c>
      <c r="G150">
        <f>(D150-C150)^2</f>
        <v>3.2399999999999993</v>
      </c>
    </row>
    <row r="151" spans="1:7">
      <c r="A151" s="2" t="s">
        <v>103</v>
      </c>
      <c r="B151" s="2" t="s">
        <v>126</v>
      </c>
      <c r="C151" s="2">
        <f>SUM(D150:D159)/10</f>
        <v>6.2</v>
      </c>
      <c r="D151" s="2">
        <v>4</v>
      </c>
      <c r="E151" s="2">
        <v>10</v>
      </c>
      <c r="F151" s="2" t="s">
        <v>91</v>
      </c>
      <c r="G151">
        <f>(D151-C151)^2</f>
        <v>4.8400000000000007</v>
      </c>
    </row>
    <row r="152" spans="1:7">
      <c r="A152" s="2" t="s">
        <v>103</v>
      </c>
      <c r="B152" s="2" t="s">
        <v>127</v>
      </c>
      <c r="C152" s="2">
        <f>SUM(D150:D159)/10</f>
        <v>6.2</v>
      </c>
      <c r="D152" s="2">
        <v>11</v>
      </c>
      <c r="E152" s="2">
        <v>6</v>
      </c>
      <c r="F152" s="2" t="s">
        <v>91</v>
      </c>
      <c r="G152">
        <f t="shared" ref="G152:G159" si="4">(D152-C152)^2</f>
        <v>23.04</v>
      </c>
    </row>
    <row r="153" spans="1:7">
      <c r="A153" s="2" t="s">
        <v>103</v>
      </c>
      <c r="B153" s="2" t="s">
        <v>128</v>
      </c>
      <c r="C153" s="2">
        <f>SUM(D150:D159)/10</f>
        <v>6.2</v>
      </c>
      <c r="D153" s="2">
        <v>7</v>
      </c>
      <c r="E153" s="2">
        <v>2</v>
      </c>
      <c r="F153" s="2" t="s">
        <v>91</v>
      </c>
      <c r="G153">
        <f t="shared" si="4"/>
        <v>0.63999999999999968</v>
      </c>
    </row>
    <row r="154" spans="1:7">
      <c r="A154" s="2" t="s">
        <v>103</v>
      </c>
      <c r="B154" s="2" t="s">
        <v>129</v>
      </c>
      <c r="C154" s="2">
        <f>SUM(D150:D159)/10</f>
        <v>6.2</v>
      </c>
      <c r="D154" s="2">
        <v>5</v>
      </c>
      <c r="E154" s="2">
        <v>2</v>
      </c>
      <c r="F154" s="2" t="s">
        <v>91</v>
      </c>
      <c r="G154">
        <f t="shared" si="4"/>
        <v>1.4400000000000004</v>
      </c>
    </row>
    <row r="155" spans="1:7">
      <c r="A155" s="2" t="s">
        <v>103</v>
      </c>
      <c r="B155" s="2" t="s">
        <v>130</v>
      </c>
      <c r="C155" s="2">
        <f>SUM(D150:D159)/10</f>
        <v>6.2</v>
      </c>
      <c r="D155" s="2">
        <v>7</v>
      </c>
      <c r="E155" s="2">
        <v>7</v>
      </c>
      <c r="F155" s="2" t="s">
        <v>91</v>
      </c>
      <c r="G155">
        <f t="shared" si="4"/>
        <v>0.63999999999999968</v>
      </c>
    </row>
    <row r="156" spans="1:7">
      <c r="A156" s="2" t="s">
        <v>103</v>
      </c>
      <c r="B156" s="2" t="s">
        <v>131</v>
      </c>
      <c r="C156" s="2">
        <f>SUM(D150:D159)/10</f>
        <v>6.2</v>
      </c>
      <c r="D156" s="2">
        <v>9</v>
      </c>
      <c r="E156" s="2">
        <v>5</v>
      </c>
      <c r="F156" s="2" t="s">
        <v>91</v>
      </c>
      <c r="G156">
        <f t="shared" si="4"/>
        <v>7.839999999999999</v>
      </c>
    </row>
    <row r="157" spans="1:7">
      <c r="A157" s="2" t="s">
        <v>103</v>
      </c>
      <c r="B157" s="2" t="s">
        <v>132</v>
      </c>
      <c r="C157" s="2">
        <f>SUM(D150:D159)/10</f>
        <v>6.2</v>
      </c>
      <c r="D157" s="2">
        <v>3</v>
      </c>
      <c r="E157" s="2">
        <v>9</v>
      </c>
      <c r="F157" s="2" t="s">
        <v>91</v>
      </c>
      <c r="G157">
        <f t="shared" si="4"/>
        <v>10.240000000000002</v>
      </c>
    </row>
    <row r="158" spans="1:7">
      <c r="A158" s="2" t="s">
        <v>103</v>
      </c>
      <c r="B158" s="2" t="s">
        <v>133</v>
      </c>
      <c r="C158" s="2">
        <f>SUM(D150:D159)/10</f>
        <v>6.2</v>
      </c>
      <c r="D158" s="2">
        <v>0</v>
      </c>
      <c r="E158" s="2">
        <v>8</v>
      </c>
      <c r="F158" s="2" t="s">
        <v>91</v>
      </c>
      <c r="G158">
        <f t="shared" si="4"/>
        <v>38.440000000000005</v>
      </c>
    </row>
    <row r="159" spans="1:7">
      <c r="A159" s="2" t="s">
        <v>103</v>
      </c>
      <c r="B159" s="2" t="s">
        <v>134</v>
      </c>
      <c r="C159" s="2">
        <f>SUM(D150:D159)/10</f>
        <v>6.2</v>
      </c>
      <c r="D159" s="2">
        <v>8</v>
      </c>
      <c r="E159" s="2">
        <v>8</v>
      </c>
      <c r="F159" s="2" t="s">
        <v>91</v>
      </c>
      <c r="G159">
        <f t="shared" si="4"/>
        <v>3.2399999999999993</v>
      </c>
    </row>
    <row r="163" spans="1:6">
      <c r="E163" s="2" t="s">
        <v>77</v>
      </c>
      <c r="F163" s="2">
        <f>SUM(G150:G159)</f>
        <v>93.6</v>
      </c>
    </row>
    <row r="165" spans="1:6">
      <c r="E165" t="s">
        <v>78</v>
      </c>
      <c r="F165">
        <f>F163/10</f>
        <v>9.36</v>
      </c>
    </row>
    <row r="167" spans="1:6">
      <c r="A167" t="s">
        <v>79</v>
      </c>
      <c r="E167" t="s">
        <v>80</v>
      </c>
      <c r="F167" s="9">
        <f>SQRT(F165)</f>
        <v>3.0594117081556709</v>
      </c>
    </row>
    <row r="169" spans="1:6">
      <c r="E169" t="s">
        <v>81</v>
      </c>
      <c r="F169" s="10">
        <f>SQRT(F165)</f>
        <v>3.0594117081556709</v>
      </c>
    </row>
    <row r="171" spans="1:6">
      <c r="B171" t="s">
        <v>82</v>
      </c>
    </row>
    <row r="172" spans="1:6">
      <c r="A172" t="s">
        <v>83</v>
      </c>
      <c r="B172">
        <f>1- NORMDIST(9.5,C23,F169,TRUE)</f>
        <v>0.79307880479094761</v>
      </c>
    </row>
    <row r="173" spans="1:6">
      <c r="A173" t="s">
        <v>84</v>
      </c>
      <c r="B173" s="11">
        <f>B172*100</f>
        <v>79.307880479094763</v>
      </c>
      <c r="C173" t="s">
        <v>19</v>
      </c>
    </row>
  </sheetData>
  <mergeCells count="1">
    <mergeCell ref="C47:D47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1A07-7832-4C85-93CE-CFA88FDF9701}">
  <dimension ref="B1:P152"/>
  <sheetViews>
    <sheetView zoomScale="67" zoomScaleNormal="40" workbookViewId="0">
      <selection activeCell="D44" sqref="D44"/>
    </sheetView>
  </sheetViews>
  <sheetFormatPr defaultColWidth="11.42578125" defaultRowHeight="14.45"/>
  <cols>
    <col min="2" max="2" width="48.28515625" bestFit="1" customWidth="1"/>
    <col min="3" max="3" width="13.42578125" bestFit="1" customWidth="1"/>
    <col min="4" max="4" width="30.7109375" bestFit="1" customWidth="1"/>
    <col min="5" max="5" width="25.140625" customWidth="1"/>
    <col min="6" max="6" width="27.140625" bestFit="1" customWidth="1"/>
    <col min="7" max="7" width="28.140625" bestFit="1" customWidth="1"/>
    <col min="8" max="8" width="27" bestFit="1" customWidth="1"/>
    <col min="9" max="9" width="53.28515625" bestFit="1" customWidth="1"/>
    <col min="10" max="10" width="21.28515625" customWidth="1"/>
    <col min="11" max="11" width="15.85546875" bestFit="1" customWidth="1"/>
    <col min="12" max="13" width="51.28515625" bestFit="1" customWidth="1"/>
    <col min="14" max="14" width="14.28515625" bestFit="1" customWidth="1"/>
    <col min="15" max="15" width="13.7109375" bestFit="1" customWidth="1"/>
    <col min="16" max="16" width="29.28515625" bestFit="1" customWidth="1"/>
  </cols>
  <sheetData>
    <row r="1" spans="2:14">
      <c r="D1" t="s">
        <v>101</v>
      </c>
    </row>
    <row r="2" spans="2:14">
      <c r="C2" s="5" t="s">
        <v>0</v>
      </c>
      <c r="D2" s="5" t="s">
        <v>1</v>
      </c>
      <c r="E2" s="5" t="s">
        <v>2</v>
      </c>
    </row>
    <row r="3" spans="2:14">
      <c r="C3" s="8">
        <v>45680</v>
      </c>
      <c r="D3" s="6" t="s">
        <v>102</v>
      </c>
      <c r="E3" s="7" t="s">
        <v>103</v>
      </c>
    </row>
    <row r="7" spans="2:14">
      <c r="B7" t="s">
        <v>137</v>
      </c>
      <c r="M7" t="s">
        <v>138</v>
      </c>
    </row>
    <row r="9" spans="2:14">
      <c r="B9" t="s">
        <v>8</v>
      </c>
      <c r="C9" t="s">
        <v>9</v>
      </c>
      <c r="H9" t="s">
        <v>139</v>
      </c>
      <c r="M9" t="s">
        <v>10</v>
      </c>
      <c r="N9" t="s">
        <v>9</v>
      </c>
    </row>
    <row r="10" spans="2:14">
      <c r="B10" t="s">
        <v>140</v>
      </c>
      <c r="C10">
        <v>10</v>
      </c>
      <c r="M10" t="s">
        <v>140</v>
      </c>
      <c r="N10">
        <v>10</v>
      </c>
    </row>
    <row r="11" spans="2:14">
      <c r="B11" t="s">
        <v>141</v>
      </c>
      <c r="C11">
        <v>15</v>
      </c>
      <c r="M11" t="s">
        <v>142</v>
      </c>
      <c r="N11">
        <v>18</v>
      </c>
    </row>
    <row r="12" spans="2:14">
      <c r="B12" t="s">
        <v>143</v>
      </c>
      <c r="C12">
        <v>13</v>
      </c>
      <c r="F12" t="s">
        <v>144</v>
      </c>
      <c r="G12" t="s">
        <v>145</v>
      </c>
      <c r="H12" t="s">
        <v>146</v>
      </c>
      <c r="I12" t="s">
        <v>147</v>
      </c>
      <c r="J12" t="s">
        <v>148</v>
      </c>
      <c r="K12" t="s">
        <v>149</v>
      </c>
      <c r="M12" t="s">
        <v>150</v>
      </c>
      <c r="N12">
        <v>12</v>
      </c>
    </row>
    <row r="13" spans="2:14">
      <c r="B13" t="s">
        <v>17</v>
      </c>
      <c r="C13">
        <v>4</v>
      </c>
      <c r="F13" t="s">
        <v>151</v>
      </c>
      <c r="G13" t="s">
        <v>152</v>
      </c>
      <c r="H13" s="9">
        <f t="shared" ref="H13" si="0">(1- NORMDIST(2.5,C28,C29,TRUE))*100</f>
        <v>64.838070830053411</v>
      </c>
      <c r="I13" s="9">
        <f t="shared" ref="I13" si="1">H24</f>
        <v>51.81347150259068</v>
      </c>
      <c r="J13" s="9">
        <f>Tabla6[[#This Row],[Probabilidad real (%)]]-Tabla6[[#This Row],[Probabilidad Implicita (%)]]</f>
        <v>13.024599327462731</v>
      </c>
      <c r="K13" t="str">
        <f>IF(Tabla6[[#This Row],[Diferencia (%)]] &gt; 0, "Hay valor", "No hay Valor rey")</f>
        <v>Hay valor</v>
      </c>
      <c r="M13" t="s">
        <v>17</v>
      </c>
      <c r="N13">
        <v>3</v>
      </c>
    </row>
    <row r="14" spans="2:14">
      <c r="B14" t="s">
        <v>153</v>
      </c>
      <c r="C14">
        <f>C13/C10*100</f>
        <v>40</v>
      </c>
      <c r="F14" t="s">
        <v>151</v>
      </c>
      <c r="G14" t="s">
        <v>154</v>
      </c>
      <c r="H14" s="9">
        <f>(1- NORMDIST(10.5,C31,C32,TRUE))*100</f>
        <v>65.617351547954854</v>
      </c>
      <c r="I14" s="9">
        <f>H25</f>
        <v>40</v>
      </c>
      <c r="J14" s="9">
        <f>Tabla6[[#This Row],[Probabilidad real (%)]]-Tabla6[[#This Row],[Probabilidad Implicita (%)]]</f>
        <v>25.617351547954854</v>
      </c>
      <c r="K14" t="str">
        <f>IF(Tabla6[[#This Row],[Diferencia (%)]] &gt; 0, "Hay valor", "No hay Valor rey")</f>
        <v>Hay valor</v>
      </c>
      <c r="M14" t="s">
        <v>155</v>
      </c>
      <c r="N14">
        <f>N13/N10*100</f>
        <v>30</v>
      </c>
    </row>
    <row r="15" spans="2:14">
      <c r="B15" t="s">
        <v>156</v>
      </c>
      <c r="C15">
        <f>C11/C10</f>
        <v>1.5</v>
      </c>
      <c r="F15" t="s">
        <v>151</v>
      </c>
      <c r="G15" t="s">
        <v>157</v>
      </c>
      <c r="H15" s="9">
        <f>(1- NORMDIST(24.5,C34,C35,TRUE))*100</f>
        <v>78.604924894694832</v>
      </c>
      <c r="I15" s="9">
        <f>H26</f>
        <v>68.965517241379317</v>
      </c>
      <c r="J15" s="9">
        <f>Tabla6[[#This Row],[Probabilidad real (%)]]-Tabla6[[#This Row],[Probabilidad Implicita (%)]]</f>
        <v>9.6394076533155157</v>
      </c>
      <c r="K15" t="str">
        <f>IF(Tabla6[[#This Row],[Diferencia (%)]] &gt; 0, "Hay valor", "No hay Valor rey")</f>
        <v>Hay valor</v>
      </c>
      <c r="M15" t="s">
        <v>158</v>
      </c>
      <c r="N15">
        <f>N11/N10</f>
        <v>1.8</v>
      </c>
    </row>
    <row r="16" spans="2:14">
      <c r="B16" t="s">
        <v>159</v>
      </c>
      <c r="C16">
        <f>C12/C10</f>
        <v>1.3</v>
      </c>
      <c r="F16" t="s">
        <v>151</v>
      </c>
      <c r="G16" t="s">
        <v>160</v>
      </c>
      <c r="H16" s="9">
        <f>(1- NORMDIST(3.5,C37,C38,TRUE))*100</f>
        <v>57.656821772017352</v>
      </c>
      <c r="I16" s="9">
        <f>H27</f>
        <v>75.757575757575751</v>
      </c>
      <c r="J16" s="9">
        <f>Tabla6[[#This Row],[Probabilidad real (%)]]-Tabla6[[#This Row],[Probabilidad Implicita (%)]]</f>
        <v>-18.100753985558399</v>
      </c>
      <c r="K16" t="str">
        <f>IF(Tabla6[[#This Row],[Diferencia (%)]] &gt; 0, "Hay valor", "No hay Valor rey")</f>
        <v>No hay Valor rey</v>
      </c>
      <c r="M16" t="s">
        <v>161</v>
      </c>
      <c r="N16">
        <f>N12/N10</f>
        <v>1.2</v>
      </c>
    </row>
    <row r="17" spans="2:14">
      <c r="B17" t="s">
        <v>162</v>
      </c>
      <c r="C17">
        <f>C14+(C15-C16)/C10</f>
        <v>40.020000000000003</v>
      </c>
      <c r="M17" t="s">
        <v>163</v>
      </c>
      <c r="N17">
        <f>N14+(N15-N16)/N10</f>
        <v>30.06</v>
      </c>
    </row>
    <row r="18" spans="2:14">
      <c r="B18" t="s">
        <v>164</v>
      </c>
      <c r="C18">
        <f>C17/100</f>
        <v>0.40020000000000006</v>
      </c>
      <c r="M18" t="s">
        <v>164</v>
      </c>
      <c r="N18">
        <f>N17/100</f>
        <v>0.30059999999999998</v>
      </c>
    </row>
    <row r="19" spans="2:14">
      <c r="B19" t="s">
        <v>165</v>
      </c>
      <c r="C19">
        <v>58</v>
      </c>
      <c r="M19" t="s">
        <v>165</v>
      </c>
      <c r="N19">
        <v>62</v>
      </c>
    </row>
    <row r="20" spans="2:14">
      <c r="B20" t="s">
        <v>166</v>
      </c>
      <c r="C20">
        <f>C19/C10</f>
        <v>5.8</v>
      </c>
      <c r="M20" t="s">
        <v>167</v>
      </c>
      <c r="N20">
        <f>N19/N10</f>
        <v>6.2</v>
      </c>
    </row>
    <row r="21" spans="2:14">
      <c r="B21" t="s">
        <v>168</v>
      </c>
      <c r="C21">
        <v>166</v>
      </c>
      <c r="G21" t="s">
        <v>169</v>
      </c>
      <c r="M21" t="s">
        <v>170</v>
      </c>
      <c r="N21">
        <v>118</v>
      </c>
    </row>
    <row r="22" spans="2:14">
      <c r="B22" t="s">
        <v>171</v>
      </c>
      <c r="C22">
        <f>C21/C10</f>
        <v>16.600000000000001</v>
      </c>
      <c r="M22" t="s">
        <v>171</v>
      </c>
      <c r="N22">
        <f>N21/N10</f>
        <v>11.8</v>
      </c>
    </row>
    <row r="23" spans="2:14">
      <c r="B23" t="s">
        <v>172</v>
      </c>
      <c r="C23">
        <v>14</v>
      </c>
      <c r="F23" t="s">
        <v>145</v>
      </c>
      <c r="G23" t="s">
        <v>173</v>
      </c>
      <c r="H23" t="s">
        <v>174</v>
      </c>
      <c r="M23" t="s">
        <v>172</v>
      </c>
      <c r="N23">
        <v>25</v>
      </c>
    </row>
    <row r="24" spans="2:14">
      <c r="B24" t="s">
        <v>175</v>
      </c>
      <c r="C24">
        <f>C23/C10</f>
        <v>1.4</v>
      </c>
      <c r="F24" t="s">
        <v>176</v>
      </c>
      <c r="G24">
        <v>1.93</v>
      </c>
      <c r="H24" s="9">
        <f>(1/G24)*100</f>
        <v>51.81347150259068</v>
      </c>
      <c r="M24" t="s">
        <v>175</v>
      </c>
      <c r="N24">
        <f>N23/N10</f>
        <v>2.5</v>
      </c>
    </row>
    <row r="25" spans="2:14">
      <c r="F25" t="s">
        <v>154</v>
      </c>
      <c r="G25">
        <v>2.5</v>
      </c>
      <c r="H25" s="9">
        <f>(1/G25)*100</f>
        <v>40</v>
      </c>
    </row>
    <row r="26" spans="2:14">
      <c r="B26" t="s">
        <v>177</v>
      </c>
      <c r="F26" t="s">
        <v>157</v>
      </c>
      <c r="G26">
        <v>1.45</v>
      </c>
      <c r="H26" s="9">
        <f>(1/G26)*100</f>
        <v>68.965517241379317</v>
      </c>
    </row>
    <row r="27" spans="2:14">
      <c r="F27" t="s">
        <v>160</v>
      </c>
      <c r="G27">
        <v>1.32</v>
      </c>
      <c r="H27" s="9">
        <f>(1/G27)*100</f>
        <v>75.757575757575751</v>
      </c>
    </row>
    <row r="28" spans="2:14">
      <c r="B28" s="18" t="s">
        <v>44</v>
      </c>
      <c r="C28" s="18">
        <f>C15+N15</f>
        <v>3.3</v>
      </c>
    </row>
    <row r="29" spans="2:14">
      <c r="B29" s="18" t="s">
        <v>108</v>
      </c>
      <c r="C29" s="18">
        <f>SQRT((F82^2) + (O69^2))</f>
        <v>2.1</v>
      </c>
    </row>
    <row r="30" spans="2:14">
      <c r="B30" s="18" t="s">
        <v>178</v>
      </c>
      <c r="C30" s="19">
        <f>(1- NORMDIST(2.5,C28,C29,TRUE))*100</f>
        <v>64.838070830053411</v>
      </c>
    </row>
    <row r="31" spans="2:14">
      <c r="B31" s="20" t="s">
        <v>42</v>
      </c>
      <c r="C31" s="20">
        <f>C20+N20</f>
        <v>12</v>
      </c>
    </row>
    <row r="32" spans="2:14">
      <c r="B32" s="20" t="s">
        <v>106</v>
      </c>
      <c r="C32" s="20">
        <f>SQRT((F103^2) + (O93^2))</f>
        <v>3.7309516212355258</v>
      </c>
    </row>
    <row r="33" spans="2:3">
      <c r="B33" s="20" t="s">
        <v>179</v>
      </c>
      <c r="C33" s="21">
        <f>(1- NORMDIST(10.5,C31,C32,TRUE))*100</f>
        <v>65.617351547954854</v>
      </c>
    </row>
    <row r="34" spans="2:3">
      <c r="B34" s="22" t="s">
        <v>180</v>
      </c>
      <c r="C34" s="22">
        <f>C22+N22</f>
        <v>28.400000000000002</v>
      </c>
    </row>
    <row r="35" spans="2:3">
      <c r="B35" s="22" t="s">
        <v>181</v>
      </c>
      <c r="C35" s="22">
        <f>SQRT((F125^2) + (O119^2))</f>
        <v>4.919349550499537</v>
      </c>
    </row>
    <row r="36" spans="2:3">
      <c r="B36" s="22" t="s">
        <v>157</v>
      </c>
      <c r="C36" s="23">
        <f>(1- NORMDIST(24.5,C34,C35,TRUE))*100</f>
        <v>78.604924894694832</v>
      </c>
    </row>
    <row r="37" spans="2:3">
      <c r="B37" s="17" t="s">
        <v>182</v>
      </c>
      <c r="C37" s="17">
        <f>C24+N24</f>
        <v>3.9</v>
      </c>
    </row>
    <row r="38" spans="2:3">
      <c r="B38" s="17" t="s">
        <v>183</v>
      </c>
      <c r="C38" s="17">
        <f>SQRT((F149^2) + (O146^2))</f>
        <v>2.0712315177207978</v>
      </c>
    </row>
    <row r="39" spans="2:3">
      <c r="B39" s="17" t="s">
        <v>184</v>
      </c>
      <c r="C39" s="24">
        <f>(1- NORMDIST(3.5,C37,C38,TRUE))*100</f>
        <v>57.656821772017352</v>
      </c>
    </row>
    <row r="52" spans="11:16">
      <c r="M52" t="s">
        <v>85</v>
      </c>
    </row>
    <row r="54" spans="11:16">
      <c r="K54" s="16" t="s">
        <v>185</v>
      </c>
      <c r="L54" s="16" t="s">
        <v>186</v>
      </c>
      <c r="M54" s="15" t="s">
        <v>74</v>
      </c>
      <c r="N54" s="15" t="s">
        <v>137</v>
      </c>
      <c r="O54" s="15" t="s">
        <v>138</v>
      </c>
      <c r="P54" s="15" t="s">
        <v>75</v>
      </c>
    </row>
    <row r="55" spans="11:16">
      <c r="K55" s="15"/>
      <c r="L55" s="15"/>
      <c r="M55" s="15"/>
      <c r="N55" s="15"/>
      <c r="O55" s="15"/>
      <c r="P55" s="15"/>
    </row>
    <row r="56" spans="11:16">
      <c r="K56" s="15" t="s">
        <v>103</v>
      </c>
      <c r="L56" s="15" t="s">
        <v>125</v>
      </c>
      <c r="M56" s="15">
        <f>SUM(N56:N65)/10</f>
        <v>1.8</v>
      </c>
      <c r="N56" s="15">
        <v>2</v>
      </c>
      <c r="O56" s="15">
        <v>3</v>
      </c>
      <c r="P56" s="15">
        <f>(N56-M56)^2</f>
        <v>3.999999999999998E-2</v>
      </c>
    </row>
    <row r="57" spans="11:16">
      <c r="K57" s="15" t="s">
        <v>103</v>
      </c>
      <c r="L57" s="15" t="s">
        <v>126</v>
      </c>
      <c r="M57" s="15">
        <f>SUM(N56:N65)/10</f>
        <v>1.8</v>
      </c>
      <c r="N57" s="15">
        <v>1</v>
      </c>
      <c r="O57" s="15">
        <v>2</v>
      </c>
      <c r="P57" s="15">
        <f t="shared" ref="P57:P65" si="2">(N57-M57)^2</f>
        <v>0.64000000000000012</v>
      </c>
    </row>
    <row r="58" spans="11:16">
      <c r="K58" s="15" t="s">
        <v>103</v>
      </c>
      <c r="L58" s="15" t="s">
        <v>127</v>
      </c>
      <c r="M58" s="15">
        <f>SUM(N56:N65)/10</f>
        <v>1.8</v>
      </c>
      <c r="N58" s="15">
        <v>3</v>
      </c>
      <c r="O58" s="15">
        <v>0</v>
      </c>
      <c r="P58" s="15">
        <f t="shared" si="2"/>
        <v>1.44</v>
      </c>
    </row>
    <row r="59" spans="11:16">
      <c r="K59" s="15" t="s">
        <v>103</v>
      </c>
      <c r="L59" s="15" t="s">
        <v>128</v>
      </c>
      <c r="M59" s="15">
        <f>SUM(N56:N65)/10</f>
        <v>1.8</v>
      </c>
      <c r="N59" s="15">
        <v>0</v>
      </c>
      <c r="O59" s="15">
        <v>1</v>
      </c>
      <c r="P59" s="15">
        <f t="shared" si="2"/>
        <v>3.24</v>
      </c>
    </row>
    <row r="60" spans="11:16">
      <c r="K60" s="15" t="s">
        <v>103</v>
      </c>
      <c r="L60" s="15" t="s">
        <v>129</v>
      </c>
      <c r="M60" s="15">
        <f>SUM(N56:N65)/10</f>
        <v>1.8</v>
      </c>
      <c r="N60" s="15">
        <v>5</v>
      </c>
      <c r="O60" s="15">
        <v>0</v>
      </c>
      <c r="P60" s="15">
        <f t="shared" si="2"/>
        <v>10.240000000000002</v>
      </c>
    </row>
    <row r="61" spans="11:16">
      <c r="K61" s="15" t="s">
        <v>103</v>
      </c>
      <c r="L61" s="15" t="s">
        <v>130</v>
      </c>
      <c r="M61" s="15">
        <f>SUM(N56:N65)/10</f>
        <v>1.8</v>
      </c>
      <c r="N61" s="15">
        <v>1</v>
      </c>
      <c r="O61" s="15">
        <v>1</v>
      </c>
      <c r="P61" s="15">
        <f t="shared" si="2"/>
        <v>0.64000000000000012</v>
      </c>
    </row>
    <row r="62" spans="11:16">
      <c r="K62" s="15" t="s">
        <v>103</v>
      </c>
      <c r="L62" s="15" t="s">
        <v>131</v>
      </c>
      <c r="M62" s="15">
        <f>SUM(N56:N65)/10</f>
        <v>1.8</v>
      </c>
      <c r="N62" s="15">
        <v>0</v>
      </c>
      <c r="O62" s="15">
        <v>1</v>
      </c>
      <c r="P62" s="15">
        <f t="shared" si="2"/>
        <v>3.24</v>
      </c>
    </row>
    <row r="63" spans="11:16">
      <c r="K63" s="15" t="s">
        <v>103</v>
      </c>
      <c r="L63" s="15" t="s">
        <v>132</v>
      </c>
      <c r="M63" s="15">
        <f>SUM(N56:N65)/10</f>
        <v>1.8</v>
      </c>
      <c r="N63" s="15">
        <v>4</v>
      </c>
      <c r="O63" s="15">
        <v>0</v>
      </c>
      <c r="P63" s="15">
        <f t="shared" si="2"/>
        <v>4.8400000000000007</v>
      </c>
    </row>
    <row r="64" spans="11:16">
      <c r="K64" s="15" t="s">
        <v>103</v>
      </c>
      <c r="L64" s="15" t="s">
        <v>133</v>
      </c>
      <c r="M64" s="15">
        <f>SUM(N56:N65)/10</f>
        <v>1.8</v>
      </c>
      <c r="N64" s="15">
        <v>2</v>
      </c>
      <c r="O64" s="15">
        <v>3</v>
      </c>
      <c r="P64" s="15">
        <f t="shared" si="2"/>
        <v>3.999999999999998E-2</v>
      </c>
    </row>
    <row r="65" spans="2:16">
      <c r="C65" t="s">
        <v>85</v>
      </c>
      <c r="K65" s="15" t="s">
        <v>103</v>
      </c>
      <c r="L65" s="15" t="s">
        <v>134</v>
      </c>
      <c r="M65" s="15">
        <f>SUM(N56:N65)/10</f>
        <v>1.8</v>
      </c>
      <c r="N65" s="15">
        <v>0</v>
      </c>
      <c r="O65" s="15">
        <v>1</v>
      </c>
      <c r="P65" s="15">
        <f t="shared" si="2"/>
        <v>3.24</v>
      </c>
    </row>
    <row r="67" spans="2:16">
      <c r="B67" s="15" t="s">
        <v>185</v>
      </c>
      <c r="C67" s="15" t="s">
        <v>186</v>
      </c>
      <c r="D67" s="15" t="s">
        <v>74</v>
      </c>
      <c r="E67" s="15" t="s">
        <v>137</v>
      </c>
      <c r="F67" s="15" t="s">
        <v>138</v>
      </c>
      <c r="G67" s="15" t="s">
        <v>75</v>
      </c>
      <c r="M67" t="s">
        <v>77</v>
      </c>
      <c r="O67">
        <f>SUM(P56:P65)</f>
        <v>27.6</v>
      </c>
    </row>
    <row r="68" spans="2:16">
      <c r="B68" s="15"/>
      <c r="C68" s="15"/>
      <c r="D68" s="15"/>
      <c r="E68" s="15"/>
      <c r="F68" s="15"/>
      <c r="G68" s="15"/>
      <c r="M68" t="s">
        <v>187</v>
      </c>
      <c r="O68">
        <f>O67/10</f>
        <v>2.7600000000000002</v>
      </c>
    </row>
    <row r="69" spans="2:16">
      <c r="B69" s="15" t="s">
        <v>102</v>
      </c>
      <c r="C69" s="15" t="s">
        <v>112</v>
      </c>
      <c r="D69" s="15">
        <f>SUM(E69:E78)/10</f>
        <v>1.5</v>
      </c>
      <c r="E69" s="15">
        <v>0</v>
      </c>
      <c r="F69" s="15">
        <v>1</v>
      </c>
      <c r="G69" s="15">
        <f>(E69-D69)^2</f>
        <v>2.25</v>
      </c>
      <c r="M69" s="17" t="s">
        <v>80</v>
      </c>
      <c r="N69" s="17"/>
      <c r="O69" s="17">
        <f>SQRT(O68)</f>
        <v>1.6613247725836151</v>
      </c>
    </row>
    <row r="70" spans="2:16">
      <c r="B70" s="15" t="s">
        <v>102</v>
      </c>
      <c r="C70" s="15" t="s">
        <v>113</v>
      </c>
      <c r="D70" s="15">
        <f>SUM(E69:E78)/10</f>
        <v>1.5</v>
      </c>
      <c r="E70" s="15">
        <v>1</v>
      </c>
      <c r="F70" s="15">
        <v>2</v>
      </c>
      <c r="G70" s="15">
        <f t="shared" ref="G70:G78" si="3">(E70-D70)^2</f>
        <v>0.25</v>
      </c>
      <c r="M70" t="s">
        <v>81</v>
      </c>
      <c r="O70" s="9">
        <f>SQRT(O68)</f>
        <v>1.6613247725836151</v>
      </c>
    </row>
    <row r="71" spans="2:16">
      <c r="B71" s="15" t="s">
        <v>102</v>
      </c>
      <c r="C71" s="15" t="s">
        <v>114</v>
      </c>
      <c r="D71" s="15">
        <f>SUM(E69:E78)/10</f>
        <v>1.5</v>
      </c>
      <c r="E71" s="15">
        <v>0</v>
      </c>
      <c r="F71" s="15">
        <v>0</v>
      </c>
      <c r="G71" s="15">
        <f t="shared" si="3"/>
        <v>2.25</v>
      </c>
    </row>
    <row r="72" spans="2:16">
      <c r="B72" s="15" t="s">
        <v>102</v>
      </c>
      <c r="C72" s="15" t="s">
        <v>115</v>
      </c>
      <c r="D72" s="15">
        <f>SUM(E69:E78)/10</f>
        <v>1.5</v>
      </c>
      <c r="E72" s="15">
        <v>1</v>
      </c>
      <c r="F72" s="15">
        <v>1</v>
      </c>
      <c r="G72" s="15">
        <f t="shared" si="3"/>
        <v>0.25</v>
      </c>
      <c r="M72" t="s">
        <v>188</v>
      </c>
      <c r="O72">
        <f>1- NORMDIST(2.5,N15,O69,TRUE)</f>
        <v>0.33674958481475104</v>
      </c>
    </row>
    <row r="73" spans="2:16">
      <c r="B73" s="15" t="s">
        <v>102</v>
      </c>
      <c r="C73" s="15" t="s">
        <v>116</v>
      </c>
      <c r="D73" s="15">
        <f>SUM(E69:E78)/10</f>
        <v>1.5</v>
      </c>
      <c r="E73" s="15">
        <v>4</v>
      </c>
      <c r="F73" s="15">
        <v>3</v>
      </c>
      <c r="G73" s="15">
        <f t="shared" si="3"/>
        <v>6.25</v>
      </c>
    </row>
    <row r="74" spans="2:16">
      <c r="B74" s="15" t="s">
        <v>102</v>
      </c>
      <c r="C74" s="15" t="s">
        <v>117</v>
      </c>
      <c r="D74" s="15">
        <f>SUM(E69:E78)/10</f>
        <v>1.5</v>
      </c>
      <c r="E74" s="15">
        <v>2</v>
      </c>
      <c r="F74" s="15">
        <v>2</v>
      </c>
      <c r="G74" s="15">
        <f t="shared" si="3"/>
        <v>0.25</v>
      </c>
    </row>
    <row r="75" spans="2:16">
      <c r="B75" s="15" t="s">
        <v>102</v>
      </c>
      <c r="C75" s="15" t="s">
        <v>118</v>
      </c>
      <c r="D75" s="15">
        <f>SUM(E69:E78)/10</f>
        <v>1.5</v>
      </c>
      <c r="E75" s="15">
        <v>0</v>
      </c>
      <c r="F75" s="15">
        <v>2</v>
      </c>
      <c r="G75" s="15">
        <f t="shared" si="3"/>
        <v>2.25</v>
      </c>
    </row>
    <row r="76" spans="2:16">
      <c r="B76" s="15" t="s">
        <v>102</v>
      </c>
      <c r="C76" s="15" t="s">
        <v>119</v>
      </c>
      <c r="D76" s="15">
        <f>SUM(E69:E78)/10</f>
        <v>1.5</v>
      </c>
      <c r="E76" s="15">
        <v>2</v>
      </c>
      <c r="F76" s="15">
        <v>1</v>
      </c>
      <c r="G76" s="15">
        <f t="shared" si="3"/>
        <v>0.25</v>
      </c>
      <c r="M76" t="s">
        <v>189</v>
      </c>
    </row>
    <row r="77" spans="2:16">
      <c r="B77" s="15" t="s">
        <v>102</v>
      </c>
      <c r="C77" s="15" t="s">
        <v>120</v>
      </c>
      <c r="D77" s="15">
        <f>SUM(E69:E78)/10</f>
        <v>1.5</v>
      </c>
      <c r="E77" s="15">
        <v>3</v>
      </c>
      <c r="F77" s="15">
        <v>1</v>
      </c>
      <c r="G77" s="15">
        <f t="shared" si="3"/>
        <v>2.25</v>
      </c>
    </row>
    <row r="78" spans="2:16">
      <c r="B78" s="15" t="s">
        <v>102</v>
      </c>
      <c r="C78" s="15" t="s">
        <v>121</v>
      </c>
      <c r="D78" s="15">
        <f>SUM(E69:E78)/10</f>
        <v>1.5</v>
      </c>
      <c r="E78" s="15">
        <v>2</v>
      </c>
      <c r="F78" s="15">
        <v>0</v>
      </c>
      <c r="G78" s="15">
        <f t="shared" si="3"/>
        <v>0.25</v>
      </c>
      <c r="K78" s="15" t="s">
        <v>185</v>
      </c>
      <c r="L78" s="15" t="s">
        <v>186</v>
      </c>
      <c r="M78" s="15" t="s">
        <v>74</v>
      </c>
      <c r="N78" s="15" t="s">
        <v>138</v>
      </c>
      <c r="O78" s="15" t="s">
        <v>137</v>
      </c>
      <c r="P78" s="15" t="s">
        <v>75</v>
      </c>
    </row>
    <row r="79" spans="2:16">
      <c r="K79" s="15"/>
      <c r="L79" s="15"/>
      <c r="M79" s="15"/>
      <c r="N79" s="15"/>
      <c r="O79" s="15"/>
      <c r="P79" s="15"/>
    </row>
    <row r="80" spans="2:16">
      <c r="D80" t="s">
        <v>77</v>
      </c>
      <c r="F80">
        <f>SUM(G69:G78)</f>
        <v>16.5</v>
      </c>
      <c r="K80" s="15" t="s">
        <v>103</v>
      </c>
      <c r="L80" s="15" t="s">
        <v>125</v>
      </c>
      <c r="M80" s="15">
        <f>SUM(N80:N89)/10</f>
        <v>6.2</v>
      </c>
      <c r="N80" s="15">
        <v>8</v>
      </c>
      <c r="O80" s="15">
        <v>2</v>
      </c>
      <c r="P80" s="15">
        <f>(N80-M80)^2</f>
        <v>3.2399999999999993</v>
      </c>
    </row>
    <row r="81" spans="2:16">
      <c r="D81" t="s">
        <v>187</v>
      </c>
      <c r="F81">
        <f>F80/10</f>
        <v>1.65</v>
      </c>
      <c r="K81" s="15" t="s">
        <v>103</v>
      </c>
      <c r="L81" s="15" t="s">
        <v>126</v>
      </c>
      <c r="M81" s="15">
        <f>SUM(N80:N89)/10</f>
        <v>6.2</v>
      </c>
      <c r="N81" s="15">
        <v>4</v>
      </c>
      <c r="O81" s="15">
        <v>10</v>
      </c>
      <c r="P81" s="15">
        <f t="shared" ref="P81:P89" si="4">(N81-M81)^2</f>
        <v>4.8400000000000007</v>
      </c>
    </row>
    <row r="82" spans="2:16">
      <c r="D82" s="17" t="s">
        <v>80</v>
      </c>
      <c r="E82" s="17"/>
      <c r="F82" s="17">
        <f>SQRT(F81)</f>
        <v>1.2845232578665129</v>
      </c>
      <c r="K82" s="15" t="s">
        <v>103</v>
      </c>
      <c r="L82" s="15" t="s">
        <v>127</v>
      </c>
      <c r="M82" s="15">
        <f>SUM(N80:N89)/10</f>
        <v>6.2</v>
      </c>
      <c r="N82" s="15">
        <v>11</v>
      </c>
      <c r="O82" s="15">
        <v>6</v>
      </c>
      <c r="P82" s="15">
        <f t="shared" si="4"/>
        <v>23.04</v>
      </c>
    </row>
    <row r="83" spans="2:16">
      <c r="D83" t="s">
        <v>81</v>
      </c>
      <c r="F83" s="9">
        <f>SQRT(F81)</f>
        <v>1.2845232578665129</v>
      </c>
      <c r="K83" s="15" t="s">
        <v>103</v>
      </c>
      <c r="L83" s="15" t="s">
        <v>128</v>
      </c>
      <c r="M83" s="15">
        <f>SUM(N80:N89)/10</f>
        <v>6.2</v>
      </c>
      <c r="N83" s="15">
        <v>7</v>
      </c>
      <c r="O83" s="15">
        <v>2</v>
      </c>
      <c r="P83" s="15">
        <f t="shared" si="4"/>
        <v>0.63999999999999968</v>
      </c>
    </row>
    <row r="84" spans="2:16">
      <c r="K84" s="15" t="s">
        <v>103</v>
      </c>
      <c r="L84" s="15" t="s">
        <v>129</v>
      </c>
      <c r="M84" s="15">
        <f>SUM(N80:N89)/10</f>
        <v>6.2</v>
      </c>
      <c r="N84" s="15">
        <v>5</v>
      </c>
      <c r="O84" s="15">
        <v>2</v>
      </c>
      <c r="P84" s="15">
        <f t="shared" si="4"/>
        <v>1.4400000000000004</v>
      </c>
    </row>
    <row r="85" spans="2:16">
      <c r="D85" t="s">
        <v>188</v>
      </c>
      <c r="F85">
        <f>1- NORMDIST(2.5,C15,F82,TRUE)</f>
        <v>0.2181374644202646</v>
      </c>
      <c r="K85" s="15" t="s">
        <v>103</v>
      </c>
      <c r="L85" s="15" t="s">
        <v>130</v>
      </c>
      <c r="M85" s="15">
        <f>SUM(N80:N89)/10</f>
        <v>6.2</v>
      </c>
      <c r="N85" s="15">
        <v>7</v>
      </c>
      <c r="O85" s="15">
        <v>7</v>
      </c>
      <c r="P85" s="15">
        <f t="shared" si="4"/>
        <v>0.63999999999999968</v>
      </c>
    </row>
    <row r="86" spans="2:16">
      <c r="C86" t="s">
        <v>190</v>
      </c>
      <c r="K86" s="15" t="s">
        <v>103</v>
      </c>
      <c r="L86" s="15" t="s">
        <v>131</v>
      </c>
      <c r="M86" s="15">
        <f>SUM(N80:N89)/10</f>
        <v>6.2</v>
      </c>
      <c r="N86" s="15">
        <v>9</v>
      </c>
      <c r="O86" s="15">
        <v>5</v>
      </c>
      <c r="P86" s="15">
        <f t="shared" si="4"/>
        <v>7.839999999999999</v>
      </c>
    </row>
    <row r="87" spans="2:16">
      <c r="K87" s="15" t="s">
        <v>103</v>
      </c>
      <c r="L87" s="15" t="s">
        <v>132</v>
      </c>
      <c r="M87" s="15">
        <f>SUM(N80:N89)/10</f>
        <v>6.2</v>
      </c>
      <c r="N87" s="15">
        <v>3</v>
      </c>
      <c r="O87" s="15">
        <v>9</v>
      </c>
      <c r="P87" s="15">
        <f t="shared" si="4"/>
        <v>10.240000000000002</v>
      </c>
    </row>
    <row r="88" spans="2:16">
      <c r="B88" s="15" t="s">
        <v>185</v>
      </c>
      <c r="C88" s="15" t="s">
        <v>186</v>
      </c>
      <c r="D88" s="15" t="s">
        <v>74</v>
      </c>
      <c r="E88" s="15" t="s">
        <v>137</v>
      </c>
      <c r="F88" s="15" t="s">
        <v>138</v>
      </c>
      <c r="G88" s="15" t="s">
        <v>75</v>
      </c>
      <c r="K88" s="15" t="s">
        <v>103</v>
      </c>
      <c r="L88" s="15" t="s">
        <v>133</v>
      </c>
      <c r="M88" s="15">
        <f>SUM(N80:N89)/10</f>
        <v>6.2</v>
      </c>
      <c r="N88" s="15">
        <v>0</v>
      </c>
      <c r="O88" s="15">
        <v>8</v>
      </c>
      <c r="P88" s="15">
        <f t="shared" si="4"/>
        <v>38.440000000000005</v>
      </c>
    </row>
    <row r="89" spans="2:16">
      <c r="B89" s="15"/>
      <c r="C89" s="15"/>
      <c r="D89" s="15"/>
      <c r="E89" s="15"/>
      <c r="F89" s="15"/>
      <c r="G89" s="15"/>
      <c r="K89" s="15" t="s">
        <v>103</v>
      </c>
      <c r="L89" s="15" t="s">
        <v>134</v>
      </c>
      <c r="M89" s="15">
        <f>SUM(N80:N89)/10</f>
        <v>6.2</v>
      </c>
      <c r="N89" s="15">
        <v>8</v>
      </c>
      <c r="O89" s="15">
        <v>8</v>
      </c>
      <c r="P89" s="15">
        <f t="shared" si="4"/>
        <v>3.2399999999999993</v>
      </c>
    </row>
    <row r="90" spans="2:16">
      <c r="B90" s="15" t="s">
        <v>102</v>
      </c>
      <c r="C90" s="15" t="s">
        <v>112</v>
      </c>
      <c r="D90" s="15">
        <f>SUM(E90:E99)/10</f>
        <v>5.8</v>
      </c>
      <c r="E90" s="15">
        <v>4</v>
      </c>
      <c r="F90" s="15">
        <v>8</v>
      </c>
      <c r="G90" s="15">
        <f>(E90-D90)^2</f>
        <v>3.2399999999999993</v>
      </c>
    </row>
    <row r="91" spans="2:16">
      <c r="B91" s="15" t="s">
        <v>102</v>
      </c>
      <c r="C91" s="15" t="s">
        <v>113</v>
      </c>
      <c r="D91" s="15">
        <f>SUM(E90:E99)/10</f>
        <v>5.8</v>
      </c>
      <c r="E91" s="15">
        <v>8</v>
      </c>
      <c r="F91" s="15">
        <v>4</v>
      </c>
      <c r="G91" s="15">
        <f t="shared" ref="G91:G99" si="5">(E91-D91)^2</f>
        <v>4.8400000000000007</v>
      </c>
      <c r="M91" t="s">
        <v>77</v>
      </c>
      <c r="O91">
        <f>SUM(P80:P89)</f>
        <v>93.6</v>
      </c>
    </row>
    <row r="92" spans="2:16">
      <c r="B92" s="15" t="s">
        <v>102</v>
      </c>
      <c r="C92" s="15" t="s">
        <v>114</v>
      </c>
      <c r="D92" s="15">
        <f>SUM(E90:E99)/10</f>
        <v>5.8</v>
      </c>
      <c r="E92" s="15">
        <v>4</v>
      </c>
      <c r="F92" s="15">
        <v>2</v>
      </c>
      <c r="G92" s="15">
        <f t="shared" si="5"/>
        <v>3.2399999999999993</v>
      </c>
      <c r="M92" t="s">
        <v>187</v>
      </c>
      <c r="O92">
        <f>O91/10</f>
        <v>9.36</v>
      </c>
    </row>
    <row r="93" spans="2:16">
      <c r="B93" s="15" t="s">
        <v>102</v>
      </c>
      <c r="C93" s="15" t="s">
        <v>115</v>
      </c>
      <c r="D93" s="15">
        <f>SUM(E90:E99)/10</f>
        <v>5.8</v>
      </c>
      <c r="E93" s="15">
        <v>4</v>
      </c>
      <c r="F93" s="15">
        <v>3</v>
      </c>
      <c r="G93" s="15">
        <f t="shared" si="5"/>
        <v>3.2399999999999993</v>
      </c>
      <c r="M93" s="17" t="s">
        <v>80</v>
      </c>
      <c r="N93" s="17"/>
      <c r="O93" s="17">
        <f>SQRT(O92)</f>
        <v>3.0594117081556709</v>
      </c>
    </row>
    <row r="94" spans="2:16">
      <c r="B94" s="15" t="s">
        <v>102</v>
      </c>
      <c r="C94" s="15" t="s">
        <v>116</v>
      </c>
      <c r="D94" s="15">
        <f>SUM(E90:E99)/10</f>
        <v>5.8</v>
      </c>
      <c r="E94" s="15">
        <v>5</v>
      </c>
      <c r="F94" s="15">
        <v>3</v>
      </c>
      <c r="G94" s="15">
        <f t="shared" si="5"/>
        <v>0.63999999999999968</v>
      </c>
      <c r="M94" t="s">
        <v>81</v>
      </c>
      <c r="O94" s="9">
        <f>SQRT(O92)</f>
        <v>3.0594117081556709</v>
      </c>
    </row>
    <row r="95" spans="2:16">
      <c r="B95" s="15" t="s">
        <v>102</v>
      </c>
      <c r="C95" s="15" t="s">
        <v>117</v>
      </c>
      <c r="D95" s="15">
        <f>SUM(E90:E99)/10</f>
        <v>5.8</v>
      </c>
      <c r="E95" s="15">
        <v>8</v>
      </c>
      <c r="F95" s="15">
        <v>8</v>
      </c>
      <c r="G95" s="15">
        <f t="shared" si="5"/>
        <v>4.8400000000000007</v>
      </c>
    </row>
    <row r="96" spans="2:16">
      <c r="B96" s="15" t="s">
        <v>102</v>
      </c>
      <c r="C96" s="15" t="s">
        <v>118</v>
      </c>
      <c r="D96" s="15">
        <f>SUM(E90:E99)/10</f>
        <v>5.8</v>
      </c>
      <c r="E96" s="15">
        <v>7</v>
      </c>
      <c r="F96" s="15">
        <v>2</v>
      </c>
      <c r="G96" s="15">
        <f t="shared" si="5"/>
        <v>1.4400000000000004</v>
      </c>
      <c r="M96" t="s">
        <v>188</v>
      </c>
      <c r="O96" s="9">
        <f>(1- NORMDIST(10.5,N20,O93,TRUE))*100</f>
        <v>7.9936477916294209</v>
      </c>
      <c r="P96" t="s">
        <v>19</v>
      </c>
    </row>
    <row r="97" spans="2:16">
      <c r="B97" s="15" t="s">
        <v>102</v>
      </c>
      <c r="C97" s="15" t="s">
        <v>119</v>
      </c>
      <c r="D97" s="15">
        <f>SUM(E90:E99)/10</f>
        <v>5.8</v>
      </c>
      <c r="E97" s="15">
        <v>10</v>
      </c>
      <c r="F97" s="15">
        <v>6</v>
      </c>
      <c r="G97" s="15">
        <f t="shared" si="5"/>
        <v>17.64</v>
      </c>
    </row>
    <row r="98" spans="2:16">
      <c r="B98" s="15" t="s">
        <v>102</v>
      </c>
      <c r="C98" s="15" t="s">
        <v>120</v>
      </c>
      <c r="D98" s="15">
        <f>SUM(E90:E99)/10</f>
        <v>5.8</v>
      </c>
      <c r="E98" s="15">
        <v>4</v>
      </c>
      <c r="F98" s="15">
        <v>2</v>
      </c>
      <c r="G98" s="15">
        <f t="shared" si="5"/>
        <v>3.2399999999999993</v>
      </c>
    </row>
    <row r="99" spans="2:16">
      <c r="B99" s="15" t="s">
        <v>102</v>
      </c>
      <c r="C99" s="15" t="s">
        <v>121</v>
      </c>
      <c r="D99" s="15">
        <f>SUM(E90:E99)/10</f>
        <v>5.8</v>
      </c>
      <c r="E99" s="15">
        <v>4</v>
      </c>
      <c r="F99" s="15">
        <v>7</v>
      </c>
      <c r="G99" s="15">
        <f t="shared" si="5"/>
        <v>3.2399999999999993</v>
      </c>
    </row>
    <row r="101" spans="2:16">
      <c r="D101" t="s">
        <v>77</v>
      </c>
      <c r="F101">
        <f>SUM(G90:G99)</f>
        <v>45.600000000000009</v>
      </c>
    </row>
    <row r="102" spans="2:16">
      <c r="D102" t="s">
        <v>187</v>
      </c>
      <c r="F102">
        <f>F101/10</f>
        <v>4.5600000000000005</v>
      </c>
      <c r="L102" t="s">
        <v>168</v>
      </c>
    </row>
    <row r="103" spans="2:16">
      <c r="D103" s="17" t="s">
        <v>80</v>
      </c>
      <c r="E103" s="17"/>
      <c r="F103" s="17">
        <f>SQRT(F102)</f>
        <v>2.1354156504062622</v>
      </c>
    </row>
    <row r="104" spans="2:16">
      <c r="D104" t="s">
        <v>81</v>
      </c>
      <c r="F104" s="9">
        <f>SQRT(F102)</f>
        <v>2.1354156504062622</v>
      </c>
      <c r="K104" s="15" t="s">
        <v>185</v>
      </c>
      <c r="L104" s="15" t="s">
        <v>186</v>
      </c>
      <c r="M104" s="15" t="s">
        <v>74</v>
      </c>
      <c r="N104" s="15" t="s">
        <v>138</v>
      </c>
      <c r="O104" s="15" t="s">
        <v>137</v>
      </c>
      <c r="P104" s="15" t="s">
        <v>75</v>
      </c>
    </row>
    <row r="105" spans="2:16">
      <c r="K105" s="15"/>
      <c r="L105" s="15"/>
      <c r="M105" s="15"/>
      <c r="N105" s="15"/>
      <c r="O105" s="15"/>
      <c r="P105" s="15"/>
    </row>
    <row r="106" spans="2:16">
      <c r="D106" t="s">
        <v>188</v>
      </c>
      <c r="F106" s="9">
        <f>(1- NORMDIST(10.5,C20,F103,TRUE))*100</f>
        <v>1.3868838196778754</v>
      </c>
      <c r="G106" t="s">
        <v>19</v>
      </c>
      <c r="K106" s="15" t="s">
        <v>103</v>
      </c>
      <c r="L106" s="15" t="s">
        <v>125</v>
      </c>
      <c r="M106" s="15">
        <f>SUM(N106:N115)/10</f>
        <v>11.8</v>
      </c>
      <c r="N106" s="15">
        <v>11</v>
      </c>
      <c r="O106" s="15">
        <v>12</v>
      </c>
      <c r="P106" s="15">
        <f>(N106-M106)^2</f>
        <v>0.64000000000000112</v>
      </c>
    </row>
    <row r="107" spans="2:16">
      <c r="K107" s="15" t="s">
        <v>103</v>
      </c>
      <c r="L107" s="15" t="s">
        <v>126</v>
      </c>
      <c r="M107" s="15">
        <f>SUM(N106:N115)/10</f>
        <v>11.8</v>
      </c>
      <c r="N107" s="15">
        <v>10</v>
      </c>
      <c r="O107" s="15">
        <v>14</v>
      </c>
      <c r="P107" s="15">
        <f t="shared" ref="P107:P115" si="6">(N107-M107)^2</f>
        <v>3.2400000000000024</v>
      </c>
    </row>
    <row r="108" spans="2:16">
      <c r="C108" t="s">
        <v>168</v>
      </c>
      <c r="K108" s="15" t="s">
        <v>103</v>
      </c>
      <c r="L108" s="15" t="s">
        <v>127</v>
      </c>
      <c r="M108" s="15">
        <f>SUM(N106:N115)/10</f>
        <v>11.8</v>
      </c>
      <c r="N108" s="15">
        <v>17</v>
      </c>
      <c r="O108" s="15">
        <v>13</v>
      </c>
      <c r="P108" s="15">
        <f t="shared" si="6"/>
        <v>27.039999999999992</v>
      </c>
    </row>
    <row r="109" spans="2:16">
      <c r="K109" s="15" t="s">
        <v>103</v>
      </c>
      <c r="L109" s="15" t="s">
        <v>128</v>
      </c>
      <c r="M109" s="15">
        <f>SUM(N106:N115)/10</f>
        <v>11.8</v>
      </c>
      <c r="N109" s="15">
        <v>13</v>
      </c>
      <c r="O109" s="15">
        <v>10</v>
      </c>
      <c r="P109" s="15">
        <f t="shared" si="6"/>
        <v>1.4399999999999984</v>
      </c>
    </row>
    <row r="110" spans="2:16">
      <c r="B110" s="15" t="s">
        <v>185</v>
      </c>
      <c r="C110" s="15" t="s">
        <v>186</v>
      </c>
      <c r="D110" s="15" t="s">
        <v>74</v>
      </c>
      <c r="E110" s="15" t="s">
        <v>137</v>
      </c>
      <c r="F110" s="15" t="s">
        <v>138</v>
      </c>
      <c r="G110" s="15" t="s">
        <v>75</v>
      </c>
      <c r="K110" s="15" t="s">
        <v>103</v>
      </c>
      <c r="L110" s="15" t="s">
        <v>129</v>
      </c>
      <c r="M110" s="15">
        <f>SUM(N106:N115)/10</f>
        <v>11.8</v>
      </c>
      <c r="N110" s="15">
        <v>18</v>
      </c>
      <c r="O110" s="15">
        <v>9</v>
      </c>
      <c r="P110" s="15">
        <f t="shared" si="6"/>
        <v>38.439999999999991</v>
      </c>
    </row>
    <row r="111" spans="2:16">
      <c r="B111" s="15"/>
      <c r="C111" s="15"/>
      <c r="D111" s="15"/>
      <c r="E111" s="15"/>
      <c r="F111" s="15"/>
      <c r="G111" s="15"/>
      <c r="K111" s="15" t="s">
        <v>103</v>
      </c>
      <c r="L111" s="15" t="s">
        <v>130</v>
      </c>
      <c r="M111" s="15">
        <f>SUM(N106:N115)/10</f>
        <v>11.8</v>
      </c>
      <c r="N111" s="15">
        <v>12</v>
      </c>
      <c r="O111" s="15">
        <v>15</v>
      </c>
      <c r="P111" s="15">
        <f t="shared" si="6"/>
        <v>3.9999999999999716E-2</v>
      </c>
    </row>
    <row r="112" spans="2:16">
      <c r="B112" s="15" t="s">
        <v>102</v>
      </c>
      <c r="C112" s="15" t="s">
        <v>112</v>
      </c>
      <c r="D112" s="15">
        <f>SUM(E112:E121)/10</f>
        <v>16.600000000000001</v>
      </c>
      <c r="E112" s="15">
        <v>15</v>
      </c>
      <c r="F112" s="15">
        <v>12</v>
      </c>
      <c r="G112" s="15">
        <f>(E112-D112)^2</f>
        <v>2.5600000000000045</v>
      </c>
      <c r="K112" s="15" t="s">
        <v>103</v>
      </c>
      <c r="L112" s="15" t="s">
        <v>131</v>
      </c>
      <c r="M112" s="15">
        <f>SUM(N106:N115)/10</f>
        <v>11.8</v>
      </c>
      <c r="N112" s="15">
        <v>12</v>
      </c>
      <c r="O112" s="15">
        <v>21</v>
      </c>
      <c r="P112" s="15">
        <f t="shared" si="6"/>
        <v>3.9999999999999716E-2</v>
      </c>
    </row>
    <row r="113" spans="2:16">
      <c r="B113" s="15" t="s">
        <v>102</v>
      </c>
      <c r="C113" s="15" t="s">
        <v>113</v>
      </c>
      <c r="D113" s="15">
        <f>SUM(E112:E121)/10</f>
        <v>16.600000000000001</v>
      </c>
      <c r="E113" s="15">
        <v>18</v>
      </c>
      <c r="F113" s="15">
        <v>5</v>
      </c>
      <c r="G113" s="15">
        <f t="shared" ref="G113:G121" si="7">(E113-D113)^2</f>
        <v>1.959999999999996</v>
      </c>
      <c r="K113" s="15" t="s">
        <v>103</v>
      </c>
      <c r="L113" s="15" t="s">
        <v>132</v>
      </c>
      <c r="M113" s="15">
        <f>SUM(N106:N115)/10</f>
        <v>11.8</v>
      </c>
      <c r="N113" s="15">
        <v>9</v>
      </c>
      <c r="O113" s="15">
        <v>23</v>
      </c>
      <c r="P113" s="15">
        <f t="shared" si="6"/>
        <v>7.8400000000000043</v>
      </c>
    </row>
    <row r="114" spans="2:16">
      <c r="B114" s="15" t="s">
        <v>102</v>
      </c>
      <c r="C114" s="15" t="s">
        <v>114</v>
      </c>
      <c r="D114" s="15">
        <f>SUM(E112:E121)/10</f>
        <v>16.600000000000001</v>
      </c>
      <c r="E114" s="15">
        <v>14</v>
      </c>
      <c r="F114" s="15">
        <v>8</v>
      </c>
      <c r="G114" s="15">
        <f t="shared" si="7"/>
        <v>6.7600000000000078</v>
      </c>
      <c r="K114" s="15" t="s">
        <v>103</v>
      </c>
      <c r="L114" s="15" t="s">
        <v>133</v>
      </c>
      <c r="M114" s="15">
        <f>SUM(N106:N115)/10</f>
        <v>11.8</v>
      </c>
      <c r="N114" s="15">
        <v>5</v>
      </c>
      <c r="O114" s="15">
        <v>28</v>
      </c>
      <c r="P114" s="15">
        <f t="shared" si="6"/>
        <v>46.240000000000009</v>
      </c>
    </row>
    <row r="115" spans="2:16">
      <c r="B115" s="15" t="s">
        <v>102</v>
      </c>
      <c r="C115" s="15" t="s">
        <v>115</v>
      </c>
      <c r="D115" s="15">
        <f>SUM(E112:E121)/10</f>
        <v>16.600000000000001</v>
      </c>
      <c r="E115" s="15">
        <v>15</v>
      </c>
      <c r="F115" s="15">
        <v>11</v>
      </c>
      <c r="G115" s="15">
        <f t="shared" si="7"/>
        <v>2.5600000000000045</v>
      </c>
      <c r="K115" s="15" t="s">
        <v>103</v>
      </c>
      <c r="L115" s="15" t="s">
        <v>134</v>
      </c>
      <c r="M115" s="15">
        <f>SUM(N106:N115)/10</f>
        <v>11.8</v>
      </c>
      <c r="N115" s="15">
        <v>11</v>
      </c>
      <c r="O115" s="15">
        <v>14</v>
      </c>
      <c r="P115" s="15">
        <f t="shared" si="6"/>
        <v>0.64000000000000112</v>
      </c>
    </row>
    <row r="116" spans="2:16">
      <c r="B116" s="15" t="s">
        <v>102</v>
      </c>
      <c r="C116" s="15" t="s">
        <v>116</v>
      </c>
      <c r="D116" s="15">
        <f>SUM(E112:E121)/10</f>
        <v>16.600000000000001</v>
      </c>
      <c r="E116" s="15">
        <v>20</v>
      </c>
      <c r="F116" s="15">
        <v>14</v>
      </c>
      <c r="G116" s="15">
        <f t="shared" si="7"/>
        <v>11.55999999999999</v>
      </c>
    </row>
    <row r="117" spans="2:16">
      <c r="B117" s="15" t="s">
        <v>102</v>
      </c>
      <c r="C117" s="15" t="s">
        <v>117</v>
      </c>
      <c r="D117" s="15">
        <f>SUM(E112:E121)/10</f>
        <v>16.600000000000001</v>
      </c>
      <c r="E117" s="15">
        <v>18</v>
      </c>
      <c r="F117" s="15">
        <v>11</v>
      </c>
      <c r="G117" s="15">
        <f t="shared" si="7"/>
        <v>1.959999999999996</v>
      </c>
      <c r="M117" t="s">
        <v>77</v>
      </c>
      <c r="O117">
        <f>SUM(P106:P115)</f>
        <v>125.60000000000001</v>
      </c>
    </row>
    <row r="118" spans="2:16">
      <c r="B118" s="15" t="s">
        <v>102</v>
      </c>
      <c r="C118" s="15" t="s">
        <v>118</v>
      </c>
      <c r="D118" s="15">
        <f>SUM(E112:E121)/10</f>
        <v>16.600000000000001</v>
      </c>
      <c r="E118" s="15">
        <v>12</v>
      </c>
      <c r="F118" s="15">
        <v>7</v>
      </c>
      <c r="G118" s="15">
        <f t="shared" si="7"/>
        <v>21.160000000000014</v>
      </c>
      <c r="M118" t="s">
        <v>187</v>
      </c>
      <c r="O118">
        <f>O117/10</f>
        <v>12.56</v>
      </c>
    </row>
    <row r="119" spans="2:16">
      <c r="B119" s="15" t="s">
        <v>102</v>
      </c>
      <c r="C119" s="15" t="s">
        <v>119</v>
      </c>
      <c r="D119" s="15">
        <f>SUM(E112:E121)/10</f>
        <v>16.600000000000001</v>
      </c>
      <c r="E119" s="15">
        <v>23</v>
      </c>
      <c r="F119" s="15">
        <v>15</v>
      </c>
      <c r="G119" s="15">
        <f t="shared" si="7"/>
        <v>40.95999999999998</v>
      </c>
      <c r="M119" s="17" t="s">
        <v>80</v>
      </c>
      <c r="N119" s="17"/>
      <c r="O119" s="17">
        <f>SQRT(O118)</f>
        <v>3.54400902933387</v>
      </c>
    </row>
    <row r="120" spans="2:16">
      <c r="B120" s="15" t="s">
        <v>102</v>
      </c>
      <c r="C120" s="15" t="s">
        <v>120</v>
      </c>
      <c r="D120" s="15">
        <f>SUM(E112:E121)/10</f>
        <v>16.600000000000001</v>
      </c>
      <c r="E120" s="15">
        <v>12</v>
      </c>
      <c r="F120" s="15">
        <v>13</v>
      </c>
      <c r="G120" s="15">
        <f t="shared" si="7"/>
        <v>21.160000000000014</v>
      </c>
      <c r="M120" t="s">
        <v>81</v>
      </c>
      <c r="O120" s="9">
        <f>SQRT(O118)</f>
        <v>3.54400902933387</v>
      </c>
    </row>
    <row r="121" spans="2:16">
      <c r="B121" s="15" t="s">
        <v>102</v>
      </c>
      <c r="C121" s="15" t="s">
        <v>121</v>
      </c>
      <c r="D121" s="15">
        <f>SUM(E112:E121)/10</f>
        <v>16.600000000000001</v>
      </c>
      <c r="E121" s="15">
        <v>19</v>
      </c>
      <c r="F121" s="15">
        <v>8</v>
      </c>
      <c r="G121" s="15">
        <f t="shared" si="7"/>
        <v>5.7599999999999936</v>
      </c>
    </row>
    <row r="122" spans="2:16">
      <c r="M122" t="s">
        <v>188</v>
      </c>
      <c r="O122" s="9">
        <f>(1- NORMDIST(24.5,N22,O119,TRUE))*100</f>
        <v>1.6950238676183282E-2</v>
      </c>
      <c r="P122" t="s">
        <v>19</v>
      </c>
    </row>
    <row r="123" spans="2:16">
      <c r="D123" t="s">
        <v>77</v>
      </c>
      <c r="F123">
        <f>SUM(G112:G121)</f>
        <v>116.39999999999999</v>
      </c>
    </row>
    <row r="124" spans="2:16">
      <c r="D124" t="s">
        <v>187</v>
      </c>
      <c r="F124">
        <f>F123/10</f>
        <v>11.639999999999999</v>
      </c>
    </row>
    <row r="125" spans="2:16">
      <c r="D125" s="17" t="s">
        <v>80</v>
      </c>
      <c r="E125" s="17"/>
      <c r="F125" s="17">
        <f>SQRT(F124)</f>
        <v>3.4117444218463961</v>
      </c>
    </row>
    <row r="126" spans="2:16">
      <c r="D126" t="s">
        <v>81</v>
      </c>
      <c r="F126" s="9">
        <f>SQRT(F124)</f>
        <v>3.4117444218463961</v>
      </c>
    </row>
    <row r="128" spans="2:16">
      <c r="D128" t="s">
        <v>188</v>
      </c>
      <c r="F128" s="9">
        <f>(1- NORMDIST(24.5,C22,F125,TRUE))*100</f>
        <v>1.0291944810167264</v>
      </c>
      <c r="G128" t="s">
        <v>19</v>
      </c>
    </row>
    <row r="129" spans="2:16">
      <c r="L129" t="s">
        <v>191</v>
      </c>
      <c r="N129" t="s">
        <v>192</v>
      </c>
    </row>
    <row r="131" spans="2:16">
      <c r="K131" s="15" t="s">
        <v>185</v>
      </c>
      <c r="L131" s="15" t="s">
        <v>186</v>
      </c>
      <c r="M131" s="15" t="s">
        <v>74</v>
      </c>
      <c r="N131" s="15" t="s">
        <v>138</v>
      </c>
      <c r="O131" s="15" t="s">
        <v>137</v>
      </c>
      <c r="P131" s="15" t="s">
        <v>75</v>
      </c>
    </row>
    <row r="132" spans="2:16">
      <c r="C132" t="s">
        <v>191</v>
      </c>
      <c r="K132" s="15"/>
      <c r="L132" s="15"/>
      <c r="M132" s="15"/>
      <c r="N132" s="15"/>
      <c r="O132" s="15"/>
      <c r="P132" s="15"/>
    </row>
    <row r="133" spans="2:16">
      <c r="K133" s="15" t="s">
        <v>103</v>
      </c>
      <c r="L133" s="15" t="s">
        <v>125</v>
      </c>
      <c r="M133" s="15">
        <f>SUM(N133:N142)/10</f>
        <v>2.5</v>
      </c>
      <c r="N133" s="2">
        <v>1</v>
      </c>
      <c r="O133" s="2">
        <v>2</v>
      </c>
      <c r="P133" s="15">
        <f>(N133-M133)^2</f>
        <v>2.25</v>
      </c>
    </row>
    <row r="134" spans="2:16">
      <c r="B134" s="15" t="s">
        <v>185</v>
      </c>
      <c r="C134" s="15" t="s">
        <v>186</v>
      </c>
      <c r="D134" s="15" t="s">
        <v>74</v>
      </c>
      <c r="E134" s="15" t="s">
        <v>137</v>
      </c>
      <c r="F134" s="15" t="s">
        <v>138</v>
      </c>
      <c r="G134" s="15" t="s">
        <v>75</v>
      </c>
      <c r="K134" s="15" t="s">
        <v>103</v>
      </c>
      <c r="L134" s="15" t="s">
        <v>126</v>
      </c>
      <c r="M134" s="15">
        <f>SUM(N133:N142)/10</f>
        <v>2.5</v>
      </c>
      <c r="N134" s="2">
        <v>1</v>
      </c>
      <c r="O134" s="2">
        <v>3</v>
      </c>
      <c r="P134" s="15">
        <f t="shared" ref="P134:P142" si="8">(N134-M134)^2</f>
        <v>2.25</v>
      </c>
    </row>
    <row r="135" spans="2:16">
      <c r="B135" s="15"/>
      <c r="C135" s="15"/>
      <c r="D135" s="15"/>
      <c r="E135" s="15"/>
      <c r="F135" s="15"/>
      <c r="G135" s="15"/>
      <c r="K135" s="15" t="s">
        <v>103</v>
      </c>
      <c r="L135" s="15" t="s">
        <v>127</v>
      </c>
      <c r="M135" s="15">
        <f>SUM(N133:N142)/10</f>
        <v>2.5</v>
      </c>
      <c r="N135" s="2">
        <v>2</v>
      </c>
      <c r="O135" s="2">
        <v>4</v>
      </c>
      <c r="P135" s="15">
        <f t="shared" si="8"/>
        <v>0.25</v>
      </c>
    </row>
    <row r="136" spans="2:16">
      <c r="B136" s="15" t="s">
        <v>102</v>
      </c>
      <c r="C136" s="15" t="s">
        <v>112</v>
      </c>
      <c r="D136" s="15">
        <f>SUM(E136:E145)/10</f>
        <v>1.4</v>
      </c>
      <c r="E136" s="15">
        <v>1</v>
      </c>
      <c r="F136" s="15">
        <v>2</v>
      </c>
      <c r="G136" s="15">
        <f>(E136-D136)^2</f>
        <v>0.15999999999999992</v>
      </c>
      <c r="K136" s="15" t="s">
        <v>103</v>
      </c>
      <c r="L136" s="15" t="s">
        <v>128</v>
      </c>
      <c r="M136" s="15">
        <f>SUM(N133:N142)/10</f>
        <v>2.5</v>
      </c>
      <c r="N136" s="2">
        <v>1</v>
      </c>
      <c r="O136" s="2">
        <v>0</v>
      </c>
      <c r="P136" s="15">
        <f t="shared" si="8"/>
        <v>2.25</v>
      </c>
    </row>
    <row r="137" spans="2:16">
      <c r="B137" s="15" t="s">
        <v>102</v>
      </c>
      <c r="C137" s="15" t="s">
        <v>113</v>
      </c>
      <c r="D137" s="15">
        <f>SUM(E136:E145)/10</f>
        <v>1.4</v>
      </c>
      <c r="E137" s="15">
        <v>0</v>
      </c>
      <c r="F137" s="15">
        <v>0</v>
      </c>
      <c r="G137" s="15">
        <f t="shared" ref="G137:G145" si="9">(E137-D137)^2</f>
        <v>1.9599999999999997</v>
      </c>
      <c r="K137" s="15" t="s">
        <v>103</v>
      </c>
      <c r="L137" s="15" t="s">
        <v>129</v>
      </c>
      <c r="M137" s="15">
        <f>SUM(N133:N142)/10</f>
        <v>2.5</v>
      </c>
      <c r="N137" s="2">
        <v>3</v>
      </c>
      <c r="O137" s="2">
        <v>1</v>
      </c>
      <c r="P137" s="15">
        <f t="shared" si="8"/>
        <v>0.25</v>
      </c>
    </row>
    <row r="138" spans="2:16">
      <c r="B138" s="15" t="s">
        <v>102</v>
      </c>
      <c r="C138" s="15" t="s">
        <v>114</v>
      </c>
      <c r="D138" s="15">
        <f>SUM(E136:E145)/10</f>
        <v>1.4</v>
      </c>
      <c r="E138" s="15">
        <v>4</v>
      </c>
      <c r="F138" s="15">
        <v>3</v>
      </c>
      <c r="G138" s="15">
        <f t="shared" si="9"/>
        <v>6.7600000000000007</v>
      </c>
      <c r="K138" s="15" t="s">
        <v>103</v>
      </c>
      <c r="L138" s="15" t="s">
        <v>130</v>
      </c>
      <c r="M138" s="15">
        <f>SUM(N133:N142)/10</f>
        <v>2.5</v>
      </c>
      <c r="N138" s="2">
        <v>2</v>
      </c>
      <c r="O138" s="2">
        <v>1</v>
      </c>
      <c r="P138" s="15">
        <f t="shared" si="8"/>
        <v>0.25</v>
      </c>
    </row>
    <row r="139" spans="2:16">
      <c r="B139" s="15" t="s">
        <v>102</v>
      </c>
      <c r="C139" s="15" t="s">
        <v>115</v>
      </c>
      <c r="D139" s="15">
        <f>SUM(E136:E145)/10</f>
        <v>1.4</v>
      </c>
      <c r="E139" s="15">
        <v>1</v>
      </c>
      <c r="F139" s="15">
        <v>1</v>
      </c>
      <c r="G139" s="15">
        <f t="shared" si="9"/>
        <v>0.15999999999999992</v>
      </c>
      <c r="K139" s="15" t="s">
        <v>103</v>
      </c>
      <c r="L139" s="15" t="s">
        <v>131</v>
      </c>
      <c r="M139" s="15">
        <f>SUM(N133:N142)/10</f>
        <v>2.5</v>
      </c>
      <c r="N139" s="2">
        <v>2</v>
      </c>
      <c r="O139" s="2">
        <v>2</v>
      </c>
      <c r="P139" s="15">
        <f t="shared" si="8"/>
        <v>0.25</v>
      </c>
    </row>
    <row r="140" spans="2:16">
      <c r="B140" s="15" t="s">
        <v>102</v>
      </c>
      <c r="C140" s="15" t="s">
        <v>116</v>
      </c>
      <c r="D140" s="15">
        <f>SUM(E136:E145)/10</f>
        <v>1.4</v>
      </c>
      <c r="E140" s="15">
        <v>2</v>
      </c>
      <c r="F140" s="15">
        <v>1</v>
      </c>
      <c r="G140" s="15">
        <f t="shared" si="9"/>
        <v>0.3600000000000001</v>
      </c>
      <c r="K140" s="15" t="s">
        <v>103</v>
      </c>
      <c r="L140" s="15" t="s">
        <v>132</v>
      </c>
      <c r="M140" s="15">
        <f>SUM(N133:N142)/10</f>
        <v>2.5</v>
      </c>
      <c r="N140" s="2">
        <v>2</v>
      </c>
      <c r="O140" s="2">
        <v>4</v>
      </c>
      <c r="P140" s="15">
        <f t="shared" si="8"/>
        <v>0.25</v>
      </c>
    </row>
    <row r="141" spans="2:16">
      <c r="B141" s="15" t="s">
        <v>102</v>
      </c>
      <c r="C141" s="15" t="s">
        <v>117</v>
      </c>
      <c r="D141" s="15">
        <f>SUM(E136:E145)/10</f>
        <v>1.4</v>
      </c>
      <c r="E141" s="15">
        <v>2</v>
      </c>
      <c r="F141" s="15">
        <v>1</v>
      </c>
      <c r="G141" s="15">
        <f t="shared" si="9"/>
        <v>0.3600000000000001</v>
      </c>
      <c r="K141" s="15" t="s">
        <v>103</v>
      </c>
      <c r="L141" s="15" t="s">
        <v>133</v>
      </c>
      <c r="M141" s="15">
        <f>SUM(N133:N142)/10</f>
        <v>2.5</v>
      </c>
      <c r="N141" s="2">
        <v>7</v>
      </c>
      <c r="O141" s="2">
        <v>3</v>
      </c>
      <c r="P141" s="15">
        <f t="shared" si="8"/>
        <v>20.25</v>
      </c>
    </row>
    <row r="142" spans="2:16">
      <c r="B142" s="15" t="s">
        <v>102</v>
      </c>
      <c r="C142" s="15" t="s">
        <v>118</v>
      </c>
      <c r="D142" s="15">
        <f>SUM(E136:E145)/10</f>
        <v>1.4</v>
      </c>
      <c r="E142" s="15">
        <v>0</v>
      </c>
      <c r="F142" s="15">
        <v>1</v>
      </c>
      <c r="G142" s="15">
        <f t="shared" si="9"/>
        <v>1.9599999999999997</v>
      </c>
      <c r="K142" s="15" t="s">
        <v>103</v>
      </c>
      <c r="L142" s="15" t="s">
        <v>134</v>
      </c>
      <c r="M142" s="15">
        <f>SUM(N133:N142)/10</f>
        <v>2.5</v>
      </c>
      <c r="N142" s="2">
        <v>4</v>
      </c>
      <c r="O142" s="2">
        <v>4</v>
      </c>
      <c r="P142" s="15">
        <f t="shared" si="8"/>
        <v>2.25</v>
      </c>
    </row>
    <row r="143" spans="2:16">
      <c r="B143" s="15" t="s">
        <v>102</v>
      </c>
      <c r="C143" s="15" t="s">
        <v>119</v>
      </c>
      <c r="D143" s="15">
        <f>SUM(E136:E145)/10</f>
        <v>1.4</v>
      </c>
      <c r="E143" s="15">
        <v>2</v>
      </c>
      <c r="F143" s="15">
        <v>2</v>
      </c>
      <c r="G143" s="15">
        <f t="shared" si="9"/>
        <v>0.3600000000000001</v>
      </c>
    </row>
    <row r="144" spans="2:16">
      <c r="B144" s="15" t="s">
        <v>102</v>
      </c>
      <c r="C144" s="15" t="s">
        <v>120</v>
      </c>
      <c r="D144" s="15">
        <f>SUM(E136:E145)/10</f>
        <v>1.4</v>
      </c>
      <c r="E144" s="15">
        <v>1</v>
      </c>
      <c r="F144" s="15">
        <v>1</v>
      </c>
      <c r="G144" s="15">
        <f t="shared" si="9"/>
        <v>0.15999999999999992</v>
      </c>
      <c r="M144" t="s">
        <v>77</v>
      </c>
      <c r="O144">
        <f>SUM(P133:P142)</f>
        <v>30.5</v>
      </c>
    </row>
    <row r="145" spans="2:16">
      <c r="B145" s="15" t="s">
        <v>102</v>
      </c>
      <c r="C145" s="15" t="s">
        <v>121</v>
      </c>
      <c r="D145" s="15">
        <f>SUM(E136:E145)/10</f>
        <v>1.4</v>
      </c>
      <c r="E145" s="15">
        <v>1</v>
      </c>
      <c r="F145" s="15">
        <v>0</v>
      </c>
      <c r="G145" s="15">
        <f t="shared" si="9"/>
        <v>0.15999999999999992</v>
      </c>
      <c r="M145" t="s">
        <v>187</v>
      </c>
      <c r="O145">
        <f>O144/10</f>
        <v>3.05</v>
      </c>
    </row>
    <row r="146" spans="2:16">
      <c r="M146" s="17" t="s">
        <v>80</v>
      </c>
      <c r="N146" s="17"/>
      <c r="O146" s="17">
        <f>SQRT(O145)</f>
        <v>1.7464249196572981</v>
      </c>
    </row>
    <row r="147" spans="2:16">
      <c r="D147" t="s">
        <v>77</v>
      </c>
      <c r="F147">
        <f>SUM(G136:G145)</f>
        <v>12.399999999999999</v>
      </c>
      <c r="M147" t="s">
        <v>81</v>
      </c>
      <c r="O147" s="9">
        <f>SQRT(O145)</f>
        <v>1.7464249196572981</v>
      </c>
    </row>
    <row r="148" spans="2:16">
      <c r="D148" t="s">
        <v>187</v>
      </c>
      <c r="F148">
        <f>F147/10</f>
        <v>1.2399999999999998</v>
      </c>
    </row>
    <row r="149" spans="2:16">
      <c r="D149" s="17" t="s">
        <v>80</v>
      </c>
      <c r="E149" s="17"/>
      <c r="F149" s="17">
        <f>SQRT(F148)</f>
        <v>1.1135528725660042</v>
      </c>
      <c r="M149" t="s">
        <v>188</v>
      </c>
      <c r="O149" s="9">
        <f>(1- NORMDIST(3.5,N24,O146,TRUE))*100</f>
        <v>28.345834389506365</v>
      </c>
      <c r="P149" t="s">
        <v>19</v>
      </c>
    </row>
    <row r="150" spans="2:16">
      <c r="D150" t="s">
        <v>81</v>
      </c>
      <c r="F150" s="9">
        <f>SQRT(F148)</f>
        <v>1.1135528725660042</v>
      </c>
    </row>
    <row r="152" spans="2:16">
      <c r="D152" t="s">
        <v>188</v>
      </c>
      <c r="F152" s="9">
        <f>(1- NORMDIST(3.5,C24,F149,TRUE))*100</f>
        <v>2.9657203235177287</v>
      </c>
      <c r="G152" t="s">
        <v>19</v>
      </c>
    </row>
  </sheetData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2C66-A3CC-4497-BB92-ABA49F23B9F9}">
  <dimension ref="A1:P153"/>
  <sheetViews>
    <sheetView zoomScale="96" zoomScaleNormal="40" workbookViewId="0">
      <selection activeCell="D26" sqref="D26"/>
    </sheetView>
  </sheetViews>
  <sheetFormatPr defaultColWidth="11.42578125" defaultRowHeight="14.45"/>
  <cols>
    <col min="2" max="2" width="48.28515625" bestFit="1" customWidth="1"/>
    <col min="3" max="3" width="13.42578125" bestFit="1" customWidth="1"/>
    <col min="4" max="4" width="30.7109375" bestFit="1" customWidth="1"/>
    <col min="5" max="5" width="25.140625" customWidth="1"/>
    <col min="6" max="6" width="27.140625" bestFit="1" customWidth="1"/>
    <col min="7" max="7" width="28.140625" bestFit="1" customWidth="1"/>
    <col min="8" max="8" width="27" bestFit="1" customWidth="1"/>
    <col min="9" max="9" width="53.28515625" bestFit="1" customWidth="1"/>
    <col min="10" max="10" width="21.28515625" customWidth="1"/>
    <col min="11" max="11" width="15.85546875" bestFit="1" customWidth="1"/>
    <col min="12" max="13" width="51.28515625" bestFit="1" customWidth="1"/>
    <col min="14" max="14" width="14.28515625" bestFit="1" customWidth="1"/>
    <col min="15" max="15" width="13.7109375" bestFit="1" customWidth="1"/>
    <col min="16" max="16" width="29.28515625" bestFit="1" customWidth="1"/>
  </cols>
  <sheetData>
    <row r="1" spans="2:14">
      <c r="D1" t="s">
        <v>193</v>
      </c>
      <c r="G1" t="s">
        <v>194</v>
      </c>
    </row>
    <row r="2" spans="2:14">
      <c r="C2" s="5" t="s">
        <v>0</v>
      </c>
      <c r="D2" s="5" t="s">
        <v>1</v>
      </c>
      <c r="E2" s="5" t="s">
        <v>2</v>
      </c>
    </row>
    <row r="3" spans="2:14">
      <c r="C3" s="8">
        <v>45680</v>
      </c>
      <c r="D3" s="6" t="s">
        <v>195</v>
      </c>
      <c r="E3" s="7" t="s">
        <v>196</v>
      </c>
    </row>
    <row r="7" spans="2:14">
      <c r="B7" t="s">
        <v>137</v>
      </c>
      <c r="M7" t="s">
        <v>138</v>
      </c>
    </row>
    <row r="9" spans="2:14">
      <c r="B9" t="s">
        <v>8</v>
      </c>
      <c r="C9" t="s">
        <v>9</v>
      </c>
      <c r="H9" t="s">
        <v>139</v>
      </c>
      <c r="M9" t="s">
        <v>10</v>
      </c>
      <c r="N9" t="s">
        <v>9</v>
      </c>
    </row>
    <row r="10" spans="2:14">
      <c r="B10" t="s">
        <v>140</v>
      </c>
      <c r="C10">
        <v>10</v>
      </c>
      <c r="M10" t="s">
        <v>140</v>
      </c>
      <c r="N10">
        <v>10</v>
      </c>
    </row>
    <row r="11" spans="2:14">
      <c r="B11" t="s">
        <v>141</v>
      </c>
      <c r="C11">
        <f>SUM(E69:E78)</f>
        <v>21</v>
      </c>
      <c r="M11" t="s">
        <v>142</v>
      </c>
      <c r="N11">
        <f>SUM(N56:N65)</f>
        <v>15</v>
      </c>
    </row>
    <row r="12" spans="2:14">
      <c r="B12" t="s">
        <v>143</v>
      </c>
      <c r="C12">
        <f>SUM(F69:F78)</f>
        <v>16</v>
      </c>
      <c r="F12" t="s">
        <v>144</v>
      </c>
      <c r="G12" t="s">
        <v>145</v>
      </c>
      <c r="H12" t="s">
        <v>146</v>
      </c>
      <c r="I12" t="s">
        <v>147</v>
      </c>
      <c r="J12" t="s">
        <v>148</v>
      </c>
      <c r="K12" t="s">
        <v>149</v>
      </c>
      <c r="M12" t="s">
        <v>150</v>
      </c>
      <c r="N12">
        <f>SUM(O56:O65)</f>
        <v>27</v>
      </c>
    </row>
    <row r="13" spans="2:14">
      <c r="B13" t="s">
        <v>17</v>
      </c>
      <c r="C13">
        <v>5</v>
      </c>
      <c r="F13" t="s">
        <v>151</v>
      </c>
      <c r="G13" t="s">
        <v>152</v>
      </c>
      <c r="H13" s="9">
        <f>C30</f>
        <v>75.496622395022754</v>
      </c>
      <c r="I13" s="9">
        <f>H24</f>
        <v>68.027210884353735</v>
      </c>
      <c r="J13" s="9">
        <f>Tabla66[[#This Row],[Probabilidad real (%)]]-Tabla66[[#This Row],[Probabilidad Implicita (%)]]</f>
        <v>7.4694115106690191</v>
      </c>
      <c r="K13" t="str">
        <f>IF(Tabla66[[#This Row],[Diferencia (%)]] &gt; 0, "Hay valor", "No hay Valor rey")</f>
        <v>Hay valor</v>
      </c>
      <c r="M13" t="s">
        <v>17</v>
      </c>
      <c r="N13">
        <v>1</v>
      </c>
    </row>
    <row r="14" spans="2:14">
      <c r="B14" t="s">
        <v>153</v>
      </c>
      <c r="C14">
        <f>C13/C10*100</f>
        <v>50</v>
      </c>
      <c r="F14" t="s">
        <v>151</v>
      </c>
      <c r="G14" t="s">
        <v>154</v>
      </c>
      <c r="H14" s="9">
        <f>C33</f>
        <v>93.125739620248837</v>
      </c>
      <c r="I14" s="9">
        <f>H25</f>
        <v>99.502487562189074</v>
      </c>
      <c r="J14" s="9">
        <f>Tabla66[[#This Row],[Probabilidad real (%)]]-Tabla66[[#This Row],[Probabilidad Implicita (%)]]</f>
        <v>-6.3767479419402378</v>
      </c>
      <c r="K14" t="str">
        <f>IF(Tabla66[[#This Row],[Diferencia (%)]] &gt; 0, "Hay valor", "No hay Valor rey")</f>
        <v>No hay Valor rey</v>
      </c>
      <c r="M14" t="s">
        <v>155</v>
      </c>
      <c r="N14">
        <f>N13/N10*100</f>
        <v>10</v>
      </c>
    </row>
    <row r="15" spans="2:14">
      <c r="B15" t="s">
        <v>156</v>
      </c>
      <c r="C15">
        <f>C11/C10</f>
        <v>2.1</v>
      </c>
      <c r="F15" t="s">
        <v>151</v>
      </c>
      <c r="G15" t="s">
        <v>157</v>
      </c>
      <c r="H15" s="9">
        <f>(1- NORMDIST(24.5,C34,C35,TRUE))*100</f>
        <v>65.492329942783087</v>
      </c>
      <c r="I15" s="9">
        <f>H26</f>
        <v>68.965517241379317</v>
      </c>
      <c r="J15" s="9">
        <f>Tabla66[[#This Row],[Probabilidad real (%)]]-Tabla66[[#This Row],[Probabilidad Implicita (%)]]</f>
        <v>-3.4731872985962298</v>
      </c>
      <c r="K15" t="str">
        <f>IF(Tabla66[[#This Row],[Diferencia (%)]] &gt; 0, "Hay valor", "No hay Valor rey")</f>
        <v>No hay Valor rey</v>
      </c>
      <c r="M15" t="s">
        <v>158</v>
      </c>
      <c r="N15">
        <f>N11/N10</f>
        <v>1.5</v>
      </c>
    </row>
    <row r="16" spans="2:14">
      <c r="B16" t="s">
        <v>159</v>
      </c>
      <c r="C16">
        <f>C12/C10</f>
        <v>1.6</v>
      </c>
      <c r="F16" t="s">
        <v>151</v>
      </c>
      <c r="G16" t="s">
        <v>160</v>
      </c>
      <c r="H16" s="9">
        <f>(1- NORMDIST(3.5,C37,C38,TRUE))*100</f>
        <v>72.637739140710124</v>
      </c>
      <c r="I16" s="9">
        <f>H27</f>
        <v>75.757575757575751</v>
      </c>
      <c r="J16" s="9">
        <f>Tabla66[[#This Row],[Probabilidad real (%)]]-Tabla66[[#This Row],[Probabilidad Implicita (%)]]</f>
        <v>-3.1198366168656264</v>
      </c>
      <c r="K16" t="str">
        <f>IF(Tabla66[[#This Row],[Diferencia (%)]] &gt; 0, "Hay valor", "No hay Valor rey")</f>
        <v>No hay Valor rey</v>
      </c>
      <c r="M16" t="s">
        <v>161</v>
      </c>
      <c r="N16">
        <f>N12/N10</f>
        <v>2.7</v>
      </c>
    </row>
    <row r="17" spans="2:14">
      <c r="B17" t="s">
        <v>162</v>
      </c>
      <c r="C17">
        <f>C14+(C15-C16)/C10</f>
        <v>50.05</v>
      </c>
      <c r="M17" t="s">
        <v>163</v>
      </c>
      <c r="N17">
        <f>N14+(N15-N16)/N10</f>
        <v>9.8800000000000008</v>
      </c>
    </row>
    <row r="18" spans="2:14">
      <c r="B18" t="s">
        <v>164</v>
      </c>
      <c r="C18">
        <f>C17/100</f>
        <v>0.50049999999999994</v>
      </c>
      <c r="M18" t="s">
        <v>164</v>
      </c>
      <c r="N18">
        <f>N17/100</f>
        <v>9.8800000000000013E-2</v>
      </c>
    </row>
    <row r="19" spans="2:14">
      <c r="B19" t="s">
        <v>165</v>
      </c>
      <c r="C19">
        <f>SUM(E89:E98)</f>
        <v>51</v>
      </c>
      <c r="M19" t="s">
        <v>165</v>
      </c>
      <c r="N19">
        <f>SUM(N80:N89)</f>
        <v>39</v>
      </c>
    </row>
    <row r="20" spans="2:14">
      <c r="B20" t="s">
        <v>166</v>
      </c>
      <c r="C20">
        <f>C19/C10</f>
        <v>5.0999999999999996</v>
      </c>
      <c r="M20" t="s">
        <v>167</v>
      </c>
      <c r="N20">
        <f>N19/N10</f>
        <v>3.9</v>
      </c>
    </row>
    <row r="21" spans="2:14">
      <c r="B21" t="s">
        <v>168</v>
      </c>
      <c r="C21">
        <f>SUM(E111:E120)</f>
        <v>137</v>
      </c>
      <c r="G21" t="s">
        <v>169</v>
      </c>
      <c r="M21" t="s">
        <v>170</v>
      </c>
      <c r="N21">
        <f>SUM(N106:N115)</f>
        <v>128</v>
      </c>
    </row>
    <row r="22" spans="2:14">
      <c r="B22" t="s">
        <v>171</v>
      </c>
      <c r="C22">
        <f>C21/C10</f>
        <v>13.7</v>
      </c>
      <c r="M22" t="s">
        <v>171</v>
      </c>
      <c r="N22">
        <f>N21/N10</f>
        <v>12.8</v>
      </c>
    </row>
    <row r="23" spans="2:14">
      <c r="B23" t="s">
        <v>172</v>
      </c>
      <c r="C23">
        <f>SUM(E135:E144)</f>
        <v>21</v>
      </c>
      <c r="F23" t="s">
        <v>145</v>
      </c>
      <c r="G23" t="s">
        <v>173</v>
      </c>
      <c r="H23" t="s">
        <v>174</v>
      </c>
      <c r="M23" t="s">
        <v>172</v>
      </c>
      <c r="N23">
        <f>SUM(N133:N142)</f>
        <v>25</v>
      </c>
    </row>
    <row r="24" spans="2:14">
      <c r="B24" t="s">
        <v>175</v>
      </c>
      <c r="C24">
        <f>C23/C10</f>
        <v>2.1</v>
      </c>
      <c r="F24" t="s">
        <v>176</v>
      </c>
      <c r="G24">
        <v>1.47</v>
      </c>
      <c r="H24" s="9">
        <f>(1/G24)*100</f>
        <v>68.027210884353735</v>
      </c>
      <c r="M24" t="s">
        <v>175</v>
      </c>
      <c r="N24">
        <f>N23/N10</f>
        <v>2.5</v>
      </c>
    </row>
    <row r="25" spans="2:14">
      <c r="F25" t="s">
        <v>154</v>
      </c>
      <c r="G25">
        <v>1.0049999999999999</v>
      </c>
      <c r="H25" s="9">
        <f>(1/G25)*100</f>
        <v>99.502487562189074</v>
      </c>
    </row>
    <row r="26" spans="2:14">
      <c r="B26" t="s">
        <v>197</v>
      </c>
      <c r="F26" t="s">
        <v>157</v>
      </c>
      <c r="G26">
        <v>1.45</v>
      </c>
      <c r="H26" s="9">
        <f>(1/G26)*100</f>
        <v>68.965517241379317</v>
      </c>
    </row>
    <row r="27" spans="2:14">
      <c r="F27" t="s">
        <v>160</v>
      </c>
      <c r="G27">
        <v>1.32</v>
      </c>
      <c r="H27" s="9">
        <f>(1/G27)*100</f>
        <v>75.757575757575751</v>
      </c>
    </row>
    <row r="28" spans="2:14">
      <c r="B28" s="18" t="s">
        <v>44</v>
      </c>
      <c r="C28" s="18">
        <f>C15+N15</f>
        <v>3.6</v>
      </c>
    </row>
    <row r="29" spans="2:14">
      <c r="B29" s="18" t="s">
        <v>108</v>
      </c>
      <c r="C29" s="18">
        <f>SQRT((F81^2) + (O69^2))</f>
        <v>1.5937377450509229</v>
      </c>
    </row>
    <row r="30" spans="2:14">
      <c r="B30" s="18" t="s">
        <v>178</v>
      </c>
      <c r="C30" s="19">
        <f>(1- NORMDIST(2.5,C28,C29,TRUE))*100</f>
        <v>75.496622395022754</v>
      </c>
    </row>
    <row r="31" spans="2:14">
      <c r="B31" s="20" t="s">
        <v>42</v>
      </c>
      <c r="C31" s="20">
        <f>C20+N20</f>
        <v>9</v>
      </c>
    </row>
    <row r="32" spans="2:14">
      <c r="B32" s="20" t="s">
        <v>106</v>
      </c>
      <c r="C32" s="20">
        <f>SQRT((F102^2) + (O93^2))</f>
        <v>3.0298514815086239</v>
      </c>
    </row>
    <row r="33" spans="2:11">
      <c r="B33" s="20" t="s">
        <v>179</v>
      </c>
      <c r="C33" s="21">
        <f>(1- NORMDIST(4.5,C31,C32,TRUE))*100</f>
        <v>93.125739620248837</v>
      </c>
      <c r="H33" t="s">
        <v>139</v>
      </c>
    </row>
    <row r="34" spans="2:11">
      <c r="B34" s="22" t="s">
        <v>180</v>
      </c>
      <c r="C34" s="22">
        <f>C22+N22</f>
        <v>26.5</v>
      </c>
    </row>
    <row r="35" spans="2:11">
      <c r="B35" s="22" t="s">
        <v>181</v>
      </c>
      <c r="C35" s="22">
        <f>SQRT((F124^2) + (O119^2))</f>
        <v>5.0169711978443727</v>
      </c>
    </row>
    <row r="36" spans="2:11">
      <c r="B36" s="22" t="s">
        <v>157</v>
      </c>
      <c r="C36" s="23">
        <f>(1- NORMDIST(24.5,C34,C35,TRUE))*100</f>
        <v>65.492329942783087</v>
      </c>
    </row>
    <row r="37" spans="2:11">
      <c r="B37" s="17" t="s">
        <v>182</v>
      </c>
      <c r="C37" s="17">
        <f>C24+N24</f>
        <v>4.5999999999999996</v>
      </c>
    </row>
    <row r="38" spans="2:11">
      <c r="B38" s="17" t="s">
        <v>183</v>
      </c>
      <c r="C38" s="17">
        <f>SQRT((F148^2) + (O146^2))</f>
        <v>1.8275666882497066</v>
      </c>
      <c r="F38" t="s">
        <v>144</v>
      </c>
      <c r="G38" t="s">
        <v>145</v>
      </c>
      <c r="H38" t="s">
        <v>146</v>
      </c>
      <c r="I38" t="s">
        <v>147</v>
      </c>
      <c r="J38" t="s">
        <v>148</v>
      </c>
      <c r="K38" t="s">
        <v>149</v>
      </c>
    </row>
    <row r="39" spans="2:11">
      <c r="B39" s="17" t="s">
        <v>184</v>
      </c>
      <c r="C39" s="24">
        <f>(1- NORMDIST(3.5,C37,C38,TRUE))*100</f>
        <v>72.637739140710124</v>
      </c>
      <c r="F39" t="s">
        <v>151</v>
      </c>
      <c r="G39" t="s">
        <v>198</v>
      </c>
      <c r="H39" s="9">
        <f>C48</f>
        <v>24.503377604977249</v>
      </c>
      <c r="I39" s="9">
        <f t="shared" ref="I39:I42" si="0">H49</f>
        <v>68.027210884353735</v>
      </c>
      <c r="J39" s="9">
        <f>Tabla6633[[#This Row],[Probabilidad real (%)]]-Tabla6633[[#This Row],[Probabilidad Implicita (%)]]</f>
        <v>-43.52383327937649</v>
      </c>
      <c r="K39" t="str">
        <f>IF(Tabla6633[[#This Row],[Diferencia (%)]] &gt; 0, "Hay valor", "No hay Valor rey")</f>
        <v>No hay Valor rey</v>
      </c>
    </row>
    <row r="40" spans="2:11">
      <c r="F40" t="s">
        <v>151</v>
      </c>
      <c r="G40" t="s">
        <v>199</v>
      </c>
      <c r="H40" s="9">
        <f>C51</f>
        <v>6.8742603797511626</v>
      </c>
      <c r="I40" s="9">
        <f t="shared" si="0"/>
        <v>99.502487562189074</v>
      </c>
      <c r="J40" s="9">
        <f>Tabla6633[[#This Row],[Probabilidad real (%)]]-Tabla6633[[#This Row],[Probabilidad Implicita (%)]]</f>
        <v>-92.628227182437911</v>
      </c>
      <c r="K40" t="str">
        <f>IF(Tabla6633[[#This Row],[Diferencia (%)]] &gt; 0, "Hay valor", "No hay Valor rey")</f>
        <v>No hay Valor rey</v>
      </c>
    </row>
    <row r="41" spans="2:11">
      <c r="F41" t="s">
        <v>151</v>
      </c>
      <c r="G41" t="s">
        <v>200</v>
      </c>
      <c r="H41" s="9">
        <f>C54</f>
        <v>34.507670057216906</v>
      </c>
      <c r="I41" s="9">
        <f t="shared" si="0"/>
        <v>68.965517241379317</v>
      </c>
      <c r="J41" s="9">
        <f>Tabla6633[[#This Row],[Probabilidad real (%)]]-Tabla6633[[#This Row],[Probabilidad Implicita (%)]]</f>
        <v>-34.457847184162411</v>
      </c>
      <c r="K41" t="str">
        <f>IF(Tabla6633[[#This Row],[Diferencia (%)]] &gt; 0, "Hay valor", "No hay Valor rey")</f>
        <v>No hay Valor rey</v>
      </c>
    </row>
    <row r="42" spans="2:11">
      <c r="F42" t="s">
        <v>151</v>
      </c>
      <c r="G42" t="s">
        <v>201</v>
      </c>
      <c r="H42" s="9">
        <f>C57</f>
        <v>27.362260859289872</v>
      </c>
      <c r="I42" s="9">
        <f t="shared" si="0"/>
        <v>75.757575757575751</v>
      </c>
      <c r="J42" s="9">
        <f>Tabla6633[[#This Row],[Probabilidad real (%)]]-Tabla6633[[#This Row],[Probabilidad Implicita (%)]]</f>
        <v>-48.395314898285875</v>
      </c>
      <c r="K42" t="str">
        <f>IF(Tabla6633[[#This Row],[Diferencia (%)]] &gt; 0, "Hay valor", "No hay Valor rey")</f>
        <v>No hay Valor rey</v>
      </c>
    </row>
    <row r="44" spans="2:11">
      <c r="B44" t="s">
        <v>202</v>
      </c>
    </row>
    <row r="46" spans="2:11">
      <c r="B46" s="18" t="s">
        <v>44</v>
      </c>
      <c r="C46" s="18">
        <f>C15+N15</f>
        <v>3.6</v>
      </c>
    </row>
    <row r="47" spans="2:11">
      <c r="B47" s="18" t="s">
        <v>108</v>
      </c>
      <c r="C47" s="18">
        <f>SQRT((F81^2) + (O69^2))</f>
        <v>1.5937377450509229</v>
      </c>
    </row>
    <row r="48" spans="2:11">
      <c r="B48" s="18" t="s">
        <v>203</v>
      </c>
      <c r="C48" s="19">
        <f>(NORMDIST(2.5,C46,C47,TRUE))*100</f>
        <v>24.503377604977249</v>
      </c>
      <c r="F48" t="s">
        <v>145</v>
      </c>
      <c r="G48" t="s">
        <v>173</v>
      </c>
      <c r="H48" t="s">
        <v>174</v>
      </c>
    </row>
    <row r="49" spans="2:16">
      <c r="B49" s="20" t="s">
        <v>42</v>
      </c>
      <c r="C49" s="20">
        <f>C20+N20</f>
        <v>9</v>
      </c>
      <c r="F49" t="s">
        <v>198</v>
      </c>
      <c r="G49">
        <v>1.47</v>
      </c>
      <c r="H49" s="9">
        <f>(1/G49)*100</f>
        <v>68.027210884353735</v>
      </c>
    </row>
    <row r="50" spans="2:16">
      <c r="B50" s="20" t="s">
        <v>106</v>
      </c>
      <c r="C50" s="20">
        <f>SQRT((F102^2) + (O93^2))</f>
        <v>3.0298514815086239</v>
      </c>
      <c r="F50" t="s">
        <v>199</v>
      </c>
      <c r="G50">
        <v>1.0049999999999999</v>
      </c>
      <c r="H50" s="9">
        <f>(1/G50)*100</f>
        <v>99.502487562189074</v>
      </c>
      <c r="M50" t="s">
        <v>204</v>
      </c>
    </row>
    <row r="51" spans="2:16">
      <c r="B51" s="20" t="s">
        <v>199</v>
      </c>
      <c r="C51" s="21">
        <f>(NORMDIST(4.5,C49,C50,TRUE))*100</f>
        <v>6.8742603797511626</v>
      </c>
      <c r="F51" t="s">
        <v>200</v>
      </c>
      <c r="G51">
        <v>1.45</v>
      </c>
      <c r="H51" s="9">
        <f>(1/G51)*100</f>
        <v>68.965517241379317</v>
      </c>
    </row>
    <row r="52" spans="2:16">
      <c r="B52" s="22" t="s">
        <v>180</v>
      </c>
      <c r="C52" s="22">
        <f>C22+N22</f>
        <v>26.5</v>
      </c>
      <c r="F52" t="s">
        <v>201</v>
      </c>
      <c r="G52">
        <v>1.32</v>
      </c>
      <c r="H52" s="9">
        <f>(1/G52)*100</f>
        <v>75.757575757575751</v>
      </c>
      <c r="M52" t="s">
        <v>85</v>
      </c>
    </row>
    <row r="53" spans="2:16">
      <c r="B53" s="22" t="s">
        <v>181</v>
      </c>
      <c r="C53" s="22">
        <f>SQRT((F124^2) + (O119^2))</f>
        <v>5.0169711978443727</v>
      </c>
    </row>
    <row r="54" spans="2:16">
      <c r="B54" s="22" t="s">
        <v>200</v>
      </c>
      <c r="C54" s="23">
        <f>(NORMDIST(24.5,C52,C53,TRUE))*100</f>
        <v>34.507670057216906</v>
      </c>
      <c r="K54" s="16" t="s">
        <v>185</v>
      </c>
      <c r="L54" s="16" t="s">
        <v>186</v>
      </c>
      <c r="M54" s="15" t="s">
        <v>74</v>
      </c>
      <c r="N54" s="15" t="s">
        <v>138</v>
      </c>
      <c r="O54" s="15" t="s">
        <v>137</v>
      </c>
      <c r="P54" s="15" t="s">
        <v>75</v>
      </c>
    </row>
    <row r="55" spans="2:16">
      <c r="B55" s="17" t="s">
        <v>182</v>
      </c>
      <c r="C55" s="17">
        <f>C24+N24</f>
        <v>4.5999999999999996</v>
      </c>
      <c r="K55" s="15"/>
      <c r="L55" s="15"/>
      <c r="M55" s="15"/>
      <c r="N55" s="15"/>
      <c r="O55" s="15"/>
      <c r="P55" s="15"/>
    </row>
    <row r="56" spans="2:16">
      <c r="B56" s="17" t="s">
        <v>183</v>
      </c>
      <c r="C56" s="17">
        <f>SQRT((F148^2) + (O146^2))</f>
        <v>1.8275666882497066</v>
      </c>
      <c r="K56" s="15" t="s">
        <v>196</v>
      </c>
      <c r="L56" s="15" t="s">
        <v>115</v>
      </c>
      <c r="M56" s="15">
        <f>SUM(N56:N65)/10</f>
        <v>1.5</v>
      </c>
      <c r="N56" s="15">
        <v>2</v>
      </c>
      <c r="O56" s="15">
        <v>3</v>
      </c>
      <c r="P56" s="15">
        <f>(N56-M56)^2</f>
        <v>0.25</v>
      </c>
    </row>
    <row r="57" spans="2:16">
      <c r="B57" s="17" t="s">
        <v>201</v>
      </c>
      <c r="C57" s="24">
        <f>(NORMDIST(3.5,C55,C56,TRUE))*100</f>
        <v>27.362260859289872</v>
      </c>
      <c r="K57" s="15" t="s">
        <v>196</v>
      </c>
      <c r="L57" s="15" t="s">
        <v>113</v>
      </c>
      <c r="M57" s="15">
        <f>SUM(N56:N65)/10</f>
        <v>1.5</v>
      </c>
      <c r="N57" s="15">
        <v>1</v>
      </c>
      <c r="O57" s="15">
        <v>4</v>
      </c>
      <c r="P57" s="15">
        <f t="shared" ref="P57:P65" si="1">(N57-M57)^2</f>
        <v>0.25</v>
      </c>
    </row>
    <row r="58" spans="2:16">
      <c r="K58" s="15" t="s">
        <v>196</v>
      </c>
      <c r="L58" s="15" t="s">
        <v>205</v>
      </c>
      <c r="M58" s="15">
        <f>SUM(N56:N65)/10</f>
        <v>1.5</v>
      </c>
      <c r="N58" s="15">
        <v>1</v>
      </c>
      <c r="O58" s="15">
        <v>3</v>
      </c>
      <c r="P58" s="15">
        <f t="shared" si="1"/>
        <v>0.25</v>
      </c>
    </row>
    <row r="59" spans="2:16">
      <c r="K59" s="15" t="s">
        <v>196</v>
      </c>
      <c r="L59" s="15" t="s">
        <v>206</v>
      </c>
      <c r="M59" s="15">
        <f>SUM(N56:N65)/10</f>
        <v>1.5</v>
      </c>
      <c r="N59" s="15">
        <v>1</v>
      </c>
      <c r="O59" s="15">
        <v>3</v>
      </c>
      <c r="P59" s="15">
        <f t="shared" si="1"/>
        <v>0.25</v>
      </c>
    </row>
    <row r="60" spans="2:16">
      <c r="K60" s="15" t="s">
        <v>196</v>
      </c>
      <c r="L60" s="15" t="s">
        <v>207</v>
      </c>
      <c r="M60" s="15">
        <f>SUM(N56:N65)/10</f>
        <v>1.5</v>
      </c>
      <c r="N60" s="15">
        <v>0</v>
      </c>
      <c r="O60" s="15">
        <v>3</v>
      </c>
      <c r="P60" s="15">
        <f t="shared" si="1"/>
        <v>2.25</v>
      </c>
    </row>
    <row r="61" spans="2:16">
      <c r="K61" s="15" t="s">
        <v>196</v>
      </c>
      <c r="L61" s="15" t="s">
        <v>208</v>
      </c>
      <c r="M61" s="15">
        <f>SUM(N56:N65)/10</f>
        <v>1.5</v>
      </c>
      <c r="N61" s="15">
        <v>1</v>
      </c>
      <c r="O61" s="15">
        <v>2</v>
      </c>
      <c r="P61" s="15">
        <f t="shared" si="1"/>
        <v>0.25</v>
      </c>
    </row>
    <row r="62" spans="2:16">
      <c r="K62" s="15" t="s">
        <v>196</v>
      </c>
      <c r="L62" s="15" t="s">
        <v>209</v>
      </c>
      <c r="M62" s="15">
        <f>SUM(N56:N65)/10</f>
        <v>1.5</v>
      </c>
      <c r="N62" s="15">
        <v>2</v>
      </c>
      <c r="O62" s="15">
        <v>2</v>
      </c>
      <c r="P62" s="15">
        <f t="shared" si="1"/>
        <v>0.25</v>
      </c>
    </row>
    <row r="63" spans="2:16">
      <c r="K63" s="15" t="s">
        <v>196</v>
      </c>
      <c r="L63" s="15" t="s">
        <v>120</v>
      </c>
      <c r="M63" s="15">
        <f>SUM(N56:N65)/10</f>
        <v>1.5</v>
      </c>
      <c r="N63" s="15">
        <v>2</v>
      </c>
      <c r="O63" s="15">
        <v>2</v>
      </c>
      <c r="P63" s="15">
        <f t="shared" si="1"/>
        <v>0.25</v>
      </c>
    </row>
    <row r="64" spans="2:16">
      <c r="K64" s="15" t="s">
        <v>196</v>
      </c>
      <c r="L64" s="15" t="s">
        <v>210</v>
      </c>
      <c r="M64" s="15">
        <f>SUM(N56:N65)/10</f>
        <v>1.5</v>
      </c>
      <c r="N64" s="15">
        <v>2</v>
      </c>
      <c r="O64" s="15">
        <v>3</v>
      </c>
      <c r="P64" s="15">
        <f t="shared" si="1"/>
        <v>0.25</v>
      </c>
    </row>
    <row r="65" spans="1:16">
      <c r="C65" t="s">
        <v>85</v>
      </c>
      <c r="K65" s="15" t="s">
        <v>196</v>
      </c>
      <c r="L65" s="15" t="s">
        <v>211</v>
      </c>
      <c r="M65" s="15">
        <f>SUM(N56:N65)/10</f>
        <v>1.5</v>
      </c>
      <c r="N65" s="15">
        <v>3</v>
      </c>
      <c r="O65" s="15">
        <v>2</v>
      </c>
      <c r="P65" s="15">
        <f t="shared" si="1"/>
        <v>2.25</v>
      </c>
    </row>
    <row r="67" spans="1:16">
      <c r="B67" s="15" t="s">
        <v>185</v>
      </c>
      <c r="C67" s="15" t="s">
        <v>186</v>
      </c>
      <c r="D67" s="15" t="s">
        <v>74</v>
      </c>
      <c r="E67" s="15" t="s">
        <v>137</v>
      </c>
      <c r="F67" s="15" t="s">
        <v>138</v>
      </c>
      <c r="G67" s="15" t="s">
        <v>75</v>
      </c>
      <c r="M67" t="s">
        <v>77</v>
      </c>
      <c r="O67">
        <f>SUM(P56:P65)</f>
        <v>6.5</v>
      </c>
    </row>
    <row r="68" spans="1:16">
      <c r="B68" s="15"/>
      <c r="C68" s="15"/>
      <c r="D68" s="15"/>
      <c r="E68" s="15"/>
      <c r="F68" s="15"/>
      <c r="G68" s="15"/>
      <c r="M68" t="s">
        <v>187</v>
      </c>
      <c r="O68">
        <f>O67/10</f>
        <v>0.65</v>
      </c>
    </row>
    <row r="69" spans="1:16">
      <c r="B69" s="15" t="s">
        <v>195</v>
      </c>
      <c r="C69" s="15" t="s">
        <v>113</v>
      </c>
      <c r="D69" s="15">
        <f>SUM(E69:E78)/10</f>
        <v>2.1</v>
      </c>
      <c r="E69" s="15">
        <v>5</v>
      </c>
      <c r="F69" s="15">
        <v>1</v>
      </c>
      <c r="G69" s="15">
        <f>(E69-D69)^2</f>
        <v>8.41</v>
      </c>
      <c r="J69" t="s">
        <v>212</v>
      </c>
      <c r="K69">
        <f>SUM(N56:N65)</f>
        <v>15</v>
      </c>
      <c r="M69" s="17" t="s">
        <v>80</v>
      </c>
      <c r="N69" s="17"/>
      <c r="O69" s="17">
        <f>SQRT(O68)</f>
        <v>0.80622577482985502</v>
      </c>
    </row>
    <row r="70" spans="1:16">
      <c r="B70" s="15" t="s">
        <v>195</v>
      </c>
      <c r="C70" s="15" t="s">
        <v>213</v>
      </c>
      <c r="D70" s="15">
        <f>SUM(E69:E78)/10</f>
        <v>2.1</v>
      </c>
      <c r="E70" s="15">
        <v>1</v>
      </c>
      <c r="F70" s="15">
        <v>3</v>
      </c>
      <c r="G70" s="15">
        <f t="shared" ref="G70:G78" si="2">(E70-D70)^2</f>
        <v>1.2100000000000002</v>
      </c>
      <c r="J70" t="s">
        <v>214</v>
      </c>
      <c r="K70">
        <f>SUM(O56:O65)</f>
        <v>27</v>
      </c>
      <c r="M70" t="s">
        <v>81</v>
      </c>
      <c r="O70" s="9">
        <f>SQRT(O68)</f>
        <v>0.80622577482985502</v>
      </c>
    </row>
    <row r="71" spans="1:16">
      <c r="B71" s="15" t="s">
        <v>195</v>
      </c>
      <c r="C71" s="15" t="s">
        <v>215</v>
      </c>
      <c r="D71" s="15">
        <f>SUM(E69:E78)/10</f>
        <v>2.1</v>
      </c>
      <c r="E71" s="15">
        <v>4</v>
      </c>
      <c r="F71" s="15">
        <v>3</v>
      </c>
      <c r="G71" s="15">
        <f t="shared" si="2"/>
        <v>3.61</v>
      </c>
    </row>
    <row r="72" spans="1:16">
      <c r="B72" s="15" t="s">
        <v>195</v>
      </c>
      <c r="C72" s="15" t="s">
        <v>210</v>
      </c>
      <c r="D72" s="15">
        <f>SUM(E69:E78)/10</f>
        <v>2.1</v>
      </c>
      <c r="E72" s="15">
        <v>3</v>
      </c>
      <c r="F72" s="15">
        <v>0</v>
      </c>
      <c r="G72" s="15">
        <f t="shared" si="2"/>
        <v>0.80999999999999983</v>
      </c>
      <c r="M72" t="s">
        <v>188</v>
      </c>
      <c r="O72">
        <f>1- NORMDIST(2.5,N15,O69,TRUE)</f>
        <v>0.10742347370282457</v>
      </c>
    </row>
    <row r="73" spans="1:16">
      <c r="B73" s="15" t="s">
        <v>195</v>
      </c>
      <c r="C73" s="15" t="s">
        <v>216</v>
      </c>
      <c r="D73" s="15">
        <f>SUM(E69:E78)/10</f>
        <v>2.1</v>
      </c>
      <c r="E73" s="15">
        <v>1</v>
      </c>
      <c r="F73" s="15">
        <v>0</v>
      </c>
      <c r="G73" s="15">
        <f t="shared" si="2"/>
        <v>1.2100000000000002</v>
      </c>
    </row>
    <row r="74" spans="1:16">
      <c r="B74" s="15" t="s">
        <v>195</v>
      </c>
      <c r="C74" s="15" t="s">
        <v>217</v>
      </c>
      <c r="D74" s="15">
        <f>SUM(E69:E78)/10</f>
        <v>2.1</v>
      </c>
      <c r="E74" s="15">
        <v>1</v>
      </c>
      <c r="F74" s="15">
        <v>1</v>
      </c>
      <c r="G74" s="15">
        <f t="shared" si="2"/>
        <v>1.2100000000000002</v>
      </c>
    </row>
    <row r="75" spans="1:16">
      <c r="B75" s="15" t="s">
        <v>195</v>
      </c>
      <c r="C75" s="15" t="s">
        <v>213</v>
      </c>
      <c r="D75" s="15">
        <f>SUM(E69:E78)/10</f>
        <v>2.1</v>
      </c>
      <c r="E75" s="15">
        <v>1</v>
      </c>
      <c r="F75" s="15">
        <v>0</v>
      </c>
      <c r="G75" s="15">
        <f t="shared" si="2"/>
        <v>1.2100000000000002</v>
      </c>
    </row>
    <row r="76" spans="1:16">
      <c r="B76" s="15" t="s">
        <v>195</v>
      </c>
      <c r="C76" s="15" t="s">
        <v>206</v>
      </c>
      <c r="D76" s="15">
        <f>SUM(E69:E78)/10</f>
        <v>2.1</v>
      </c>
      <c r="E76" s="15">
        <v>2</v>
      </c>
      <c r="F76" s="15">
        <v>4</v>
      </c>
      <c r="G76" s="15">
        <f t="shared" si="2"/>
        <v>1.0000000000000018E-2</v>
      </c>
      <c r="M76" t="s">
        <v>189</v>
      </c>
    </row>
    <row r="77" spans="1:16">
      <c r="B77" s="15" t="s">
        <v>195</v>
      </c>
      <c r="C77" s="15" t="s">
        <v>208</v>
      </c>
      <c r="D77" s="15">
        <f>SUM(E69:E78)/10</f>
        <v>2.1</v>
      </c>
      <c r="E77" s="15">
        <v>2</v>
      </c>
      <c r="F77" s="15">
        <v>2</v>
      </c>
      <c r="G77" s="15">
        <f t="shared" si="2"/>
        <v>1.0000000000000018E-2</v>
      </c>
    </row>
    <row r="78" spans="1:16">
      <c r="B78" s="15" t="s">
        <v>195</v>
      </c>
      <c r="C78" s="15" t="s">
        <v>218</v>
      </c>
      <c r="D78" s="15">
        <f>SUM(E69:E78)/10</f>
        <v>2.1</v>
      </c>
      <c r="E78" s="15">
        <v>1</v>
      </c>
      <c r="F78" s="15">
        <v>2</v>
      </c>
      <c r="G78" s="15">
        <f t="shared" si="2"/>
        <v>1.2100000000000002</v>
      </c>
      <c r="K78" s="15" t="s">
        <v>185</v>
      </c>
      <c r="L78" s="15" t="s">
        <v>186</v>
      </c>
      <c r="M78" s="15" t="s">
        <v>74</v>
      </c>
      <c r="N78" s="15" t="s">
        <v>138</v>
      </c>
      <c r="O78" s="15" t="s">
        <v>137</v>
      </c>
      <c r="P78" s="15" t="s">
        <v>75</v>
      </c>
    </row>
    <row r="79" spans="1:16">
      <c r="D79" t="s">
        <v>77</v>
      </c>
      <c r="F79">
        <f>SUM(G69:G78)</f>
        <v>18.900000000000006</v>
      </c>
      <c r="K79" s="15"/>
      <c r="L79" s="15"/>
      <c r="M79" s="15"/>
      <c r="N79" s="15"/>
      <c r="O79" s="15"/>
      <c r="P79" s="15"/>
    </row>
    <row r="80" spans="1:16">
      <c r="A80" t="s">
        <v>212</v>
      </c>
      <c r="B80">
        <f>SUM(E69:E78)</f>
        <v>21</v>
      </c>
      <c r="D80" t="s">
        <v>187</v>
      </c>
      <c r="F80">
        <f>F79/10</f>
        <v>1.8900000000000006</v>
      </c>
      <c r="K80" s="15" t="s">
        <v>196</v>
      </c>
      <c r="L80" s="15" t="s">
        <v>115</v>
      </c>
      <c r="M80" s="15">
        <f>SUM(N80:N89)/10</f>
        <v>3.9</v>
      </c>
      <c r="N80" s="15">
        <v>1</v>
      </c>
      <c r="O80" s="15">
        <v>7</v>
      </c>
      <c r="P80" s="15">
        <f>(N80-M80)^2</f>
        <v>8.41</v>
      </c>
    </row>
    <row r="81" spans="1:16">
      <c r="A81" t="s">
        <v>214</v>
      </c>
      <c r="B81">
        <f>SUM(F69:F78)</f>
        <v>16</v>
      </c>
      <c r="D81" s="17" t="s">
        <v>80</v>
      </c>
      <c r="E81" s="17"/>
      <c r="F81" s="17">
        <f>SQRT(F80)</f>
        <v>1.3747727084867523</v>
      </c>
      <c r="K81" s="15" t="s">
        <v>196</v>
      </c>
      <c r="L81" s="15" t="s">
        <v>113</v>
      </c>
      <c r="M81" s="15">
        <f>SUM(N80:N89)/10</f>
        <v>3.9</v>
      </c>
      <c r="N81" s="15">
        <v>2</v>
      </c>
      <c r="O81" s="15">
        <v>5</v>
      </c>
      <c r="P81" s="15">
        <f t="shared" ref="P81:P89" si="3">(N81-M81)^2</f>
        <v>3.61</v>
      </c>
    </row>
    <row r="82" spans="1:16">
      <c r="D82" t="s">
        <v>81</v>
      </c>
      <c r="F82" s="9">
        <f>SQRT(F80)</f>
        <v>1.3747727084867523</v>
      </c>
      <c r="K82" s="15" t="s">
        <v>196</v>
      </c>
      <c r="L82" s="15" t="s">
        <v>205</v>
      </c>
      <c r="M82" s="15">
        <f>SUM(N80:N89)/10</f>
        <v>3.9</v>
      </c>
      <c r="N82" s="15">
        <v>4</v>
      </c>
      <c r="O82" s="15">
        <v>4</v>
      </c>
      <c r="P82" s="15">
        <f t="shared" si="3"/>
        <v>1.0000000000000018E-2</v>
      </c>
    </row>
    <row r="83" spans="1:16">
      <c r="K83" s="15" t="s">
        <v>196</v>
      </c>
      <c r="L83" s="15" t="s">
        <v>206</v>
      </c>
      <c r="M83" s="15">
        <f>SUM(N80:N89)/10</f>
        <v>3.9</v>
      </c>
      <c r="N83" s="15">
        <v>3</v>
      </c>
      <c r="O83" s="15">
        <v>6</v>
      </c>
      <c r="P83" s="15">
        <f t="shared" si="3"/>
        <v>0.80999999999999983</v>
      </c>
    </row>
    <row r="84" spans="1:16">
      <c r="D84" t="s">
        <v>188</v>
      </c>
      <c r="F84">
        <f>1- NORMDIST(2.5,C15,F81,TRUE)</f>
        <v>0.38554203170217594</v>
      </c>
      <c r="K84" s="15" t="s">
        <v>196</v>
      </c>
      <c r="L84" s="15" t="s">
        <v>207</v>
      </c>
      <c r="M84" s="15">
        <f>SUM(N80:N89)/10</f>
        <v>3.9</v>
      </c>
      <c r="N84" s="15">
        <v>4</v>
      </c>
      <c r="O84" s="15">
        <v>3</v>
      </c>
      <c r="P84" s="15">
        <f t="shared" si="3"/>
        <v>1.0000000000000018E-2</v>
      </c>
    </row>
    <row r="85" spans="1:16">
      <c r="C85" t="s">
        <v>190</v>
      </c>
      <c r="K85" s="15" t="s">
        <v>196</v>
      </c>
      <c r="L85" s="15" t="s">
        <v>208</v>
      </c>
      <c r="M85" s="15">
        <f>SUM(N80:N89)/10</f>
        <v>3.9</v>
      </c>
      <c r="N85" s="15">
        <v>5</v>
      </c>
      <c r="O85" s="15">
        <v>9</v>
      </c>
      <c r="P85" s="15">
        <f t="shared" si="3"/>
        <v>1.2100000000000002</v>
      </c>
    </row>
    <row r="86" spans="1:16">
      <c r="K86" s="15" t="s">
        <v>196</v>
      </c>
      <c r="L86" s="15" t="s">
        <v>209</v>
      </c>
      <c r="M86" s="15">
        <f>SUM(N80:N89)/10</f>
        <v>3.9</v>
      </c>
      <c r="N86" s="15">
        <v>3</v>
      </c>
      <c r="O86" s="15">
        <v>12</v>
      </c>
      <c r="P86" s="15">
        <f t="shared" si="3"/>
        <v>0.80999999999999983</v>
      </c>
    </row>
    <row r="87" spans="1:16">
      <c r="B87" s="15" t="s">
        <v>185</v>
      </c>
      <c r="C87" s="15" t="s">
        <v>186</v>
      </c>
      <c r="D87" s="15" t="s">
        <v>74</v>
      </c>
      <c r="E87" s="15" t="s">
        <v>137</v>
      </c>
      <c r="F87" s="15" t="s">
        <v>138</v>
      </c>
      <c r="G87" s="15" t="s">
        <v>75</v>
      </c>
      <c r="K87" s="15" t="s">
        <v>196</v>
      </c>
      <c r="L87" s="15" t="s">
        <v>120</v>
      </c>
      <c r="M87" s="15">
        <f>SUM(N80:N89)/10</f>
        <v>3.9</v>
      </c>
      <c r="N87" s="15">
        <v>5</v>
      </c>
      <c r="O87" s="15">
        <v>2</v>
      </c>
      <c r="P87" s="15">
        <f t="shared" si="3"/>
        <v>1.2100000000000002</v>
      </c>
    </row>
    <row r="88" spans="1:16">
      <c r="B88" s="15"/>
      <c r="C88" s="15"/>
      <c r="D88" s="15"/>
      <c r="E88" s="15"/>
      <c r="F88" s="15"/>
      <c r="G88" s="15"/>
      <c r="K88" s="15" t="s">
        <v>196</v>
      </c>
      <c r="L88" s="15" t="s">
        <v>210</v>
      </c>
      <c r="M88" s="15">
        <f>SUM(N80:N89)/10</f>
        <v>3.9</v>
      </c>
      <c r="N88" s="15">
        <v>6</v>
      </c>
      <c r="O88" s="15">
        <v>8</v>
      </c>
      <c r="P88" s="15">
        <f t="shared" si="3"/>
        <v>4.41</v>
      </c>
    </row>
    <row r="89" spans="1:16">
      <c r="B89" s="15" t="s">
        <v>195</v>
      </c>
      <c r="C89" s="15" t="s">
        <v>113</v>
      </c>
      <c r="D89" s="15">
        <f>SUM(E89:E98)/10</f>
        <v>5.0999999999999996</v>
      </c>
      <c r="E89" s="15">
        <v>4</v>
      </c>
      <c r="F89" s="15">
        <v>7</v>
      </c>
      <c r="G89" s="15">
        <f>(E89-D89)^2</f>
        <v>1.2099999999999993</v>
      </c>
      <c r="K89" s="15" t="s">
        <v>196</v>
      </c>
      <c r="L89" s="15" t="s">
        <v>211</v>
      </c>
      <c r="M89" s="15">
        <f>SUM(N80:N89)/10</f>
        <v>3.9</v>
      </c>
      <c r="N89" s="15">
        <v>6</v>
      </c>
      <c r="O89" s="15">
        <v>8</v>
      </c>
      <c r="P89" s="15">
        <f t="shared" si="3"/>
        <v>4.41</v>
      </c>
    </row>
    <row r="90" spans="1:16">
      <c r="B90" s="15" t="s">
        <v>195</v>
      </c>
      <c r="C90" s="15" t="s">
        <v>213</v>
      </c>
      <c r="D90" s="15">
        <f>SUM(E89:E98)/10</f>
        <v>5.0999999999999996</v>
      </c>
      <c r="E90" s="15">
        <v>10</v>
      </c>
      <c r="F90" s="15">
        <v>4</v>
      </c>
      <c r="G90" s="15">
        <f t="shared" ref="G90:G98" si="4">(E90-D90)^2</f>
        <v>24.010000000000005</v>
      </c>
    </row>
    <row r="91" spans="1:16">
      <c r="B91" s="15" t="s">
        <v>195</v>
      </c>
      <c r="C91" s="15" t="s">
        <v>215</v>
      </c>
      <c r="D91" s="15">
        <f>SUM(E89:E98)/10</f>
        <v>5.0999999999999996</v>
      </c>
      <c r="E91" s="15">
        <v>3</v>
      </c>
      <c r="F91" s="15">
        <v>5</v>
      </c>
      <c r="G91" s="15">
        <f t="shared" si="4"/>
        <v>4.4099999999999984</v>
      </c>
      <c r="M91" t="s">
        <v>77</v>
      </c>
      <c r="O91">
        <f>SUM(P80:P89)</f>
        <v>24.900000000000002</v>
      </c>
    </row>
    <row r="92" spans="1:16">
      <c r="B92" s="15" t="s">
        <v>195</v>
      </c>
      <c r="C92" s="15" t="s">
        <v>210</v>
      </c>
      <c r="D92" s="15">
        <f>SUM(E89:E98)/10</f>
        <v>5.0999999999999996</v>
      </c>
      <c r="E92" s="15">
        <v>4</v>
      </c>
      <c r="F92" s="15">
        <v>4</v>
      </c>
      <c r="G92" s="15">
        <f t="shared" si="4"/>
        <v>1.2099999999999993</v>
      </c>
      <c r="J92" t="s">
        <v>189</v>
      </c>
      <c r="K92">
        <f>SUM(N80:N89)</f>
        <v>39</v>
      </c>
      <c r="M92" t="s">
        <v>187</v>
      </c>
      <c r="O92">
        <f>O91/10</f>
        <v>2.4900000000000002</v>
      </c>
    </row>
    <row r="93" spans="1:16">
      <c r="B93" s="15" t="s">
        <v>195</v>
      </c>
      <c r="C93" s="15" t="s">
        <v>216</v>
      </c>
      <c r="D93" s="15">
        <f>SUM(E89:E98)/10</f>
        <v>5.0999999999999996</v>
      </c>
      <c r="E93" s="15">
        <v>8</v>
      </c>
      <c r="F93" s="15">
        <v>5</v>
      </c>
      <c r="G93" s="15">
        <f t="shared" si="4"/>
        <v>8.4100000000000019</v>
      </c>
      <c r="M93" s="17" t="s">
        <v>80</v>
      </c>
      <c r="N93" s="17"/>
      <c r="O93" s="17">
        <f>SQRT(O92)</f>
        <v>1.57797338380595</v>
      </c>
    </row>
    <row r="94" spans="1:16">
      <c r="B94" s="15" t="s">
        <v>195</v>
      </c>
      <c r="C94" s="15" t="s">
        <v>217</v>
      </c>
      <c r="D94" s="15">
        <f>SUM(E89:E98)/10</f>
        <v>5.0999999999999996</v>
      </c>
      <c r="E94" s="15">
        <v>8</v>
      </c>
      <c r="F94" s="15">
        <v>1</v>
      </c>
      <c r="G94" s="15">
        <f t="shared" si="4"/>
        <v>8.4100000000000019</v>
      </c>
      <c r="M94" t="s">
        <v>81</v>
      </c>
      <c r="O94" s="9">
        <f>SQRT(O92)</f>
        <v>1.57797338380595</v>
      </c>
    </row>
    <row r="95" spans="1:16">
      <c r="B95" s="15" t="s">
        <v>195</v>
      </c>
      <c r="C95" s="15" t="s">
        <v>213</v>
      </c>
      <c r="D95" s="15">
        <f>SUM(E89:E98)/10</f>
        <v>5.0999999999999996</v>
      </c>
      <c r="E95" s="15">
        <v>4</v>
      </c>
      <c r="F95" s="15">
        <v>6</v>
      </c>
      <c r="G95" s="15">
        <f t="shared" si="4"/>
        <v>1.2099999999999993</v>
      </c>
    </row>
    <row r="96" spans="1:16">
      <c r="B96" s="15" t="s">
        <v>195</v>
      </c>
      <c r="C96" s="15" t="s">
        <v>206</v>
      </c>
      <c r="D96" s="15">
        <f>SUM(E89:E98)/10</f>
        <v>5.0999999999999996</v>
      </c>
      <c r="E96" s="15">
        <v>4</v>
      </c>
      <c r="F96" s="15">
        <v>4</v>
      </c>
      <c r="G96" s="15">
        <f t="shared" si="4"/>
        <v>1.2099999999999993</v>
      </c>
      <c r="M96" t="s">
        <v>188</v>
      </c>
      <c r="O96" s="9">
        <f>(1- NORMDIST(10.5,N20,O93,TRUE))*100</f>
        <v>1.4410974035761193E-3</v>
      </c>
      <c r="P96" t="s">
        <v>19</v>
      </c>
    </row>
    <row r="97" spans="1:16">
      <c r="B97" s="15" t="s">
        <v>195</v>
      </c>
      <c r="C97" s="15" t="s">
        <v>208</v>
      </c>
      <c r="D97" s="15">
        <f>SUM(E89:E98)/10</f>
        <v>5.0999999999999996</v>
      </c>
      <c r="E97" s="15">
        <v>1</v>
      </c>
      <c r="F97" s="15">
        <v>3</v>
      </c>
      <c r="G97" s="15">
        <f t="shared" si="4"/>
        <v>16.809999999999999</v>
      </c>
    </row>
    <row r="98" spans="1:16">
      <c r="B98" s="15" t="s">
        <v>195</v>
      </c>
      <c r="C98" s="15" t="s">
        <v>218</v>
      </c>
      <c r="D98" s="15">
        <f>SUM(E89:E98)/10</f>
        <v>5.0999999999999996</v>
      </c>
      <c r="E98" s="15">
        <v>5</v>
      </c>
      <c r="F98" s="15">
        <v>4</v>
      </c>
      <c r="G98" s="15">
        <f t="shared" si="4"/>
        <v>9.9999999999999291E-3</v>
      </c>
    </row>
    <row r="100" spans="1:16">
      <c r="D100" t="s">
        <v>77</v>
      </c>
      <c r="F100">
        <f>SUM(G89:G98)</f>
        <v>66.90000000000002</v>
      </c>
    </row>
    <row r="101" spans="1:16">
      <c r="A101" t="s">
        <v>189</v>
      </c>
      <c r="B101">
        <f>SUM(E89:E98)</f>
        <v>51</v>
      </c>
      <c r="D101" t="s">
        <v>187</v>
      </c>
      <c r="F101">
        <f>F100/10</f>
        <v>6.6900000000000022</v>
      </c>
    </row>
    <row r="102" spans="1:16">
      <c r="D102" s="17" t="s">
        <v>80</v>
      </c>
      <c r="E102" s="17"/>
      <c r="F102" s="17">
        <f>SQRT(F101)</f>
        <v>2.5865034312755131</v>
      </c>
      <c r="L102" t="s">
        <v>168</v>
      </c>
    </row>
    <row r="103" spans="1:16">
      <c r="D103" t="s">
        <v>81</v>
      </c>
      <c r="F103" s="9">
        <f>SQRT(F101)</f>
        <v>2.5865034312755131</v>
      </c>
    </row>
    <row r="104" spans="1:16">
      <c r="K104" s="15" t="s">
        <v>185</v>
      </c>
      <c r="L104" s="15" t="s">
        <v>186</v>
      </c>
      <c r="M104" s="15" t="s">
        <v>74</v>
      </c>
      <c r="N104" s="15" t="s">
        <v>138</v>
      </c>
      <c r="O104" s="15" t="s">
        <v>137</v>
      </c>
      <c r="P104" s="15" t="s">
        <v>75</v>
      </c>
    </row>
    <row r="105" spans="1:16">
      <c r="D105" t="s">
        <v>188</v>
      </c>
      <c r="F105" s="9">
        <f>(1- NORMDIST(10.5,C20,F102,TRUE))*100</f>
        <v>1.8409716880772309</v>
      </c>
      <c r="G105" t="s">
        <v>19</v>
      </c>
      <c r="K105" s="15"/>
      <c r="L105" s="15"/>
      <c r="M105" s="15"/>
      <c r="N105" s="15"/>
      <c r="O105" s="15"/>
      <c r="P105" s="15"/>
    </row>
    <row r="106" spans="1:16">
      <c r="K106" s="15" t="s">
        <v>196</v>
      </c>
      <c r="L106" s="15" t="s">
        <v>115</v>
      </c>
      <c r="M106" s="15">
        <f>SUM(N106:N115)/10</f>
        <v>12.8</v>
      </c>
      <c r="N106" s="15">
        <v>14</v>
      </c>
      <c r="O106" s="15">
        <v>14</v>
      </c>
      <c r="P106" s="15">
        <f>(N106-M106)^2</f>
        <v>1.4399999999999984</v>
      </c>
    </row>
    <row r="107" spans="1:16">
      <c r="C107" t="s">
        <v>168</v>
      </c>
      <c r="K107" s="15" t="s">
        <v>196</v>
      </c>
      <c r="L107" s="15" t="s">
        <v>113</v>
      </c>
      <c r="M107" s="15">
        <f>SUM(N106:N115)/10</f>
        <v>12.8</v>
      </c>
      <c r="N107" s="15">
        <v>12</v>
      </c>
      <c r="O107" s="15">
        <v>17</v>
      </c>
      <c r="P107" s="15">
        <f t="shared" ref="P107:P115" si="5">(N107-M107)^2</f>
        <v>0.64000000000000112</v>
      </c>
    </row>
    <row r="108" spans="1:16">
      <c r="K108" s="15" t="s">
        <v>196</v>
      </c>
      <c r="L108" s="15" t="s">
        <v>205</v>
      </c>
      <c r="M108" s="15">
        <f>SUM(N106:N115)/10</f>
        <v>12.8</v>
      </c>
      <c r="N108" s="15">
        <v>10</v>
      </c>
      <c r="O108" s="15">
        <v>11</v>
      </c>
      <c r="P108" s="15">
        <f t="shared" si="5"/>
        <v>7.8400000000000043</v>
      </c>
    </row>
    <row r="109" spans="1:16">
      <c r="B109" s="15" t="s">
        <v>185</v>
      </c>
      <c r="C109" s="15" t="s">
        <v>186</v>
      </c>
      <c r="D109" s="15" t="s">
        <v>74</v>
      </c>
      <c r="E109" s="15" t="s">
        <v>137</v>
      </c>
      <c r="F109" s="15" t="s">
        <v>138</v>
      </c>
      <c r="G109" s="15" t="s">
        <v>75</v>
      </c>
      <c r="K109" s="15" t="s">
        <v>196</v>
      </c>
      <c r="L109" s="15" t="s">
        <v>206</v>
      </c>
      <c r="M109" s="15">
        <f>SUM(N106:N115)/10</f>
        <v>12.8</v>
      </c>
      <c r="N109" s="15">
        <v>12</v>
      </c>
      <c r="O109" s="15">
        <v>16</v>
      </c>
      <c r="P109" s="15">
        <f t="shared" si="5"/>
        <v>0.64000000000000112</v>
      </c>
    </row>
    <row r="110" spans="1:16">
      <c r="B110" s="15"/>
      <c r="C110" s="15"/>
      <c r="D110" s="15"/>
      <c r="E110" s="15"/>
      <c r="F110" s="15"/>
      <c r="G110" s="15"/>
      <c r="K110" s="15" t="s">
        <v>196</v>
      </c>
      <c r="L110" s="15" t="s">
        <v>207</v>
      </c>
      <c r="M110" s="15">
        <f>SUM(N106:N115)/10</f>
        <v>12.8</v>
      </c>
      <c r="N110" s="15">
        <v>14</v>
      </c>
      <c r="O110" s="15">
        <v>12</v>
      </c>
      <c r="P110" s="15">
        <f t="shared" si="5"/>
        <v>1.4399999999999984</v>
      </c>
    </row>
    <row r="111" spans="1:16">
      <c r="B111" s="15" t="s">
        <v>195</v>
      </c>
      <c r="C111" s="15" t="s">
        <v>113</v>
      </c>
      <c r="D111" s="15">
        <f>SUM(E111:E120)/10</f>
        <v>13.7</v>
      </c>
      <c r="E111" s="15">
        <v>16</v>
      </c>
      <c r="F111" s="15">
        <v>9</v>
      </c>
      <c r="G111" s="15">
        <f>(E111-D111)^2</f>
        <v>5.2900000000000036</v>
      </c>
      <c r="K111" s="15" t="s">
        <v>196</v>
      </c>
      <c r="L111" s="15" t="s">
        <v>208</v>
      </c>
      <c r="M111" s="15">
        <f>SUM(N106:N115)/10</f>
        <v>12.8</v>
      </c>
      <c r="N111" s="15">
        <v>9</v>
      </c>
      <c r="O111" s="15">
        <v>16</v>
      </c>
      <c r="P111" s="15">
        <f t="shared" si="5"/>
        <v>14.440000000000005</v>
      </c>
    </row>
    <row r="112" spans="1:16">
      <c r="B112" s="15" t="s">
        <v>195</v>
      </c>
      <c r="C112" s="15" t="s">
        <v>213</v>
      </c>
      <c r="D112" s="15">
        <f>SUM(E111:E120)/10</f>
        <v>13.7</v>
      </c>
      <c r="E112" s="15">
        <v>14</v>
      </c>
      <c r="F112" s="15">
        <v>12</v>
      </c>
      <c r="G112" s="15">
        <f t="shared" ref="G112:G120" si="6">(E112-D112)^2</f>
        <v>9.0000000000000427E-2</v>
      </c>
      <c r="K112" s="15" t="s">
        <v>196</v>
      </c>
      <c r="L112" s="15" t="s">
        <v>209</v>
      </c>
      <c r="M112" s="15">
        <f>SUM(N106:N115)/10</f>
        <v>12.8</v>
      </c>
      <c r="N112" s="15">
        <v>8</v>
      </c>
      <c r="O112" s="15">
        <v>23</v>
      </c>
      <c r="P112" s="15">
        <f t="shared" si="5"/>
        <v>23.040000000000006</v>
      </c>
    </row>
    <row r="113" spans="1:16">
      <c r="B113" s="15" t="s">
        <v>195</v>
      </c>
      <c r="C113" s="15" t="s">
        <v>215</v>
      </c>
      <c r="D113" s="15">
        <f>SUM(E111:E120)/10</f>
        <v>13.7</v>
      </c>
      <c r="E113" s="15">
        <v>10</v>
      </c>
      <c r="F113" s="15">
        <v>12</v>
      </c>
      <c r="G113" s="15">
        <f t="shared" si="6"/>
        <v>13.689999999999994</v>
      </c>
      <c r="K113" s="15" t="s">
        <v>196</v>
      </c>
      <c r="L113" s="15" t="s">
        <v>120</v>
      </c>
      <c r="M113" s="15">
        <f>SUM(N106:N115)/10</f>
        <v>12.8</v>
      </c>
      <c r="N113" s="15">
        <v>14</v>
      </c>
      <c r="O113" s="15">
        <v>14</v>
      </c>
      <c r="P113" s="15">
        <f t="shared" si="5"/>
        <v>1.4399999999999984</v>
      </c>
    </row>
    <row r="114" spans="1:16">
      <c r="B114" s="15" t="s">
        <v>195</v>
      </c>
      <c r="C114" s="15" t="s">
        <v>210</v>
      </c>
      <c r="D114" s="15">
        <f>SUM(E111:E120)/10</f>
        <v>13.7</v>
      </c>
      <c r="E114" s="15">
        <v>16</v>
      </c>
      <c r="F114" s="15">
        <v>11</v>
      </c>
      <c r="G114" s="15">
        <f t="shared" si="6"/>
        <v>5.2900000000000036</v>
      </c>
      <c r="K114" s="15" t="s">
        <v>196</v>
      </c>
      <c r="L114" s="15" t="s">
        <v>210</v>
      </c>
      <c r="M114" s="15">
        <f>SUM(N106:N115)/10</f>
        <v>12.8</v>
      </c>
      <c r="N114" s="15">
        <v>17</v>
      </c>
      <c r="O114" s="15">
        <v>21</v>
      </c>
      <c r="P114" s="15">
        <f t="shared" si="5"/>
        <v>17.639999999999993</v>
      </c>
    </row>
    <row r="115" spans="1:16">
      <c r="B115" s="15" t="s">
        <v>195</v>
      </c>
      <c r="C115" s="15" t="s">
        <v>216</v>
      </c>
      <c r="D115" s="15">
        <f>SUM(E111:E120)/10</f>
        <v>13.7</v>
      </c>
      <c r="E115" s="15">
        <v>10</v>
      </c>
      <c r="F115" s="15">
        <v>11</v>
      </c>
      <c r="G115" s="15">
        <f t="shared" si="6"/>
        <v>13.689999999999994</v>
      </c>
      <c r="K115" s="15" t="s">
        <v>196</v>
      </c>
      <c r="L115" s="15" t="s">
        <v>211</v>
      </c>
      <c r="M115" s="15">
        <f>SUM(N106:N115)/10</f>
        <v>12.8</v>
      </c>
      <c r="N115" s="15">
        <v>18</v>
      </c>
      <c r="O115" s="15">
        <v>14</v>
      </c>
      <c r="P115" s="15">
        <f t="shared" si="5"/>
        <v>27.039999999999992</v>
      </c>
    </row>
    <row r="116" spans="1:16">
      <c r="B116" s="15" t="s">
        <v>195</v>
      </c>
      <c r="C116" s="15" t="s">
        <v>217</v>
      </c>
      <c r="D116" s="15">
        <f>SUM(E111:E120)/10</f>
        <v>13.7</v>
      </c>
      <c r="E116" s="15">
        <v>18</v>
      </c>
      <c r="F116" s="15">
        <v>3</v>
      </c>
      <c r="G116" s="15">
        <f t="shared" si="6"/>
        <v>18.490000000000006</v>
      </c>
    </row>
    <row r="117" spans="1:16">
      <c r="B117" s="15" t="s">
        <v>195</v>
      </c>
      <c r="C117" s="15" t="s">
        <v>213</v>
      </c>
      <c r="D117" s="15">
        <f>SUM(E111:E120)/10</f>
        <v>13.7</v>
      </c>
      <c r="E117" s="15">
        <v>16</v>
      </c>
      <c r="F117" s="15">
        <v>18</v>
      </c>
      <c r="G117" s="15">
        <f t="shared" si="6"/>
        <v>5.2900000000000036</v>
      </c>
      <c r="M117" t="s">
        <v>77</v>
      </c>
      <c r="O117">
        <f>SUM(P106:P115)</f>
        <v>95.6</v>
      </c>
    </row>
    <row r="118" spans="1:16">
      <c r="B118" s="15" t="s">
        <v>195</v>
      </c>
      <c r="C118" s="15" t="s">
        <v>206</v>
      </c>
      <c r="D118" s="15">
        <f>SUM(E111:E120)/10</f>
        <v>13.7</v>
      </c>
      <c r="E118" s="15">
        <v>14</v>
      </c>
      <c r="F118" s="15">
        <v>15</v>
      </c>
      <c r="G118" s="15">
        <f t="shared" si="6"/>
        <v>9.0000000000000427E-2</v>
      </c>
      <c r="M118" t="s">
        <v>187</v>
      </c>
      <c r="O118">
        <f>O117/10</f>
        <v>9.5599999999999987</v>
      </c>
    </row>
    <row r="119" spans="1:16">
      <c r="B119" s="15" t="s">
        <v>195</v>
      </c>
      <c r="C119" s="15" t="s">
        <v>208</v>
      </c>
      <c r="D119" s="15">
        <f>SUM(E111:E120)/10</f>
        <v>13.7</v>
      </c>
      <c r="E119" s="15">
        <v>5</v>
      </c>
      <c r="F119" s="15">
        <v>18</v>
      </c>
      <c r="G119" s="15">
        <f t="shared" si="6"/>
        <v>75.689999999999984</v>
      </c>
      <c r="J119" t="s">
        <v>170</v>
      </c>
      <c r="K119">
        <f>SUM(N106:N115)</f>
        <v>128</v>
      </c>
      <c r="M119" s="17" t="s">
        <v>80</v>
      </c>
      <c r="N119" s="17"/>
      <c r="O119" s="17">
        <f>SQRT(O118)</f>
        <v>3.0919249667480613</v>
      </c>
    </row>
    <row r="120" spans="1:16">
      <c r="B120" s="15" t="s">
        <v>195</v>
      </c>
      <c r="C120" s="15" t="s">
        <v>218</v>
      </c>
      <c r="D120" s="15">
        <f>SUM(E111:E120)/10</f>
        <v>13.7</v>
      </c>
      <c r="E120" s="15">
        <v>18</v>
      </c>
      <c r="F120" s="15">
        <v>14</v>
      </c>
      <c r="G120" s="15">
        <f t="shared" si="6"/>
        <v>18.490000000000006</v>
      </c>
      <c r="M120" t="s">
        <v>81</v>
      </c>
      <c r="O120" s="9">
        <f>SQRT(O118)</f>
        <v>3.0919249667480613</v>
      </c>
    </row>
    <row r="122" spans="1:16">
      <c r="D122" t="s">
        <v>77</v>
      </c>
      <c r="F122">
        <f>SUM(G111:G120)</f>
        <v>156.10000000000002</v>
      </c>
      <c r="M122" t="s">
        <v>188</v>
      </c>
      <c r="O122" s="9">
        <f>(1- NORMDIST(24.5,N22,O119,TRUE))*100</f>
        <v>7.7148269006843684E-3</v>
      </c>
      <c r="P122" t="s">
        <v>19</v>
      </c>
    </row>
    <row r="123" spans="1:16">
      <c r="D123" t="s">
        <v>187</v>
      </c>
      <c r="F123">
        <f>F122/10</f>
        <v>15.610000000000003</v>
      </c>
    </row>
    <row r="124" spans="1:16">
      <c r="D124" s="17" t="s">
        <v>80</v>
      </c>
      <c r="E124" s="17"/>
      <c r="F124" s="17">
        <f>SQRT(F123)</f>
        <v>3.9509492530276824</v>
      </c>
    </row>
    <row r="125" spans="1:16">
      <c r="D125" t="s">
        <v>81</v>
      </c>
      <c r="F125" s="9">
        <f>SQRT(F123)</f>
        <v>3.9509492530276824</v>
      </c>
    </row>
    <row r="126" spans="1:16">
      <c r="A126" t="s">
        <v>219</v>
      </c>
      <c r="B126">
        <f>SUM(E111:E120)</f>
        <v>137</v>
      </c>
    </row>
    <row r="127" spans="1:16">
      <c r="D127" t="s">
        <v>188</v>
      </c>
      <c r="F127" s="9">
        <f>(1- NORMDIST(24.5,C22,F124,TRUE))*100</f>
        <v>0.31330630003146842</v>
      </c>
      <c r="G127" t="s">
        <v>19</v>
      </c>
    </row>
    <row r="129" spans="2:16">
      <c r="L129" t="s">
        <v>191</v>
      </c>
      <c r="N129" t="s">
        <v>192</v>
      </c>
    </row>
    <row r="130" spans="2:16">
      <c r="E130" t="s">
        <v>220</v>
      </c>
      <c r="F130" t="s">
        <v>221</v>
      </c>
    </row>
    <row r="131" spans="2:16">
      <c r="C131" t="s">
        <v>191</v>
      </c>
      <c r="K131" s="15" t="s">
        <v>185</v>
      </c>
      <c r="L131" s="15" t="s">
        <v>186</v>
      </c>
      <c r="M131" s="15" t="s">
        <v>74</v>
      </c>
      <c r="N131" s="15" t="s">
        <v>138</v>
      </c>
      <c r="O131" s="15" t="s">
        <v>137</v>
      </c>
      <c r="P131" s="15" t="s">
        <v>75</v>
      </c>
    </row>
    <row r="132" spans="2:16">
      <c r="K132" s="15"/>
      <c r="L132" s="15"/>
      <c r="M132" s="15"/>
      <c r="N132" s="15"/>
      <c r="O132" s="15"/>
      <c r="P132" s="15"/>
    </row>
    <row r="133" spans="2:16">
      <c r="B133" s="15" t="s">
        <v>185</v>
      </c>
      <c r="C133" s="15" t="s">
        <v>186</v>
      </c>
      <c r="D133" s="15" t="s">
        <v>74</v>
      </c>
      <c r="E133" s="15" t="s">
        <v>137</v>
      </c>
      <c r="F133" s="15" t="s">
        <v>138</v>
      </c>
      <c r="G133" s="15" t="s">
        <v>75</v>
      </c>
      <c r="K133" s="15" t="s">
        <v>196</v>
      </c>
      <c r="L133" s="15" t="s">
        <v>115</v>
      </c>
      <c r="M133" s="15">
        <f>SUM(N133:N142)/10</f>
        <v>2.5</v>
      </c>
      <c r="N133" s="2">
        <v>3</v>
      </c>
      <c r="O133" s="2">
        <v>2</v>
      </c>
      <c r="P133" s="15">
        <f>(N133-M133)^2</f>
        <v>0.25</v>
      </c>
    </row>
    <row r="134" spans="2:16">
      <c r="B134" s="15"/>
      <c r="C134" s="15"/>
      <c r="D134" s="15"/>
      <c r="E134" s="15"/>
      <c r="F134" s="15"/>
      <c r="G134" s="15"/>
      <c r="K134" s="15" t="s">
        <v>196</v>
      </c>
      <c r="L134" s="15" t="s">
        <v>113</v>
      </c>
      <c r="M134" s="15">
        <f>SUM(N133:N142)/10</f>
        <v>2.5</v>
      </c>
      <c r="N134" s="2">
        <v>1</v>
      </c>
      <c r="O134" s="2">
        <v>1</v>
      </c>
      <c r="P134" s="15">
        <f t="shared" ref="P134:P142" si="7">(N134-M134)^2</f>
        <v>2.25</v>
      </c>
    </row>
    <row r="135" spans="2:16">
      <c r="B135" s="15" t="s">
        <v>102</v>
      </c>
      <c r="C135" s="15" t="s">
        <v>113</v>
      </c>
      <c r="D135" s="15">
        <f>SUM(E135:E144)/10</f>
        <v>2.1</v>
      </c>
      <c r="E135" s="15">
        <v>1</v>
      </c>
      <c r="F135" s="15">
        <v>0</v>
      </c>
      <c r="G135" s="15">
        <f>(E135-D135)^2</f>
        <v>1.2100000000000002</v>
      </c>
      <c r="K135" s="15" t="s">
        <v>196</v>
      </c>
      <c r="L135" s="15" t="s">
        <v>205</v>
      </c>
      <c r="M135" s="15">
        <f>SUM(N133:N142)/10</f>
        <v>2.5</v>
      </c>
      <c r="N135" s="2">
        <v>5</v>
      </c>
      <c r="O135" s="2">
        <v>2</v>
      </c>
      <c r="P135" s="15">
        <f t="shared" si="7"/>
        <v>6.25</v>
      </c>
    </row>
    <row r="136" spans="2:16">
      <c r="B136" s="15" t="s">
        <v>102</v>
      </c>
      <c r="C136" s="15" t="s">
        <v>213</v>
      </c>
      <c r="D136" s="15">
        <f>SUM(E135:E144)/10</f>
        <v>2.1</v>
      </c>
      <c r="E136" s="15">
        <v>3</v>
      </c>
      <c r="F136" s="15">
        <v>2</v>
      </c>
      <c r="G136" s="15">
        <f t="shared" ref="G136:G144" si="8">(E136-D136)^2</f>
        <v>0.80999999999999983</v>
      </c>
      <c r="K136" s="15" t="s">
        <v>196</v>
      </c>
      <c r="L136" s="15" t="s">
        <v>206</v>
      </c>
      <c r="M136" s="15">
        <f>SUM(N133:N142)/10</f>
        <v>2.5</v>
      </c>
      <c r="N136" s="2">
        <v>2</v>
      </c>
      <c r="O136" s="2">
        <v>3</v>
      </c>
      <c r="P136" s="15">
        <f t="shared" si="7"/>
        <v>0.25</v>
      </c>
    </row>
    <row r="137" spans="2:16">
      <c r="B137" s="15" t="s">
        <v>102</v>
      </c>
      <c r="C137" s="15" t="s">
        <v>215</v>
      </c>
      <c r="D137" s="15">
        <f>SUM(E135:E144)/10</f>
        <v>2.1</v>
      </c>
      <c r="E137" s="15">
        <v>3</v>
      </c>
      <c r="F137" s="15">
        <v>4</v>
      </c>
      <c r="G137" s="15">
        <f t="shared" si="8"/>
        <v>0.80999999999999983</v>
      </c>
      <c r="K137" s="15" t="s">
        <v>196</v>
      </c>
      <c r="L137" s="15" t="s">
        <v>207</v>
      </c>
      <c r="M137" s="15">
        <f>SUM(N133:N142)/10</f>
        <v>2.5</v>
      </c>
      <c r="N137" s="2">
        <v>4</v>
      </c>
      <c r="O137" s="2">
        <v>3</v>
      </c>
      <c r="P137" s="15">
        <f t="shared" si="7"/>
        <v>2.25</v>
      </c>
    </row>
    <row r="138" spans="2:16">
      <c r="B138" s="15" t="s">
        <v>102</v>
      </c>
      <c r="C138" s="15" t="s">
        <v>210</v>
      </c>
      <c r="D138" s="15">
        <f>SUM(E135:E144)/10</f>
        <v>2.1</v>
      </c>
      <c r="E138" s="15">
        <v>2</v>
      </c>
      <c r="F138" s="15">
        <v>2</v>
      </c>
      <c r="G138" s="15">
        <f t="shared" si="8"/>
        <v>1.0000000000000018E-2</v>
      </c>
      <c r="K138" s="15" t="s">
        <v>196</v>
      </c>
      <c r="L138" s="15" t="s">
        <v>208</v>
      </c>
      <c r="M138" s="15">
        <f>SUM(N133:N142)/10</f>
        <v>2.5</v>
      </c>
      <c r="N138" s="2">
        <v>1</v>
      </c>
      <c r="O138" s="2">
        <v>1</v>
      </c>
      <c r="P138" s="15">
        <f t="shared" si="7"/>
        <v>2.25</v>
      </c>
    </row>
    <row r="139" spans="2:16">
      <c r="B139" s="15" t="s">
        <v>102</v>
      </c>
      <c r="C139" s="15" t="s">
        <v>216</v>
      </c>
      <c r="D139" s="15">
        <f>SUM(E135:E144)/10</f>
        <v>2.1</v>
      </c>
      <c r="E139" s="15">
        <v>1</v>
      </c>
      <c r="F139" s="15">
        <v>2</v>
      </c>
      <c r="G139" s="15">
        <f t="shared" si="8"/>
        <v>1.2100000000000002</v>
      </c>
      <c r="K139" s="15" t="s">
        <v>196</v>
      </c>
      <c r="L139" s="15" t="s">
        <v>209</v>
      </c>
      <c r="M139" s="15">
        <f>SUM(N133:N142)/10</f>
        <v>2.5</v>
      </c>
      <c r="N139" s="2">
        <v>2</v>
      </c>
      <c r="O139" s="2">
        <v>2</v>
      </c>
      <c r="P139" s="15">
        <f t="shared" si="7"/>
        <v>0.25</v>
      </c>
    </row>
    <row r="140" spans="2:16">
      <c r="B140" s="15" t="s">
        <v>102</v>
      </c>
      <c r="C140" s="15" t="s">
        <v>217</v>
      </c>
      <c r="D140" s="15">
        <f>SUM(E135:E144)/10</f>
        <v>2.1</v>
      </c>
      <c r="E140" s="15">
        <v>1</v>
      </c>
      <c r="F140" s="15">
        <v>3</v>
      </c>
      <c r="G140" s="15">
        <f t="shared" si="8"/>
        <v>1.2100000000000002</v>
      </c>
      <c r="K140" s="15" t="s">
        <v>196</v>
      </c>
      <c r="L140" s="15" t="s">
        <v>120</v>
      </c>
      <c r="M140" s="15">
        <f>SUM(N133:N142)/10</f>
        <v>2.5</v>
      </c>
      <c r="N140" s="2">
        <v>1</v>
      </c>
      <c r="O140" s="2">
        <v>4</v>
      </c>
      <c r="P140" s="15">
        <f t="shared" si="7"/>
        <v>2.25</v>
      </c>
    </row>
    <row r="141" spans="2:16">
      <c r="B141" s="15" t="s">
        <v>102</v>
      </c>
      <c r="C141" s="15" t="s">
        <v>213</v>
      </c>
      <c r="D141" s="15">
        <f>SUM(E135:E144)/10</f>
        <v>2.1</v>
      </c>
      <c r="E141" s="15">
        <v>2</v>
      </c>
      <c r="F141" s="15">
        <v>4</v>
      </c>
      <c r="G141" s="15">
        <f t="shared" si="8"/>
        <v>1.0000000000000018E-2</v>
      </c>
      <c r="K141" s="15" t="s">
        <v>196</v>
      </c>
      <c r="L141" s="15" t="s">
        <v>210</v>
      </c>
      <c r="M141" s="15">
        <f>SUM(N133:N142)/10</f>
        <v>2.5</v>
      </c>
      <c r="N141" s="2">
        <v>4</v>
      </c>
      <c r="O141" s="2">
        <v>0</v>
      </c>
      <c r="P141" s="15">
        <f t="shared" si="7"/>
        <v>2.25</v>
      </c>
    </row>
    <row r="142" spans="2:16">
      <c r="B142" s="15" t="s">
        <v>102</v>
      </c>
      <c r="C142" s="15" t="s">
        <v>206</v>
      </c>
      <c r="D142" s="15">
        <f>SUM(E135:E144)/10</f>
        <v>2.1</v>
      </c>
      <c r="E142" s="15">
        <v>2</v>
      </c>
      <c r="F142" s="15">
        <v>1</v>
      </c>
      <c r="G142" s="15">
        <f t="shared" si="8"/>
        <v>1.0000000000000018E-2</v>
      </c>
      <c r="K142" s="15" t="s">
        <v>196</v>
      </c>
      <c r="L142" s="15" t="s">
        <v>211</v>
      </c>
      <c r="M142" s="15">
        <f>SUM(N133:N142)/10</f>
        <v>2.5</v>
      </c>
      <c r="N142" s="2">
        <v>2</v>
      </c>
      <c r="O142" s="2">
        <v>5</v>
      </c>
      <c r="P142" s="15">
        <f t="shared" si="7"/>
        <v>0.25</v>
      </c>
    </row>
    <row r="143" spans="2:16">
      <c r="B143" s="15" t="s">
        <v>102</v>
      </c>
      <c r="C143" s="15" t="s">
        <v>208</v>
      </c>
      <c r="D143" s="15">
        <f>SUM(E135:E144)/10</f>
        <v>2.1</v>
      </c>
      <c r="E143" s="15">
        <v>5</v>
      </c>
      <c r="F143" s="15">
        <v>3</v>
      </c>
      <c r="G143" s="15">
        <f t="shared" si="8"/>
        <v>8.41</v>
      </c>
    </row>
    <row r="144" spans="2:16">
      <c r="B144" s="15" t="s">
        <v>102</v>
      </c>
      <c r="C144" s="15" t="s">
        <v>218</v>
      </c>
      <c r="D144" s="15">
        <f>SUM(E135:E144)/10</f>
        <v>2.1</v>
      </c>
      <c r="E144" s="15">
        <v>1</v>
      </c>
      <c r="F144" s="15">
        <v>2</v>
      </c>
      <c r="G144" s="15">
        <f t="shared" si="8"/>
        <v>1.2100000000000002</v>
      </c>
      <c r="M144" t="s">
        <v>77</v>
      </c>
      <c r="O144">
        <f>SUM(P133:P142)</f>
        <v>18.5</v>
      </c>
    </row>
    <row r="145" spans="1:16">
      <c r="M145" t="s">
        <v>187</v>
      </c>
      <c r="O145">
        <f>O144/10</f>
        <v>1.85</v>
      </c>
    </row>
    <row r="146" spans="1:16">
      <c r="D146" t="s">
        <v>77</v>
      </c>
      <c r="F146">
        <f>SUM(G135:G144)</f>
        <v>14.900000000000002</v>
      </c>
      <c r="M146" s="17" t="s">
        <v>80</v>
      </c>
      <c r="N146" s="17"/>
      <c r="O146" s="17">
        <f>SQRT(O145)</f>
        <v>1.3601470508735443</v>
      </c>
    </row>
    <row r="147" spans="1:16">
      <c r="D147" t="s">
        <v>187</v>
      </c>
      <c r="F147">
        <f>F146/10</f>
        <v>1.4900000000000002</v>
      </c>
      <c r="M147" t="s">
        <v>81</v>
      </c>
      <c r="O147" s="9">
        <f>SQRT(O145)</f>
        <v>1.3601470508735443</v>
      </c>
    </row>
    <row r="148" spans="1:16">
      <c r="D148" s="17" t="s">
        <v>80</v>
      </c>
      <c r="E148" s="17"/>
      <c r="F148" s="17">
        <f>SQRT(F147)</f>
        <v>1.2206555615733703</v>
      </c>
    </row>
    <row r="149" spans="1:16">
      <c r="D149" t="s">
        <v>81</v>
      </c>
      <c r="F149" s="9">
        <f>SQRT(F147)</f>
        <v>1.2206555615733703</v>
      </c>
      <c r="M149" t="s">
        <v>188</v>
      </c>
      <c r="O149" s="9">
        <f>(1- NORMDIST(3.5,N24,O146,TRUE))*100</f>
        <v>23.110439762105173</v>
      </c>
      <c r="P149" t="s">
        <v>19</v>
      </c>
    </row>
    <row r="150" spans="1:16">
      <c r="A150" t="s">
        <v>222</v>
      </c>
      <c r="B150">
        <f>SUM(E135:E144)</f>
        <v>21</v>
      </c>
    </row>
    <row r="151" spans="1:16">
      <c r="D151" t="s">
        <v>188</v>
      </c>
      <c r="F151" s="9">
        <f>(1- NORMDIST(3.5,C24,F148,TRUE))*100</f>
        <v>12.570637398536476</v>
      </c>
      <c r="G151" t="s">
        <v>19</v>
      </c>
    </row>
    <row r="153" spans="1:16">
      <c r="J153" t="s">
        <v>223</v>
      </c>
      <c r="K153">
        <f>SUM(N133:N142)</f>
        <v>25</v>
      </c>
    </row>
  </sheetData>
  <pageMargins left="0.7" right="0.7" top="0.75" bottom="0.75" header="0.3" footer="0.3"/>
  <drawing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690B-FAB0-42AF-A173-8E961E597778}">
  <dimension ref="A1:P153"/>
  <sheetViews>
    <sheetView tabSelected="1" zoomScale="102" zoomScaleNormal="40" workbookViewId="0">
      <selection activeCell="F3" sqref="F3"/>
    </sheetView>
  </sheetViews>
  <sheetFormatPr defaultColWidth="11.42578125" defaultRowHeight="14.45"/>
  <cols>
    <col min="2" max="2" width="48.28515625" bestFit="1" customWidth="1"/>
    <col min="3" max="3" width="13.42578125" bestFit="1" customWidth="1"/>
    <col min="4" max="4" width="30.7109375" bestFit="1" customWidth="1"/>
    <col min="5" max="5" width="25.140625" customWidth="1"/>
    <col min="6" max="6" width="27.140625" bestFit="1" customWidth="1"/>
    <col min="7" max="7" width="28.140625" bestFit="1" customWidth="1"/>
    <col min="8" max="8" width="27" bestFit="1" customWidth="1"/>
    <col min="9" max="9" width="53.28515625" bestFit="1" customWidth="1"/>
    <col min="10" max="10" width="21.28515625" customWidth="1"/>
    <col min="11" max="11" width="15.85546875" bestFit="1" customWidth="1"/>
    <col min="12" max="13" width="51.28515625" bestFit="1" customWidth="1"/>
    <col min="14" max="14" width="14.28515625" bestFit="1" customWidth="1"/>
    <col min="15" max="15" width="13.7109375" bestFit="1" customWidth="1"/>
    <col min="16" max="16" width="29.28515625" bestFit="1" customWidth="1"/>
  </cols>
  <sheetData>
    <row r="1" spans="2:14">
      <c r="D1" t="s">
        <v>193</v>
      </c>
      <c r="G1" t="s">
        <v>194</v>
      </c>
    </row>
    <row r="2" spans="2:14">
      <c r="C2" s="5" t="s">
        <v>0</v>
      </c>
      <c r="D2" s="5" t="s">
        <v>1</v>
      </c>
      <c r="E2" s="5" t="s">
        <v>2</v>
      </c>
    </row>
    <row r="3" spans="2:14">
      <c r="C3" s="8">
        <v>45680</v>
      </c>
      <c r="D3" s="26" t="s">
        <v>224</v>
      </c>
      <c r="E3" s="26" t="s">
        <v>225</v>
      </c>
    </row>
    <row r="7" spans="2:14">
      <c r="B7" t="s">
        <v>137</v>
      </c>
      <c r="M7" t="s">
        <v>138</v>
      </c>
    </row>
    <row r="9" spans="2:14">
      <c r="B9" t="s">
        <v>8</v>
      </c>
      <c r="C9" t="s">
        <v>9</v>
      </c>
      <c r="H9" t="s">
        <v>139</v>
      </c>
      <c r="M9" t="s">
        <v>10</v>
      </c>
      <c r="N9" t="s">
        <v>9</v>
      </c>
    </row>
    <row r="10" spans="2:14">
      <c r="B10" t="s">
        <v>140</v>
      </c>
      <c r="C10">
        <v>10</v>
      </c>
      <c r="M10" t="s">
        <v>140</v>
      </c>
      <c r="N10">
        <v>10</v>
      </c>
    </row>
    <row r="11" spans="2:14">
      <c r="B11" t="s">
        <v>141</v>
      </c>
      <c r="C11">
        <f>SUM(E69:E78)</f>
        <v>20</v>
      </c>
      <c r="M11" t="s">
        <v>142</v>
      </c>
      <c r="N11">
        <f>SUM(N56:N65)</f>
        <v>28</v>
      </c>
    </row>
    <row r="12" spans="2:14">
      <c r="B12" t="s">
        <v>143</v>
      </c>
      <c r="C12">
        <f>SUM(F69:F78)</f>
        <v>11</v>
      </c>
      <c r="F12" t="s">
        <v>144</v>
      </c>
      <c r="G12" t="s">
        <v>145</v>
      </c>
      <c r="H12" t="s">
        <v>146</v>
      </c>
      <c r="I12" t="s">
        <v>147</v>
      </c>
      <c r="J12" t="s">
        <v>148</v>
      </c>
      <c r="K12" t="s">
        <v>149</v>
      </c>
      <c r="M12" t="s">
        <v>150</v>
      </c>
      <c r="N12">
        <f>SUM(O56:O65)</f>
        <v>13</v>
      </c>
    </row>
    <row r="13" spans="2:14">
      <c r="B13" t="s">
        <v>17</v>
      </c>
      <c r="C13">
        <v>5</v>
      </c>
      <c r="F13" t="s">
        <v>151</v>
      </c>
      <c r="G13" t="s">
        <v>152</v>
      </c>
      <c r="H13" s="9">
        <f>C30</f>
        <v>79.174760671189105</v>
      </c>
      <c r="I13" s="9">
        <f>H24</f>
        <v>46.511627906976742</v>
      </c>
      <c r="J13" s="9">
        <f>Tabla6634[[#This Row],[Probabilidad real (%)]]-Tabla6634[[#This Row],[Probabilidad Implicita (%)]]</f>
        <v>32.663132764212364</v>
      </c>
      <c r="K13" t="str">
        <f>IF(Tabla6634[[#This Row],[Diferencia (%)]] &gt; 0, "Hay valor", "No hay Valor rey")</f>
        <v>Hay valor</v>
      </c>
      <c r="M13" t="s">
        <v>17</v>
      </c>
      <c r="N13">
        <v>7</v>
      </c>
    </row>
    <row r="14" spans="2:14">
      <c r="B14" t="s">
        <v>153</v>
      </c>
      <c r="C14">
        <f>C13/C10*100</f>
        <v>50</v>
      </c>
      <c r="F14" t="s">
        <v>151</v>
      </c>
      <c r="G14" t="s">
        <v>154</v>
      </c>
      <c r="H14" s="9">
        <f>C33</f>
        <v>75.104189366824528</v>
      </c>
      <c r="I14" s="9">
        <f>H25</f>
        <v>98.039215686274503</v>
      </c>
      <c r="J14" s="9">
        <f>Tabla6634[[#This Row],[Probabilidad real (%)]]-Tabla6634[[#This Row],[Probabilidad Implicita (%)]]</f>
        <v>-22.935026319449975</v>
      </c>
      <c r="K14" t="str">
        <f>IF(Tabla6634[[#This Row],[Diferencia (%)]] &gt; 0, "Hay valor", "No hay Valor rey")</f>
        <v>No hay Valor rey</v>
      </c>
      <c r="M14" t="s">
        <v>155</v>
      </c>
      <c r="N14">
        <f>N13/N10*100</f>
        <v>70</v>
      </c>
    </row>
    <row r="15" spans="2:14">
      <c r="B15" t="s">
        <v>156</v>
      </c>
      <c r="C15">
        <f>C11/C10</f>
        <v>2</v>
      </c>
      <c r="F15" t="s">
        <v>151</v>
      </c>
      <c r="G15" t="s">
        <v>157</v>
      </c>
      <c r="H15" s="9">
        <f>C36</f>
        <v>69.504980951365894</v>
      </c>
      <c r="I15" s="9">
        <f>H26</f>
        <v>64.516129032258064</v>
      </c>
      <c r="J15" s="9">
        <f>Tabla6634[[#This Row],[Probabilidad real (%)]]-Tabla6634[[#This Row],[Probabilidad Implicita (%)]]</f>
        <v>4.9888519191078302</v>
      </c>
      <c r="K15" t="str">
        <f>IF(Tabla6634[[#This Row],[Diferencia (%)]] &gt; 0, "Hay valor", "No hay Valor rey")</f>
        <v>Hay valor</v>
      </c>
      <c r="M15" t="s">
        <v>158</v>
      </c>
      <c r="N15">
        <f>N11/N10</f>
        <v>2.8</v>
      </c>
    </row>
    <row r="16" spans="2:14">
      <c r="B16" t="s">
        <v>159</v>
      </c>
      <c r="C16">
        <f>C12/C10</f>
        <v>1.1000000000000001</v>
      </c>
      <c r="F16" t="s">
        <v>151</v>
      </c>
      <c r="G16" t="s">
        <v>160</v>
      </c>
      <c r="H16" s="9">
        <f>C39</f>
        <v>82.762835523349352</v>
      </c>
      <c r="I16" s="9">
        <f>H27</f>
        <v>80</v>
      </c>
      <c r="J16" s="9">
        <f>Tabla6634[[#This Row],[Probabilidad real (%)]]-Tabla6634[[#This Row],[Probabilidad Implicita (%)]]</f>
        <v>2.7628355233493522</v>
      </c>
      <c r="K16" t="str">
        <f>IF(Tabla6634[[#This Row],[Diferencia (%)]] &gt; 0, "Hay valor", "No hay Valor rey")</f>
        <v>Hay valor</v>
      </c>
      <c r="M16" t="s">
        <v>161</v>
      </c>
      <c r="N16">
        <f>N12/N10</f>
        <v>1.3</v>
      </c>
    </row>
    <row r="17" spans="2:14">
      <c r="B17" t="s">
        <v>162</v>
      </c>
      <c r="C17">
        <f>C14+(C15-C16)/C10</f>
        <v>50.09</v>
      </c>
      <c r="M17" t="s">
        <v>163</v>
      </c>
      <c r="N17">
        <f>N14+(N15-N16)/N10</f>
        <v>70.150000000000006</v>
      </c>
    </row>
    <row r="18" spans="2:14">
      <c r="B18" t="s">
        <v>164</v>
      </c>
      <c r="C18">
        <f>C17/100</f>
        <v>0.50090000000000001</v>
      </c>
      <c r="M18" t="s">
        <v>164</v>
      </c>
      <c r="N18">
        <f>N17/100</f>
        <v>0.70150000000000001</v>
      </c>
    </row>
    <row r="19" spans="2:14">
      <c r="B19" t="s">
        <v>165</v>
      </c>
      <c r="C19">
        <f>SUM(E89:E98)</f>
        <v>34</v>
      </c>
      <c r="M19" t="s">
        <v>165</v>
      </c>
      <c r="N19">
        <f>SUM(N80:N89)</f>
        <v>52</v>
      </c>
    </row>
    <row r="20" spans="2:14">
      <c r="B20" t="s">
        <v>166</v>
      </c>
      <c r="C20">
        <f>C19/C10</f>
        <v>3.4</v>
      </c>
      <c r="M20" t="s">
        <v>167</v>
      </c>
      <c r="N20">
        <f>N19/N10</f>
        <v>5.2</v>
      </c>
    </row>
    <row r="21" spans="2:14">
      <c r="B21" t="s">
        <v>168</v>
      </c>
      <c r="C21">
        <f>SUM(E111:E120)</f>
        <v>127</v>
      </c>
      <c r="G21" t="s">
        <v>169</v>
      </c>
      <c r="M21" t="s">
        <v>170</v>
      </c>
      <c r="N21">
        <f>SUM(N106:N115)</f>
        <v>172</v>
      </c>
    </row>
    <row r="22" spans="2:14">
      <c r="B22" t="s">
        <v>171</v>
      </c>
      <c r="C22">
        <f>C21/C10</f>
        <v>12.7</v>
      </c>
      <c r="M22" t="s">
        <v>171</v>
      </c>
      <c r="N22">
        <f>N21/N10</f>
        <v>17.2</v>
      </c>
    </row>
    <row r="23" spans="2:14">
      <c r="B23" t="s">
        <v>172</v>
      </c>
      <c r="C23">
        <f>SUM(E135:E144)</f>
        <v>21</v>
      </c>
      <c r="F23" t="s">
        <v>145</v>
      </c>
      <c r="G23" t="s">
        <v>173</v>
      </c>
      <c r="H23" t="s">
        <v>174</v>
      </c>
      <c r="M23" t="s">
        <v>172</v>
      </c>
      <c r="N23">
        <f>SUM(N133:N142)</f>
        <v>25</v>
      </c>
    </row>
    <row r="24" spans="2:14">
      <c r="B24" t="s">
        <v>175</v>
      </c>
      <c r="C24">
        <f>C23/C10</f>
        <v>2.1</v>
      </c>
      <c r="F24" t="s">
        <v>176</v>
      </c>
      <c r="G24">
        <v>2.15</v>
      </c>
      <c r="H24" s="9">
        <f>(1/G24)*100</f>
        <v>46.511627906976742</v>
      </c>
      <c r="M24" t="s">
        <v>175</v>
      </c>
      <c r="N24">
        <f>N23/N10</f>
        <v>2.5</v>
      </c>
    </row>
    <row r="25" spans="2:14">
      <c r="F25" t="s">
        <v>154</v>
      </c>
      <c r="G25">
        <v>1.02</v>
      </c>
      <c r="H25" s="9">
        <f>(1/G25)*100</f>
        <v>98.039215686274503</v>
      </c>
    </row>
    <row r="26" spans="2:14">
      <c r="B26" t="s">
        <v>197</v>
      </c>
      <c r="F26" t="s">
        <v>157</v>
      </c>
      <c r="G26">
        <v>1.55</v>
      </c>
      <c r="H26" s="9">
        <f>(1/G26)*100</f>
        <v>64.516129032258064</v>
      </c>
    </row>
    <row r="27" spans="2:14">
      <c r="F27" t="s">
        <v>160</v>
      </c>
      <c r="G27">
        <v>1.25</v>
      </c>
      <c r="H27" s="9">
        <f>(1/G27)*100</f>
        <v>80</v>
      </c>
    </row>
    <row r="28" spans="2:14">
      <c r="B28" s="18" t="s">
        <v>44</v>
      </c>
      <c r="C28" s="18">
        <f>C15+N15</f>
        <v>4.8</v>
      </c>
    </row>
    <row r="29" spans="2:14">
      <c r="B29" s="18" t="s">
        <v>108</v>
      </c>
      <c r="C29" s="18">
        <f>SQRT((F81^2) + (O69^2))</f>
        <v>1.6</v>
      </c>
    </row>
    <row r="30" spans="2:14">
      <c r="B30" s="18" t="s">
        <v>178</v>
      </c>
      <c r="C30" s="19">
        <f>(1- NORMDIST(3.5,C28,C29,TRUE))*100</f>
        <v>79.174760671189105</v>
      </c>
    </row>
    <row r="31" spans="2:14">
      <c r="B31" s="20" t="s">
        <v>42</v>
      </c>
      <c r="C31" s="20">
        <f>C20+N20</f>
        <v>8.6</v>
      </c>
    </row>
    <row r="32" spans="2:14">
      <c r="B32" s="20" t="s">
        <v>106</v>
      </c>
      <c r="C32" s="20">
        <f>SQRT((F102^2) + (O93^2))</f>
        <v>3.0983866769659336</v>
      </c>
    </row>
    <row r="33" spans="2:11">
      <c r="B33" s="20" t="s">
        <v>179</v>
      </c>
      <c r="C33" s="21">
        <f>(1- NORMDIST(6.5,C31,C32,TRUE))*100</f>
        <v>75.104189366824528</v>
      </c>
      <c r="H33" t="s">
        <v>139</v>
      </c>
    </row>
    <row r="34" spans="2:11">
      <c r="B34" s="22" t="s">
        <v>180</v>
      </c>
      <c r="C34" s="22">
        <f>C22+N22</f>
        <v>29.9</v>
      </c>
    </row>
    <row r="35" spans="2:11">
      <c r="B35" s="22" t="s">
        <v>181</v>
      </c>
      <c r="C35" s="22">
        <f>SQRT((F124^2) + (O119^2))</f>
        <v>8.623804264940155</v>
      </c>
    </row>
    <row r="36" spans="2:11">
      <c r="B36" s="22" t="s">
        <v>157</v>
      </c>
      <c r="C36" s="23">
        <f>(1- NORMDIST(25.5,C34,C35,TRUE))*100</f>
        <v>69.504980951365894</v>
      </c>
    </row>
    <row r="37" spans="2:11">
      <c r="B37" s="17" t="s">
        <v>182</v>
      </c>
      <c r="C37" s="17">
        <f>C24+N24</f>
        <v>4.5999999999999996</v>
      </c>
    </row>
    <row r="38" spans="2:11">
      <c r="B38" s="17" t="s">
        <v>183</v>
      </c>
      <c r="C38" s="17">
        <f>SQRT((F148^2) + (O146^2))</f>
        <v>2.2226110770892866</v>
      </c>
      <c r="F38" t="s">
        <v>144</v>
      </c>
      <c r="G38" t="s">
        <v>145</v>
      </c>
      <c r="H38" t="s">
        <v>146</v>
      </c>
      <c r="I38" t="s">
        <v>147</v>
      </c>
      <c r="J38" t="s">
        <v>148</v>
      </c>
      <c r="K38" t="s">
        <v>149</v>
      </c>
    </row>
    <row r="39" spans="2:11">
      <c r="B39" s="17" t="s">
        <v>184</v>
      </c>
      <c r="C39" s="24">
        <f>(1- NORMDIST(2.5,C37,C38,TRUE))*100</f>
        <v>82.762835523349352</v>
      </c>
      <c r="F39" t="s">
        <v>151</v>
      </c>
      <c r="G39" t="s">
        <v>198</v>
      </c>
      <c r="H39" s="9">
        <f>C48</f>
        <v>7.5287986412423402</v>
      </c>
      <c r="I39" s="9">
        <f t="shared" ref="I39:I42" si="0">H49</f>
        <v>68.027210884353735</v>
      </c>
      <c r="J39" s="9">
        <f>Tabla663347[[#This Row],[Probabilidad real (%)]]-Tabla663347[[#This Row],[Probabilidad Implicita (%)]]</f>
        <v>-60.498412243111396</v>
      </c>
      <c r="K39" t="str">
        <f>IF(Tabla663347[[#This Row],[Diferencia (%)]] &gt; 0, "Hay valor", "No hay Valor rey")</f>
        <v>No hay Valor rey</v>
      </c>
    </row>
    <row r="40" spans="2:11">
      <c r="F40" t="s">
        <v>151</v>
      </c>
      <c r="G40" t="s">
        <v>199</v>
      </c>
      <c r="H40" s="9">
        <f>C51</f>
        <v>9.2872916968029209</v>
      </c>
      <c r="I40" s="9">
        <f t="shared" si="0"/>
        <v>99.502487562189074</v>
      </c>
      <c r="J40" s="9">
        <f>Tabla663347[[#This Row],[Probabilidad real (%)]]-Tabla663347[[#This Row],[Probabilidad Implicita (%)]]</f>
        <v>-90.21519586538615</v>
      </c>
      <c r="K40" t="str">
        <f>IF(Tabla663347[[#This Row],[Diferencia (%)]] &gt; 0, "Hay valor", "No hay Valor rey")</f>
        <v>No hay Valor rey</v>
      </c>
    </row>
    <row r="41" spans="2:11">
      <c r="F41" t="s">
        <v>151</v>
      </c>
      <c r="G41" t="s">
        <v>200</v>
      </c>
      <c r="H41" s="9">
        <f>C54</f>
        <v>26.560048596660025</v>
      </c>
      <c r="I41" s="9">
        <f t="shared" si="0"/>
        <v>68.965517241379317</v>
      </c>
      <c r="J41" s="9">
        <f>Tabla663347[[#This Row],[Probabilidad real (%)]]-Tabla663347[[#This Row],[Probabilidad Implicita (%)]]</f>
        <v>-42.405468644719292</v>
      </c>
      <c r="K41" t="str">
        <f>IF(Tabla663347[[#This Row],[Diferencia (%)]] &gt; 0, "Hay valor", "No hay Valor rey")</f>
        <v>No hay Valor rey</v>
      </c>
    </row>
    <row r="42" spans="2:11">
      <c r="F42" t="s">
        <v>151</v>
      </c>
      <c r="G42" t="s">
        <v>201</v>
      </c>
      <c r="H42" s="9">
        <f>C57</f>
        <v>31.033062650265997</v>
      </c>
      <c r="I42" s="9">
        <f t="shared" si="0"/>
        <v>75.757575757575751</v>
      </c>
      <c r="J42" s="9">
        <f>Tabla663347[[#This Row],[Probabilidad real (%)]]-Tabla663347[[#This Row],[Probabilidad Implicita (%)]]</f>
        <v>-44.724513107309754</v>
      </c>
      <c r="K42" t="str">
        <f>IF(Tabla663347[[#This Row],[Diferencia (%)]] &gt; 0, "Hay valor", "No hay Valor rey")</f>
        <v>No hay Valor rey</v>
      </c>
    </row>
    <row r="44" spans="2:11">
      <c r="B44" t="s">
        <v>202</v>
      </c>
    </row>
    <row r="46" spans="2:11">
      <c r="B46" s="18" t="s">
        <v>44</v>
      </c>
      <c r="C46" s="18">
        <f>C15+N15</f>
        <v>4.8</v>
      </c>
    </row>
    <row r="47" spans="2:11">
      <c r="B47" s="18" t="s">
        <v>108</v>
      </c>
      <c r="C47" s="18">
        <f>SQRT((F81^2) + (O69^2))</f>
        <v>1.6</v>
      </c>
    </row>
    <row r="48" spans="2:11">
      <c r="B48" s="18" t="s">
        <v>203</v>
      </c>
      <c r="C48" s="19">
        <f>(NORMDIST(2.5,C46,C47,TRUE))*100</f>
        <v>7.5287986412423402</v>
      </c>
      <c r="F48" t="s">
        <v>145</v>
      </c>
      <c r="G48" t="s">
        <v>173</v>
      </c>
      <c r="H48" t="s">
        <v>174</v>
      </c>
    </row>
    <row r="49" spans="2:16">
      <c r="B49" s="20" t="s">
        <v>42</v>
      </c>
      <c r="C49" s="20">
        <f>C20+N20</f>
        <v>8.6</v>
      </c>
      <c r="F49" t="s">
        <v>198</v>
      </c>
      <c r="G49">
        <v>1.47</v>
      </c>
      <c r="H49" s="9">
        <f>(1/G49)*100</f>
        <v>68.027210884353735</v>
      </c>
    </row>
    <row r="50" spans="2:16">
      <c r="B50" s="20" t="s">
        <v>106</v>
      </c>
      <c r="C50" s="20">
        <f>SQRT((F102^2) + (O93^2))</f>
        <v>3.0983866769659336</v>
      </c>
      <c r="F50" t="s">
        <v>199</v>
      </c>
      <c r="G50">
        <v>1.0049999999999999</v>
      </c>
      <c r="H50" s="9">
        <f>(1/G50)*100</f>
        <v>99.502487562189074</v>
      </c>
      <c r="M50" t="s">
        <v>204</v>
      </c>
    </row>
    <row r="51" spans="2:16">
      <c r="B51" s="20" t="s">
        <v>199</v>
      </c>
      <c r="C51" s="21">
        <f>(NORMDIST(4.5,C49,C50,TRUE))*100</f>
        <v>9.2872916968029209</v>
      </c>
      <c r="F51" t="s">
        <v>200</v>
      </c>
      <c r="G51">
        <v>1.45</v>
      </c>
      <c r="H51" s="9">
        <f>(1/G51)*100</f>
        <v>68.965517241379317</v>
      </c>
    </row>
    <row r="52" spans="2:16">
      <c r="B52" s="22" t="s">
        <v>180</v>
      </c>
      <c r="C52" s="22">
        <f>C22+N22</f>
        <v>29.9</v>
      </c>
      <c r="F52" t="s">
        <v>201</v>
      </c>
      <c r="G52">
        <v>1.32</v>
      </c>
      <c r="H52" s="9">
        <f>(1/G52)*100</f>
        <v>75.757575757575751</v>
      </c>
      <c r="M52" t="s">
        <v>85</v>
      </c>
    </row>
    <row r="53" spans="2:16">
      <c r="B53" s="22" t="s">
        <v>181</v>
      </c>
      <c r="C53" s="22">
        <f>SQRT((F124^2) + (O119^2))</f>
        <v>8.623804264940155</v>
      </c>
    </row>
    <row r="54" spans="2:16">
      <c r="B54" s="22" t="s">
        <v>200</v>
      </c>
      <c r="C54" s="23">
        <f>(NORMDIST(24.5,C52,C53,TRUE))*100</f>
        <v>26.560048596660025</v>
      </c>
      <c r="K54" s="16" t="s">
        <v>185</v>
      </c>
      <c r="L54" s="16" t="s">
        <v>186</v>
      </c>
      <c r="M54" s="15" t="s">
        <v>74</v>
      </c>
      <c r="N54" s="15" t="s">
        <v>138</v>
      </c>
      <c r="O54" s="15" t="s">
        <v>137</v>
      </c>
      <c r="P54" s="15" t="s">
        <v>75</v>
      </c>
    </row>
    <row r="55" spans="2:16">
      <c r="B55" s="17" t="s">
        <v>182</v>
      </c>
      <c r="C55" s="17">
        <f>C24+N24</f>
        <v>4.5999999999999996</v>
      </c>
      <c r="K55" s="15"/>
      <c r="L55" s="15"/>
      <c r="M55" s="15"/>
      <c r="N55" s="15"/>
      <c r="O55" s="15"/>
      <c r="P55" s="15"/>
    </row>
    <row r="56" spans="2:16">
      <c r="B56" s="17" t="s">
        <v>183</v>
      </c>
      <c r="C56" s="17">
        <f>SQRT((F148^2) + (O146^2))</f>
        <v>2.2226110770892866</v>
      </c>
      <c r="K56" s="15" t="s">
        <v>226</v>
      </c>
      <c r="L56" s="15" t="s">
        <v>227</v>
      </c>
      <c r="M56" s="15">
        <f>SUM(N56:N65)/10</f>
        <v>2.8</v>
      </c>
      <c r="N56" s="15">
        <v>3</v>
      </c>
      <c r="O56" s="15">
        <v>0</v>
      </c>
      <c r="P56" s="15">
        <f>(N56-M56)^2</f>
        <v>4.000000000000007E-2</v>
      </c>
    </row>
    <row r="57" spans="2:16">
      <c r="B57" s="17" t="s">
        <v>201</v>
      </c>
      <c r="C57" s="24">
        <f>(NORMDIST(3.5,C55,C56,TRUE))*100</f>
        <v>31.033062650265997</v>
      </c>
      <c r="K57" s="15" t="s">
        <v>226</v>
      </c>
      <c r="L57" s="15" t="s">
        <v>61</v>
      </c>
      <c r="M57" s="15">
        <f>SUM(N56:N65)/10</f>
        <v>2.8</v>
      </c>
      <c r="N57" s="15">
        <v>2</v>
      </c>
      <c r="O57" s="15">
        <v>5</v>
      </c>
      <c r="P57" s="15">
        <f t="shared" ref="P57:P65" si="1">(N57-M57)^2</f>
        <v>0.63999999999999968</v>
      </c>
    </row>
    <row r="58" spans="2:16">
      <c r="K58" s="15" t="s">
        <v>226</v>
      </c>
      <c r="L58" s="15" t="s">
        <v>228</v>
      </c>
      <c r="M58" s="15">
        <f>SUM(N56:N65)/10</f>
        <v>2.8</v>
      </c>
      <c r="N58" s="15">
        <v>3</v>
      </c>
      <c r="O58" s="15">
        <v>0</v>
      </c>
      <c r="P58" s="15">
        <f t="shared" si="1"/>
        <v>4.000000000000007E-2</v>
      </c>
    </row>
    <row r="59" spans="2:16">
      <c r="K59" s="15" t="s">
        <v>226</v>
      </c>
      <c r="L59" s="15" t="s">
        <v>229</v>
      </c>
      <c r="M59" s="15">
        <f>SUM(N56:N65)/10</f>
        <v>2.8</v>
      </c>
      <c r="N59" s="15">
        <v>5</v>
      </c>
      <c r="O59" s="15">
        <v>0</v>
      </c>
      <c r="P59" s="15">
        <f t="shared" si="1"/>
        <v>4.8400000000000007</v>
      </c>
    </row>
    <row r="60" spans="2:16">
      <c r="K60" s="15" t="s">
        <v>226</v>
      </c>
      <c r="L60" s="15" t="s">
        <v>230</v>
      </c>
      <c r="M60" s="15">
        <f>SUM(N56:N65)/10</f>
        <v>2.8</v>
      </c>
      <c r="N60" s="15">
        <v>2</v>
      </c>
      <c r="O60" s="15">
        <v>1</v>
      </c>
      <c r="P60" s="15">
        <f t="shared" si="1"/>
        <v>0.63999999999999968</v>
      </c>
    </row>
    <row r="61" spans="2:16">
      <c r="K61" s="15" t="s">
        <v>226</v>
      </c>
      <c r="L61" s="15" t="s">
        <v>231</v>
      </c>
      <c r="M61" s="15">
        <f>SUM(N56:N65)/10</f>
        <v>2.8</v>
      </c>
      <c r="N61" s="15">
        <v>3</v>
      </c>
      <c r="O61" s="15">
        <v>0</v>
      </c>
      <c r="P61" s="15">
        <f t="shared" si="1"/>
        <v>4.000000000000007E-2</v>
      </c>
    </row>
    <row r="62" spans="2:16">
      <c r="K62" s="15" t="s">
        <v>226</v>
      </c>
      <c r="L62" s="15" t="s">
        <v>232</v>
      </c>
      <c r="M62" s="15">
        <f>SUM(N56:N65)/10</f>
        <v>2.8</v>
      </c>
      <c r="N62" s="15">
        <v>3</v>
      </c>
      <c r="O62" s="15">
        <v>3</v>
      </c>
      <c r="P62" s="15">
        <f t="shared" si="1"/>
        <v>4.000000000000007E-2</v>
      </c>
    </row>
    <row r="63" spans="2:16">
      <c r="K63" s="15" t="s">
        <v>226</v>
      </c>
      <c r="L63" s="15" t="s">
        <v>233</v>
      </c>
      <c r="M63" s="15">
        <f>SUM(N56:N65)/10</f>
        <v>2.8</v>
      </c>
      <c r="N63" s="15">
        <v>3</v>
      </c>
      <c r="O63" s="15">
        <v>2</v>
      </c>
      <c r="P63" s="15">
        <f t="shared" si="1"/>
        <v>4.000000000000007E-2</v>
      </c>
    </row>
    <row r="64" spans="2:16">
      <c r="K64" s="15" t="s">
        <v>226</v>
      </c>
      <c r="L64" s="15" t="s">
        <v>234</v>
      </c>
      <c r="M64" s="15">
        <f>SUM(N56:N65)/10</f>
        <v>2.8</v>
      </c>
      <c r="N64" s="15">
        <v>3</v>
      </c>
      <c r="O64" s="15">
        <v>0</v>
      </c>
      <c r="P64" s="15">
        <f t="shared" si="1"/>
        <v>4.000000000000007E-2</v>
      </c>
    </row>
    <row r="65" spans="1:16">
      <c r="C65" t="s">
        <v>85</v>
      </c>
      <c r="K65" s="15" t="s">
        <v>226</v>
      </c>
      <c r="L65" s="15" t="s">
        <v>235</v>
      </c>
      <c r="M65" s="15">
        <f>SUM(N56:N65)/10</f>
        <v>2.8</v>
      </c>
      <c r="N65" s="15">
        <v>1</v>
      </c>
      <c r="O65" s="15">
        <v>2</v>
      </c>
      <c r="P65" s="15">
        <f t="shared" si="1"/>
        <v>3.2399999999999993</v>
      </c>
    </row>
    <row r="67" spans="1:16">
      <c r="B67" s="15" t="s">
        <v>185</v>
      </c>
      <c r="C67" s="15" t="s">
        <v>186</v>
      </c>
      <c r="D67" s="15" t="s">
        <v>74</v>
      </c>
      <c r="E67" s="15" t="s">
        <v>137</v>
      </c>
      <c r="F67" s="15" t="s">
        <v>138</v>
      </c>
      <c r="G67" s="15" t="s">
        <v>75</v>
      </c>
      <c r="M67" t="s">
        <v>77</v>
      </c>
      <c r="O67">
        <f>SUM(P56:P65)</f>
        <v>9.6</v>
      </c>
    </row>
    <row r="68" spans="1:16">
      <c r="B68" s="15"/>
      <c r="C68" s="15"/>
      <c r="D68" s="15"/>
      <c r="E68" s="15"/>
      <c r="F68" s="15"/>
      <c r="G68" s="15"/>
      <c r="M68" t="s">
        <v>187</v>
      </c>
      <c r="O68">
        <f>O67/10</f>
        <v>0.96</v>
      </c>
    </row>
    <row r="69" spans="1:16">
      <c r="B69" s="15" t="s">
        <v>224</v>
      </c>
      <c r="C69" s="15" t="s">
        <v>117</v>
      </c>
      <c r="D69" s="15">
        <f>SUM(E69:E78)/10</f>
        <v>2</v>
      </c>
      <c r="E69" s="15">
        <v>2</v>
      </c>
      <c r="F69" s="15">
        <v>1</v>
      </c>
      <c r="G69" s="15">
        <f>(E69-D69)^2</f>
        <v>0</v>
      </c>
      <c r="J69" t="s">
        <v>212</v>
      </c>
      <c r="K69">
        <f>SUM(N56:N65)</f>
        <v>28</v>
      </c>
      <c r="M69" s="17" t="s">
        <v>80</v>
      </c>
      <c r="N69" s="17"/>
      <c r="O69" s="17">
        <f>SQRT(O68)</f>
        <v>0.9797958971132712</v>
      </c>
    </row>
    <row r="70" spans="1:16">
      <c r="B70" s="15" t="s">
        <v>224</v>
      </c>
      <c r="C70" s="15" t="s">
        <v>236</v>
      </c>
      <c r="D70" s="15">
        <f>SUM(E69:E78)/10</f>
        <v>2</v>
      </c>
      <c r="E70" s="15">
        <v>4</v>
      </c>
      <c r="F70" s="15">
        <v>1</v>
      </c>
      <c r="G70" s="15">
        <f t="shared" ref="G70:G78" si="2">(E70-D70)^2</f>
        <v>4</v>
      </c>
      <c r="J70" t="s">
        <v>214</v>
      </c>
      <c r="K70">
        <f>SUM(O56:O65)</f>
        <v>13</v>
      </c>
      <c r="M70" t="s">
        <v>81</v>
      </c>
      <c r="O70" s="9">
        <f>SQRT(O68)</f>
        <v>0.9797958971132712</v>
      </c>
    </row>
    <row r="71" spans="1:16">
      <c r="B71" s="15" t="s">
        <v>224</v>
      </c>
      <c r="C71" s="15" t="s">
        <v>237</v>
      </c>
      <c r="D71" s="15">
        <f>SUM(E69:E78)/10</f>
        <v>2</v>
      </c>
      <c r="E71" s="15">
        <v>3</v>
      </c>
      <c r="F71" s="15">
        <v>1</v>
      </c>
      <c r="G71" s="15">
        <f t="shared" si="2"/>
        <v>1</v>
      </c>
    </row>
    <row r="72" spans="1:16">
      <c r="B72" s="15" t="s">
        <v>224</v>
      </c>
      <c r="C72" s="15" t="s">
        <v>238</v>
      </c>
      <c r="D72" s="15">
        <f>SUM(E69:E78)/10</f>
        <v>2</v>
      </c>
      <c r="E72" s="15">
        <v>0</v>
      </c>
      <c r="F72" s="15">
        <v>1</v>
      </c>
      <c r="G72" s="15">
        <f t="shared" si="2"/>
        <v>4</v>
      </c>
      <c r="M72" t="s">
        <v>188</v>
      </c>
      <c r="O72">
        <f>1- NORMDIST(2.5,N15,O69,TRUE)</f>
        <v>0.6202685673100331</v>
      </c>
    </row>
    <row r="73" spans="1:16">
      <c r="B73" s="15" t="s">
        <v>224</v>
      </c>
      <c r="C73" s="15" t="s">
        <v>239</v>
      </c>
      <c r="D73" s="15">
        <f>SUM(E69:E78)/10</f>
        <v>2</v>
      </c>
      <c r="E73" s="15">
        <v>1</v>
      </c>
      <c r="F73" s="15">
        <v>1</v>
      </c>
      <c r="G73" s="15">
        <f t="shared" si="2"/>
        <v>1</v>
      </c>
    </row>
    <row r="74" spans="1:16">
      <c r="B74" s="15" t="s">
        <v>224</v>
      </c>
      <c r="C74" s="15" t="s">
        <v>240</v>
      </c>
      <c r="D74" s="15">
        <f>SUM(E69:E78)/10</f>
        <v>2</v>
      </c>
      <c r="E74" s="15">
        <v>2</v>
      </c>
      <c r="F74" s="15">
        <v>0</v>
      </c>
      <c r="G74" s="15">
        <f t="shared" si="2"/>
        <v>0</v>
      </c>
    </row>
    <row r="75" spans="1:16">
      <c r="B75" s="15" t="s">
        <v>224</v>
      </c>
      <c r="C75" s="15" t="s">
        <v>241</v>
      </c>
      <c r="D75" s="15">
        <f>SUM(E69:E78)/10</f>
        <v>2</v>
      </c>
      <c r="E75" s="15">
        <v>2</v>
      </c>
      <c r="F75" s="15">
        <v>0</v>
      </c>
      <c r="G75" s="15">
        <f t="shared" si="2"/>
        <v>0</v>
      </c>
    </row>
    <row r="76" spans="1:16">
      <c r="B76" s="15" t="s">
        <v>224</v>
      </c>
      <c r="C76" s="15" t="s">
        <v>242</v>
      </c>
      <c r="D76" s="15">
        <f>SUM(E69:E78)/10</f>
        <v>2</v>
      </c>
      <c r="E76" s="15">
        <v>4</v>
      </c>
      <c r="F76" s="15">
        <v>0</v>
      </c>
      <c r="G76" s="15">
        <f t="shared" si="2"/>
        <v>4</v>
      </c>
      <c r="M76" t="s">
        <v>189</v>
      </c>
    </row>
    <row r="77" spans="1:16">
      <c r="B77" s="15" t="s">
        <v>224</v>
      </c>
      <c r="C77" s="15" t="s">
        <v>243</v>
      </c>
      <c r="D77" s="15">
        <f>SUM(E69:E78)/10</f>
        <v>2</v>
      </c>
      <c r="E77" s="15">
        <v>1</v>
      </c>
      <c r="F77" s="15">
        <v>5</v>
      </c>
      <c r="G77" s="15">
        <f t="shared" si="2"/>
        <v>1</v>
      </c>
    </row>
    <row r="78" spans="1:16">
      <c r="B78" s="15" t="s">
        <v>224</v>
      </c>
      <c r="C78" s="15" t="s">
        <v>244</v>
      </c>
      <c r="D78" s="15">
        <f>SUM(E69:E78)/10</f>
        <v>2</v>
      </c>
      <c r="E78" s="15">
        <v>1</v>
      </c>
      <c r="F78" s="15">
        <v>1</v>
      </c>
      <c r="G78" s="15">
        <f t="shared" si="2"/>
        <v>1</v>
      </c>
      <c r="K78" s="15" t="s">
        <v>185</v>
      </c>
      <c r="L78" s="15" t="s">
        <v>186</v>
      </c>
      <c r="M78" s="15" t="s">
        <v>74</v>
      </c>
      <c r="N78" s="15" t="s">
        <v>138</v>
      </c>
      <c r="O78" s="15" t="s">
        <v>137</v>
      </c>
      <c r="P78" s="15" t="s">
        <v>75</v>
      </c>
    </row>
    <row r="79" spans="1:16">
      <c r="D79" t="s">
        <v>77</v>
      </c>
      <c r="F79">
        <f>SUM(G69:G78)</f>
        <v>16</v>
      </c>
      <c r="K79" s="15"/>
      <c r="L79" s="15"/>
      <c r="M79" s="15"/>
      <c r="N79" s="15"/>
      <c r="O79" s="15"/>
      <c r="P79" s="15"/>
    </row>
    <row r="80" spans="1:16">
      <c r="A80" t="s">
        <v>212</v>
      </c>
      <c r="B80">
        <f>SUM(E69:E78)</f>
        <v>20</v>
      </c>
      <c r="D80" t="s">
        <v>187</v>
      </c>
      <c r="F80">
        <f>F79/10</f>
        <v>1.6</v>
      </c>
      <c r="K80" s="15" t="s">
        <v>226</v>
      </c>
      <c r="L80" s="15" t="s">
        <v>227</v>
      </c>
      <c r="M80" s="15">
        <f>SUM(N80:N89)/10</f>
        <v>5.2</v>
      </c>
      <c r="N80" s="15">
        <v>7</v>
      </c>
      <c r="O80" s="15">
        <v>1</v>
      </c>
      <c r="P80" s="15">
        <f>(N80-M80)^2</f>
        <v>3.2399999999999993</v>
      </c>
    </row>
    <row r="81" spans="1:16">
      <c r="A81" t="s">
        <v>214</v>
      </c>
      <c r="B81">
        <f>SUM(F69:F78)</f>
        <v>11</v>
      </c>
      <c r="D81" s="17" t="s">
        <v>80</v>
      </c>
      <c r="E81" s="17"/>
      <c r="F81" s="17">
        <f>SQRT(F80)</f>
        <v>1.2649110640673518</v>
      </c>
      <c r="K81" s="15" t="s">
        <v>226</v>
      </c>
      <c r="L81" s="15" t="s">
        <v>61</v>
      </c>
      <c r="M81" s="15">
        <f>SUM(N80:N89)/10</f>
        <v>5.2</v>
      </c>
      <c r="N81" s="15">
        <v>9</v>
      </c>
      <c r="O81" s="15">
        <v>5</v>
      </c>
      <c r="P81" s="15">
        <f t="shared" ref="P81:P89" si="3">(N81-M81)^2</f>
        <v>14.44</v>
      </c>
    </row>
    <row r="82" spans="1:16">
      <c r="D82" t="s">
        <v>81</v>
      </c>
      <c r="F82" s="9">
        <f>SQRT(F80)</f>
        <v>1.2649110640673518</v>
      </c>
      <c r="K82" s="15" t="s">
        <v>226</v>
      </c>
      <c r="L82" s="15" t="s">
        <v>228</v>
      </c>
      <c r="M82" s="15">
        <f>SUM(N80:N89)/10</f>
        <v>5.2</v>
      </c>
      <c r="N82" s="15">
        <v>6</v>
      </c>
      <c r="O82" s="15">
        <v>1</v>
      </c>
      <c r="P82" s="15">
        <f t="shared" si="3"/>
        <v>0.63999999999999968</v>
      </c>
    </row>
    <row r="83" spans="1:16">
      <c r="K83" s="15" t="s">
        <v>226</v>
      </c>
      <c r="L83" s="15" t="s">
        <v>229</v>
      </c>
      <c r="M83" s="15">
        <f>SUM(N80:N89)/10</f>
        <v>5.2</v>
      </c>
      <c r="N83" s="15">
        <v>9</v>
      </c>
      <c r="O83" s="15">
        <v>0</v>
      </c>
      <c r="P83" s="15">
        <f t="shared" si="3"/>
        <v>14.44</v>
      </c>
    </row>
    <row r="84" spans="1:16">
      <c r="D84" t="s">
        <v>188</v>
      </c>
      <c r="F84">
        <f>1- NORMDIST(2.5,C15,F81,TRUE)</f>
        <v>0.34631639202098008</v>
      </c>
      <c r="K84" s="15" t="s">
        <v>226</v>
      </c>
      <c r="L84" s="15" t="s">
        <v>230</v>
      </c>
      <c r="M84" s="15">
        <f>SUM(N80:N89)/10</f>
        <v>5.2</v>
      </c>
      <c r="N84" s="15">
        <v>5</v>
      </c>
      <c r="O84" s="15">
        <v>2</v>
      </c>
      <c r="P84" s="15">
        <f t="shared" si="3"/>
        <v>4.000000000000007E-2</v>
      </c>
    </row>
    <row r="85" spans="1:16">
      <c r="C85" t="s">
        <v>190</v>
      </c>
      <c r="K85" s="15" t="s">
        <v>226</v>
      </c>
      <c r="L85" s="15" t="s">
        <v>231</v>
      </c>
      <c r="M85" s="15">
        <f>SUM(N80:N89)/10</f>
        <v>5.2</v>
      </c>
      <c r="N85" s="15">
        <v>6</v>
      </c>
      <c r="O85" s="15">
        <v>5</v>
      </c>
      <c r="P85" s="15">
        <f t="shared" si="3"/>
        <v>0.63999999999999968</v>
      </c>
    </row>
    <row r="86" spans="1:16">
      <c r="K86" s="15" t="s">
        <v>226</v>
      </c>
      <c r="L86" s="15" t="s">
        <v>232</v>
      </c>
      <c r="M86" s="15">
        <f>SUM(N80:N89)/10</f>
        <v>5.2</v>
      </c>
      <c r="N86" s="15">
        <v>3</v>
      </c>
      <c r="O86" s="15">
        <v>4</v>
      </c>
      <c r="P86" s="15">
        <f t="shared" si="3"/>
        <v>4.8400000000000007</v>
      </c>
    </row>
    <row r="87" spans="1:16">
      <c r="B87" s="15" t="s">
        <v>185</v>
      </c>
      <c r="C87" s="15" t="s">
        <v>186</v>
      </c>
      <c r="D87" s="15" t="s">
        <v>74</v>
      </c>
      <c r="E87" s="15" t="s">
        <v>137</v>
      </c>
      <c r="F87" s="15" t="s">
        <v>138</v>
      </c>
      <c r="G87" s="15" t="s">
        <v>75</v>
      </c>
      <c r="K87" s="15" t="s">
        <v>226</v>
      </c>
      <c r="L87" s="15" t="s">
        <v>233</v>
      </c>
      <c r="M87" s="15">
        <f>SUM(N80:N89)/10</f>
        <v>5.2</v>
      </c>
      <c r="N87" s="15">
        <v>2</v>
      </c>
      <c r="O87" s="15">
        <v>5</v>
      </c>
      <c r="P87" s="15">
        <f t="shared" si="3"/>
        <v>10.240000000000002</v>
      </c>
    </row>
    <row r="88" spans="1:16">
      <c r="B88" s="15"/>
      <c r="C88" s="15"/>
      <c r="D88" s="15"/>
      <c r="E88" s="15"/>
      <c r="F88" s="15"/>
      <c r="G88" s="15"/>
      <c r="K88" s="15" t="s">
        <v>226</v>
      </c>
      <c r="L88" s="15" t="s">
        <v>234</v>
      </c>
      <c r="M88" s="15">
        <f>SUM(N80:N89)/10</f>
        <v>5.2</v>
      </c>
      <c r="N88" s="15">
        <v>3</v>
      </c>
      <c r="O88" s="15">
        <v>6</v>
      </c>
      <c r="P88" s="15">
        <f t="shared" si="3"/>
        <v>4.8400000000000007</v>
      </c>
    </row>
    <row r="89" spans="1:16">
      <c r="B89" s="15" t="s">
        <v>224</v>
      </c>
      <c r="C89" s="15" t="s">
        <v>117</v>
      </c>
      <c r="D89" s="15">
        <f>SUM(E89:E98)/10</f>
        <v>3.4</v>
      </c>
      <c r="E89" s="15">
        <v>4</v>
      </c>
      <c r="F89" s="15">
        <v>7</v>
      </c>
      <c r="G89" s="15">
        <f>(E89-D89)^2</f>
        <v>0.3600000000000001</v>
      </c>
      <c r="K89" s="15" t="s">
        <v>226</v>
      </c>
      <c r="L89" s="15" t="s">
        <v>235</v>
      </c>
      <c r="M89" s="15">
        <f>SUM(N80:N89)/10</f>
        <v>5.2</v>
      </c>
      <c r="N89" s="15">
        <v>2</v>
      </c>
      <c r="O89" s="15">
        <v>5</v>
      </c>
      <c r="P89" s="15">
        <f t="shared" si="3"/>
        <v>10.240000000000002</v>
      </c>
    </row>
    <row r="90" spans="1:16">
      <c r="B90" s="15" t="s">
        <v>224</v>
      </c>
      <c r="C90" s="15" t="s">
        <v>236</v>
      </c>
      <c r="D90" s="15">
        <f>SUM(E89:E98)/10</f>
        <v>3.4</v>
      </c>
      <c r="E90" s="15">
        <v>0</v>
      </c>
      <c r="F90" s="15">
        <v>5</v>
      </c>
      <c r="G90" s="15">
        <f t="shared" ref="G90:G98" si="4">(E90-D90)^2</f>
        <v>11.559999999999999</v>
      </c>
    </row>
    <row r="91" spans="1:16">
      <c r="B91" s="15" t="s">
        <v>224</v>
      </c>
      <c r="C91" s="15" t="s">
        <v>237</v>
      </c>
      <c r="D91" s="15">
        <f>SUM(E89:E98)/10</f>
        <v>3.4</v>
      </c>
      <c r="E91" s="15">
        <v>4</v>
      </c>
      <c r="F91" s="15">
        <v>3</v>
      </c>
      <c r="G91" s="15">
        <f t="shared" si="4"/>
        <v>0.3600000000000001</v>
      </c>
      <c r="M91" t="s">
        <v>77</v>
      </c>
      <c r="O91">
        <f>SUM(P80:P89)</f>
        <v>63.600000000000009</v>
      </c>
    </row>
    <row r="92" spans="1:16">
      <c r="B92" s="15" t="s">
        <v>224</v>
      </c>
      <c r="C92" s="15" t="s">
        <v>238</v>
      </c>
      <c r="D92" s="15">
        <f>SUM(E89:E98)/10</f>
        <v>3.4</v>
      </c>
      <c r="E92" s="15">
        <v>6</v>
      </c>
      <c r="F92" s="15">
        <v>2</v>
      </c>
      <c r="G92" s="15">
        <f t="shared" si="4"/>
        <v>6.7600000000000007</v>
      </c>
      <c r="J92" t="s">
        <v>189</v>
      </c>
      <c r="K92">
        <f>SUM(N80:N89)</f>
        <v>52</v>
      </c>
      <c r="M92" t="s">
        <v>187</v>
      </c>
      <c r="O92">
        <f>O91/10</f>
        <v>6.3600000000000012</v>
      </c>
    </row>
    <row r="93" spans="1:16">
      <c r="B93" s="15" t="s">
        <v>224</v>
      </c>
      <c r="C93" s="15" t="s">
        <v>239</v>
      </c>
      <c r="D93" s="15">
        <f>SUM(E89:E98)/10</f>
        <v>3.4</v>
      </c>
      <c r="E93" s="15">
        <v>2</v>
      </c>
      <c r="F93" s="15">
        <v>4</v>
      </c>
      <c r="G93" s="15">
        <f t="shared" si="4"/>
        <v>1.9599999999999997</v>
      </c>
      <c r="M93" s="17" t="s">
        <v>80</v>
      </c>
      <c r="N93" s="17"/>
      <c r="O93" s="17">
        <f>SQRT(O92)</f>
        <v>2.5219040425836985</v>
      </c>
    </row>
    <row r="94" spans="1:16">
      <c r="B94" s="15" t="s">
        <v>224</v>
      </c>
      <c r="C94" s="15" t="s">
        <v>240</v>
      </c>
      <c r="D94" s="15">
        <f>SUM(E89:E98)/10</f>
        <v>3.4</v>
      </c>
      <c r="E94" s="15">
        <v>1</v>
      </c>
      <c r="F94" s="15">
        <v>9</v>
      </c>
      <c r="G94" s="15">
        <f t="shared" si="4"/>
        <v>5.76</v>
      </c>
      <c r="M94" t="s">
        <v>81</v>
      </c>
      <c r="O94" s="9">
        <f>SQRT(O92)</f>
        <v>2.5219040425836985</v>
      </c>
    </row>
    <row r="95" spans="1:16">
      <c r="B95" s="15" t="s">
        <v>224</v>
      </c>
      <c r="C95" s="15" t="s">
        <v>241</v>
      </c>
      <c r="D95" s="15">
        <f>SUM(E89:E98)/10</f>
        <v>3.4</v>
      </c>
      <c r="E95" s="15">
        <v>4</v>
      </c>
      <c r="F95" s="15">
        <v>3</v>
      </c>
      <c r="G95" s="15">
        <f t="shared" si="4"/>
        <v>0.3600000000000001</v>
      </c>
    </row>
    <row r="96" spans="1:16">
      <c r="B96" s="15" t="s">
        <v>224</v>
      </c>
      <c r="C96" s="15" t="s">
        <v>242</v>
      </c>
      <c r="D96" s="15">
        <f>SUM(E89:E98)/10</f>
        <v>3.4</v>
      </c>
      <c r="E96" s="15">
        <v>5</v>
      </c>
      <c r="F96" s="15">
        <v>2</v>
      </c>
      <c r="G96" s="15">
        <f t="shared" si="4"/>
        <v>2.5600000000000005</v>
      </c>
      <c r="M96" t="s">
        <v>188</v>
      </c>
      <c r="O96" s="9">
        <f>(1- NORMDIST(10.5,N20,O93,TRUE))*100</f>
        <v>1.7794747867403093</v>
      </c>
      <c r="P96" t="s">
        <v>19</v>
      </c>
    </row>
    <row r="97" spans="1:16">
      <c r="B97" s="15" t="s">
        <v>224</v>
      </c>
      <c r="C97" s="15" t="s">
        <v>243</v>
      </c>
      <c r="D97" s="15">
        <f>SUM(E89:E98)/10</f>
        <v>3.4</v>
      </c>
      <c r="E97" s="15">
        <v>5</v>
      </c>
      <c r="F97" s="15">
        <v>0</v>
      </c>
      <c r="G97" s="15">
        <f t="shared" si="4"/>
        <v>2.5600000000000005</v>
      </c>
    </row>
    <row r="98" spans="1:16">
      <c r="B98" s="15" t="s">
        <v>224</v>
      </c>
      <c r="C98" s="15" t="s">
        <v>244</v>
      </c>
      <c r="D98" s="15">
        <f>SUM(E89:E98)/10</f>
        <v>3.4</v>
      </c>
      <c r="E98" s="15">
        <v>3</v>
      </c>
      <c r="F98" s="15">
        <v>4</v>
      </c>
      <c r="G98" s="15">
        <f t="shared" si="4"/>
        <v>0.15999999999999992</v>
      </c>
    </row>
    <row r="100" spans="1:16">
      <c r="D100" t="s">
        <v>77</v>
      </c>
      <c r="F100">
        <f>SUM(G89:G98)</f>
        <v>32.4</v>
      </c>
    </row>
    <row r="101" spans="1:16">
      <c r="A101" t="s">
        <v>189</v>
      </c>
      <c r="B101">
        <f>SUM(E89:E98)</f>
        <v>34</v>
      </c>
      <c r="D101" t="s">
        <v>187</v>
      </c>
      <c r="F101">
        <f>F100/10</f>
        <v>3.2399999999999998</v>
      </c>
    </row>
    <row r="102" spans="1:16">
      <c r="D102" s="17" t="s">
        <v>80</v>
      </c>
      <c r="E102" s="17"/>
      <c r="F102" s="17">
        <f>SQRT(F101)</f>
        <v>1.8</v>
      </c>
      <c r="L102" t="s">
        <v>168</v>
      </c>
    </row>
    <row r="103" spans="1:16">
      <c r="D103" t="s">
        <v>81</v>
      </c>
      <c r="F103" s="9">
        <f>SQRT(F101)</f>
        <v>1.8</v>
      </c>
    </row>
    <row r="104" spans="1:16">
      <c r="K104" s="15" t="s">
        <v>185</v>
      </c>
      <c r="L104" s="15" t="s">
        <v>186</v>
      </c>
      <c r="M104" s="15" t="s">
        <v>74</v>
      </c>
      <c r="N104" s="15" t="s">
        <v>138</v>
      </c>
      <c r="O104" s="15" t="s">
        <v>137</v>
      </c>
      <c r="P104" s="15" t="s">
        <v>75</v>
      </c>
    </row>
    <row r="105" spans="1:16">
      <c r="D105" t="s">
        <v>188</v>
      </c>
      <c r="F105" s="9">
        <f>(1- NORMDIST(10.5,C20,F102,TRUE))*100</f>
        <v>3.9992596685300974E-3</v>
      </c>
      <c r="G105" t="s">
        <v>19</v>
      </c>
      <c r="K105" s="15"/>
      <c r="L105" s="15"/>
      <c r="M105" s="15"/>
      <c r="N105" s="15"/>
      <c r="O105" s="15"/>
      <c r="P105" s="15"/>
    </row>
    <row r="106" spans="1:16">
      <c r="K106" s="15" t="s">
        <v>226</v>
      </c>
      <c r="L106" s="15" t="s">
        <v>227</v>
      </c>
      <c r="M106" s="15">
        <f>SUM(N106:N115)/10</f>
        <v>17.2</v>
      </c>
      <c r="N106" s="15">
        <v>20</v>
      </c>
      <c r="O106" s="15">
        <v>6</v>
      </c>
      <c r="P106" s="15">
        <f>(N106-M106)^2</f>
        <v>7.8400000000000043</v>
      </c>
    </row>
    <row r="107" spans="1:16">
      <c r="C107" t="s">
        <v>168</v>
      </c>
      <c r="K107" s="15" t="s">
        <v>226</v>
      </c>
      <c r="L107" s="15" t="s">
        <v>61</v>
      </c>
      <c r="M107" s="15">
        <f>SUM(N106:N115)/10</f>
        <v>17.2</v>
      </c>
      <c r="N107" s="15">
        <v>19</v>
      </c>
      <c r="O107" s="15">
        <v>14</v>
      </c>
      <c r="P107" s="15">
        <f t="shared" ref="P107:P115" si="5">(N107-M107)^2</f>
        <v>3.2400000000000024</v>
      </c>
    </row>
    <row r="108" spans="1:16">
      <c r="K108" s="15" t="s">
        <v>226</v>
      </c>
      <c r="L108" s="15" t="s">
        <v>228</v>
      </c>
      <c r="M108" s="15">
        <f>SUM(N106:N115)/10</f>
        <v>17.2</v>
      </c>
      <c r="N108" s="15">
        <v>28</v>
      </c>
      <c r="O108" s="15">
        <v>8</v>
      </c>
      <c r="P108" s="15">
        <f t="shared" si="5"/>
        <v>116.64000000000001</v>
      </c>
    </row>
    <row r="109" spans="1:16">
      <c r="B109" s="15" t="s">
        <v>185</v>
      </c>
      <c r="C109" s="15" t="s">
        <v>186</v>
      </c>
      <c r="D109" s="15" t="s">
        <v>74</v>
      </c>
      <c r="E109" s="15" t="s">
        <v>137</v>
      </c>
      <c r="F109" s="15" t="s">
        <v>138</v>
      </c>
      <c r="G109" s="15" t="s">
        <v>75</v>
      </c>
      <c r="K109" s="15" t="s">
        <v>226</v>
      </c>
      <c r="L109" s="15" t="s">
        <v>229</v>
      </c>
      <c r="M109" s="15">
        <f>SUM(N106:N115)/10</f>
        <v>17.2</v>
      </c>
      <c r="N109" s="15">
        <v>33</v>
      </c>
      <c r="O109" s="15">
        <v>4</v>
      </c>
      <c r="P109" s="15">
        <f t="shared" si="5"/>
        <v>249.64000000000001</v>
      </c>
    </row>
    <row r="110" spans="1:16">
      <c r="B110" s="15"/>
      <c r="C110" s="15"/>
      <c r="D110" s="15"/>
      <c r="E110" s="15"/>
      <c r="F110" s="15"/>
      <c r="G110" s="15"/>
      <c r="K110" s="15" t="s">
        <v>226</v>
      </c>
      <c r="L110" s="15" t="s">
        <v>230</v>
      </c>
      <c r="M110" s="15">
        <f>SUM(N106:N115)/10</f>
        <v>17.2</v>
      </c>
      <c r="N110" s="15">
        <v>17</v>
      </c>
      <c r="O110" s="15">
        <v>8</v>
      </c>
      <c r="P110" s="15">
        <f t="shared" si="5"/>
        <v>3.9999999999999716E-2</v>
      </c>
    </row>
    <row r="111" spans="1:16">
      <c r="B111" s="15" t="s">
        <v>224</v>
      </c>
      <c r="C111" s="15" t="s">
        <v>117</v>
      </c>
      <c r="D111" s="15">
        <f>SUM(E111:E120)/10</f>
        <v>12.7</v>
      </c>
      <c r="E111" s="15">
        <v>11</v>
      </c>
      <c r="F111" s="15">
        <v>10</v>
      </c>
      <c r="G111" s="15">
        <f>(E111-D111)^2</f>
        <v>2.8899999999999975</v>
      </c>
      <c r="K111" s="15" t="s">
        <v>226</v>
      </c>
      <c r="L111" s="15" t="s">
        <v>231</v>
      </c>
      <c r="M111" s="15">
        <f>SUM(N106:N115)/10</f>
        <v>17.2</v>
      </c>
      <c r="N111" s="15">
        <v>12</v>
      </c>
      <c r="O111" s="15">
        <v>12</v>
      </c>
      <c r="P111" s="15">
        <f t="shared" si="5"/>
        <v>27.039999999999992</v>
      </c>
    </row>
    <row r="112" spans="1:16">
      <c r="B112" s="15" t="s">
        <v>224</v>
      </c>
      <c r="C112" s="15" t="s">
        <v>236</v>
      </c>
      <c r="D112" s="15">
        <f>SUM(E111:E120)/10</f>
        <v>12.7</v>
      </c>
      <c r="E112" s="15">
        <v>13</v>
      </c>
      <c r="F112" s="15">
        <v>16</v>
      </c>
      <c r="G112" s="15">
        <f t="shared" ref="G112:G120" si="6">(E112-D112)^2</f>
        <v>9.0000000000000427E-2</v>
      </c>
      <c r="K112" s="15" t="s">
        <v>226</v>
      </c>
      <c r="L112" s="15" t="s">
        <v>232</v>
      </c>
      <c r="M112" s="15">
        <f>SUM(N106:N115)/10</f>
        <v>17.2</v>
      </c>
      <c r="N112" s="15">
        <v>13</v>
      </c>
      <c r="O112" s="15">
        <v>14</v>
      </c>
      <c r="P112" s="15">
        <f t="shared" si="5"/>
        <v>17.639999999999993</v>
      </c>
    </row>
    <row r="113" spans="1:16">
      <c r="B113" s="15" t="s">
        <v>224</v>
      </c>
      <c r="C113" s="15" t="s">
        <v>237</v>
      </c>
      <c r="D113" s="15">
        <f>SUM(E111:E120)/10</f>
        <v>12.7</v>
      </c>
      <c r="E113" s="15">
        <v>11</v>
      </c>
      <c r="F113" s="15">
        <v>12</v>
      </c>
      <c r="G113" s="15">
        <f t="shared" si="6"/>
        <v>2.8899999999999975</v>
      </c>
      <c r="K113" s="15" t="s">
        <v>226</v>
      </c>
      <c r="L113" s="15" t="s">
        <v>233</v>
      </c>
      <c r="M113" s="15">
        <f>SUM(N106:N115)/10</f>
        <v>17.2</v>
      </c>
      <c r="N113" s="15">
        <v>10</v>
      </c>
      <c r="O113" s="15">
        <v>20</v>
      </c>
      <c r="P113" s="15">
        <f t="shared" si="5"/>
        <v>51.839999999999989</v>
      </c>
    </row>
    <row r="114" spans="1:16">
      <c r="B114" s="15" t="s">
        <v>224</v>
      </c>
      <c r="C114" s="15" t="s">
        <v>238</v>
      </c>
      <c r="D114" s="15">
        <f>SUM(E111:E120)/10</f>
        <v>12.7</v>
      </c>
      <c r="E114" s="15">
        <v>16</v>
      </c>
      <c r="F114" s="15">
        <v>12</v>
      </c>
      <c r="G114" s="15">
        <f t="shared" si="6"/>
        <v>10.890000000000004</v>
      </c>
      <c r="K114" s="15" t="s">
        <v>226</v>
      </c>
      <c r="L114" s="15" t="s">
        <v>234</v>
      </c>
      <c r="M114" s="15">
        <f>SUM(N106:N115)/10</f>
        <v>17.2</v>
      </c>
      <c r="N114" s="15">
        <v>10</v>
      </c>
      <c r="O114" s="15">
        <v>10</v>
      </c>
      <c r="P114" s="15">
        <f t="shared" si="5"/>
        <v>51.839999999999989</v>
      </c>
    </row>
    <row r="115" spans="1:16">
      <c r="B115" s="15" t="s">
        <v>224</v>
      </c>
      <c r="C115" s="15" t="s">
        <v>239</v>
      </c>
      <c r="D115" s="15">
        <f>SUM(E111:E120)/10</f>
        <v>12.7</v>
      </c>
      <c r="E115" s="15">
        <v>12</v>
      </c>
      <c r="F115" s="15">
        <v>6</v>
      </c>
      <c r="G115" s="15">
        <f t="shared" si="6"/>
        <v>0.48999999999999899</v>
      </c>
      <c r="K115" s="15" t="s">
        <v>226</v>
      </c>
      <c r="L115" s="15" t="s">
        <v>235</v>
      </c>
      <c r="M115" s="15">
        <f>SUM(N106:N115)/10</f>
        <v>17.2</v>
      </c>
      <c r="N115" s="15">
        <v>10</v>
      </c>
      <c r="O115" s="15">
        <v>9</v>
      </c>
      <c r="P115" s="15">
        <f t="shared" si="5"/>
        <v>51.839999999999989</v>
      </c>
    </row>
    <row r="116" spans="1:16">
      <c r="B116" s="15" t="s">
        <v>224</v>
      </c>
      <c r="C116" s="15" t="s">
        <v>240</v>
      </c>
      <c r="D116" s="15">
        <f>SUM(E111:E120)/10</f>
        <v>12.7</v>
      </c>
      <c r="E116" s="15">
        <v>8</v>
      </c>
      <c r="F116" s="15">
        <v>14</v>
      </c>
      <c r="G116" s="15">
        <f t="shared" si="6"/>
        <v>22.089999999999993</v>
      </c>
    </row>
    <row r="117" spans="1:16">
      <c r="B117" s="15" t="s">
        <v>224</v>
      </c>
      <c r="C117" s="15" t="s">
        <v>241</v>
      </c>
      <c r="D117" s="15">
        <f>SUM(E111:E120)/10</f>
        <v>12.7</v>
      </c>
      <c r="E117" s="15">
        <v>8</v>
      </c>
      <c r="F117" s="15">
        <v>11</v>
      </c>
      <c r="G117" s="15">
        <f t="shared" si="6"/>
        <v>22.089999999999993</v>
      </c>
      <c r="M117" t="s">
        <v>77</v>
      </c>
      <c r="O117">
        <f>SUM(P106:P115)</f>
        <v>577.6</v>
      </c>
    </row>
    <row r="118" spans="1:16">
      <c r="B118" s="15" t="s">
        <v>224</v>
      </c>
      <c r="C118" s="15" t="s">
        <v>242</v>
      </c>
      <c r="D118" s="15">
        <f>SUM(E111:E120)/10</f>
        <v>12.7</v>
      </c>
      <c r="E118" s="15">
        <v>22</v>
      </c>
      <c r="F118" s="15">
        <v>6</v>
      </c>
      <c r="G118" s="15">
        <f t="shared" si="6"/>
        <v>86.490000000000009</v>
      </c>
      <c r="M118" t="s">
        <v>187</v>
      </c>
      <c r="O118">
        <f>O117/10</f>
        <v>57.760000000000005</v>
      </c>
    </row>
    <row r="119" spans="1:16">
      <c r="B119" s="15" t="s">
        <v>224</v>
      </c>
      <c r="C119" s="15" t="s">
        <v>243</v>
      </c>
      <c r="D119" s="15">
        <f>SUM(E111:E120)/10</f>
        <v>12.7</v>
      </c>
      <c r="E119" s="15">
        <v>10</v>
      </c>
      <c r="F119" s="15">
        <v>7</v>
      </c>
      <c r="G119" s="15">
        <f t="shared" si="6"/>
        <v>7.2899999999999965</v>
      </c>
      <c r="J119" t="s">
        <v>170</v>
      </c>
      <c r="K119">
        <f>SUM(N106:N115)</f>
        <v>172</v>
      </c>
      <c r="M119" s="17" t="s">
        <v>80</v>
      </c>
      <c r="N119" s="17"/>
      <c r="O119" s="17">
        <f>SQRT(O118)</f>
        <v>7.6000000000000005</v>
      </c>
    </row>
    <row r="120" spans="1:16">
      <c r="B120" s="15" t="s">
        <v>224</v>
      </c>
      <c r="C120" s="15" t="s">
        <v>244</v>
      </c>
      <c r="D120" s="15">
        <f>SUM(E111:E120)/10</f>
        <v>12.7</v>
      </c>
      <c r="E120" s="15">
        <v>16</v>
      </c>
      <c r="F120" s="15">
        <v>8</v>
      </c>
      <c r="G120" s="15">
        <f t="shared" si="6"/>
        <v>10.890000000000004</v>
      </c>
      <c r="M120" t="s">
        <v>81</v>
      </c>
      <c r="O120" s="9">
        <f>SQRT(O118)</f>
        <v>7.6000000000000005</v>
      </c>
    </row>
    <row r="122" spans="1:16">
      <c r="D122" t="s">
        <v>77</v>
      </c>
      <c r="F122">
        <f>SUM(G111:G120)</f>
        <v>166.1</v>
      </c>
      <c r="M122" t="s">
        <v>188</v>
      </c>
      <c r="O122" s="9">
        <f>(1- NORMDIST(24.5,N22,O119,TRUE))*100</f>
        <v>16.839519653689937</v>
      </c>
      <c r="P122" t="s">
        <v>19</v>
      </c>
    </row>
    <row r="123" spans="1:16">
      <c r="D123" t="s">
        <v>187</v>
      </c>
      <c r="F123">
        <f>F122/10</f>
        <v>16.61</v>
      </c>
    </row>
    <row r="124" spans="1:16">
      <c r="D124" s="17" t="s">
        <v>80</v>
      </c>
      <c r="E124" s="17"/>
      <c r="F124" s="17">
        <f>SQRT(F123)</f>
        <v>4.0755367744629662</v>
      </c>
    </row>
    <row r="125" spans="1:16">
      <c r="D125" t="s">
        <v>81</v>
      </c>
      <c r="F125" s="9">
        <f>SQRT(F123)</f>
        <v>4.0755367744629662</v>
      </c>
    </row>
    <row r="126" spans="1:16">
      <c r="A126" t="s">
        <v>219</v>
      </c>
      <c r="B126">
        <f>SUM(E111:E120)</f>
        <v>127</v>
      </c>
    </row>
    <row r="127" spans="1:16">
      <c r="D127" t="s">
        <v>188</v>
      </c>
      <c r="F127" s="9">
        <f>(1- NORMDIST(24.5,C22,F124,TRUE))*100</f>
        <v>0.18938359808098326</v>
      </c>
      <c r="G127" t="s">
        <v>19</v>
      </c>
    </row>
    <row r="129" spans="2:16">
      <c r="L129" t="s">
        <v>191</v>
      </c>
      <c r="N129" t="s">
        <v>192</v>
      </c>
    </row>
    <row r="130" spans="2:16">
      <c r="E130" t="s">
        <v>220</v>
      </c>
      <c r="F130" t="s">
        <v>221</v>
      </c>
    </row>
    <row r="131" spans="2:16">
      <c r="C131" t="s">
        <v>191</v>
      </c>
      <c r="K131" s="15" t="s">
        <v>185</v>
      </c>
      <c r="L131" s="15" t="s">
        <v>186</v>
      </c>
      <c r="M131" s="15" t="s">
        <v>74</v>
      </c>
      <c r="N131" s="15" t="s">
        <v>138</v>
      </c>
      <c r="O131" s="15" t="s">
        <v>137</v>
      </c>
      <c r="P131" s="15" t="s">
        <v>75</v>
      </c>
    </row>
    <row r="132" spans="2:16">
      <c r="K132" s="15"/>
      <c r="L132" s="15"/>
      <c r="M132" s="15"/>
      <c r="N132" s="15"/>
      <c r="O132" s="15"/>
      <c r="P132" s="15"/>
    </row>
    <row r="133" spans="2:16">
      <c r="B133" s="15" t="s">
        <v>185</v>
      </c>
      <c r="C133" s="15" t="s">
        <v>186</v>
      </c>
      <c r="D133" s="15" t="s">
        <v>74</v>
      </c>
      <c r="E133" s="15" t="s">
        <v>137</v>
      </c>
      <c r="F133" s="15" t="s">
        <v>138</v>
      </c>
      <c r="G133" s="15" t="s">
        <v>75</v>
      </c>
      <c r="K133" s="15" t="s">
        <v>226</v>
      </c>
      <c r="L133" s="15" t="s">
        <v>227</v>
      </c>
      <c r="M133" s="15">
        <f>SUM(N133:N142)/10</f>
        <v>2.5</v>
      </c>
      <c r="N133" s="2">
        <v>3</v>
      </c>
      <c r="O133" s="2">
        <v>4</v>
      </c>
      <c r="P133" s="15">
        <f>(N133-M133)^2</f>
        <v>0.25</v>
      </c>
    </row>
    <row r="134" spans="2:16">
      <c r="B134" s="15"/>
      <c r="C134" s="15"/>
      <c r="D134" s="15"/>
      <c r="E134" s="15"/>
      <c r="F134" s="15"/>
      <c r="G134" s="15"/>
      <c r="K134" s="15" t="s">
        <v>226</v>
      </c>
      <c r="L134" s="15" t="s">
        <v>61</v>
      </c>
      <c r="M134" s="15">
        <f>SUM(N133:N142)/10</f>
        <v>2.5</v>
      </c>
      <c r="N134" s="2">
        <v>5</v>
      </c>
      <c r="O134" s="2">
        <v>5</v>
      </c>
      <c r="P134" s="15">
        <f t="shared" ref="P134:P142" si="7">(N134-M134)^2</f>
        <v>6.25</v>
      </c>
    </row>
    <row r="135" spans="2:16">
      <c r="B135" s="15" t="s">
        <v>224</v>
      </c>
      <c r="C135" s="15" t="s">
        <v>117</v>
      </c>
      <c r="D135" s="15">
        <f>SUM(E135:E144)/10</f>
        <v>2.1</v>
      </c>
      <c r="E135" s="15">
        <v>1</v>
      </c>
      <c r="F135" s="15">
        <v>2</v>
      </c>
      <c r="G135" s="15">
        <f>(E135-D135)^2</f>
        <v>1.2100000000000002</v>
      </c>
      <c r="K135" s="15" t="s">
        <v>226</v>
      </c>
      <c r="L135" s="15" t="s">
        <v>228</v>
      </c>
      <c r="M135" s="15">
        <f>SUM(N133:N142)/10</f>
        <v>2.5</v>
      </c>
      <c r="N135" s="2">
        <v>4</v>
      </c>
      <c r="O135" s="2">
        <v>2</v>
      </c>
      <c r="P135" s="15">
        <f t="shared" si="7"/>
        <v>2.25</v>
      </c>
    </row>
    <row r="136" spans="2:16">
      <c r="B136" s="15" t="s">
        <v>224</v>
      </c>
      <c r="C136" s="15" t="s">
        <v>236</v>
      </c>
      <c r="D136" s="15">
        <f>SUM(E135:E144)/10</f>
        <v>2.1</v>
      </c>
      <c r="E136" s="15">
        <v>3</v>
      </c>
      <c r="F136" s="15">
        <v>3</v>
      </c>
      <c r="G136" s="15">
        <f t="shared" ref="G136:G144" si="8">(E136-D136)^2</f>
        <v>0.80999999999999983</v>
      </c>
      <c r="K136" s="15" t="s">
        <v>226</v>
      </c>
      <c r="L136" s="15" t="s">
        <v>229</v>
      </c>
      <c r="M136" s="15">
        <f>SUM(N133:N142)/10</f>
        <v>2.5</v>
      </c>
      <c r="N136" s="2">
        <v>0</v>
      </c>
      <c r="O136" s="2">
        <v>1</v>
      </c>
      <c r="P136" s="15">
        <f t="shared" si="7"/>
        <v>6.25</v>
      </c>
    </row>
    <row r="137" spans="2:16">
      <c r="B137" s="15" t="s">
        <v>224</v>
      </c>
      <c r="C137" s="15" t="s">
        <v>237</v>
      </c>
      <c r="D137" s="15">
        <f>SUM(E135:E144)/10</f>
        <v>2.1</v>
      </c>
      <c r="E137" s="15">
        <v>3</v>
      </c>
      <c r="F137" s="15">
        <v>2</v>
      </c>
      <c r="G137" s="15">
        <f t="shared" si="8"/>
        <v>0.80999999999999983</v>
      </c>
      <c r="K137" s="15" t="s">
        <v>226</v>
      </c>
      <c r="L137" s="15" t="s">
        <v>230</v>
      </c>
      <c r="M137" s="15">
        <f>SUM(N133:N142)/10</f>
        <v>2.5</v>
      </c>
      <c r="N137" s="2">
        <v>4</v>
      </c>
      <c r="O137" s="2">
        <v>2</v>
      </c>
      <c r="P137" s="15">
        <f t="shared" si="7"/>
        <v>2.25</v>
      </c>
    </row>
    <row r="138" spans="2:16">
      <c r="B138" s="15" t="s">
        <v>224</v>
      </c>
      <c r="C138" s="15" t="s">
        <v>238</v>
      </c>
      <c r="D138" s="15">
        <f>SUM(E135:E144)/10</f>
        <v>2.1</v>
      </c>
      <c r="E138" s="15">
        <v>0</v>
      </c>
      <c r="F138" s="15">
        <v>2</v>
      </c>
      <c r="G138" s="15">
        <f t="shared" si="8"/>
        <v>4.41</v>
      </c>
      <c r="K138" s="15" t="s">
        <v>226</v>
      </c>
      <c r="L138" s="15" t="s">
        <v>231</v>
      </c>
      <c r="M138" s="15">
        <f>SUM(N133:N142)/10</f>
        <v>2.5</v>
      </c>
      <c r="N138" s="2">
        <v>0</v>
      </c>
      <c r="O138" s="2">
        <v>2</v>
      </c>
      <c r="P138" s="15">
        <f t="shared" si="7"/>
        <v>6.25</v>
      </c>
    </row>
    <row r="139" spans="2:16">
      <c r="B139" s="15" t="s">
        <v>224</v>
      </c>
      <c r="C139" s="15" t="s">
        <v>239</v>
      </c>
      <c r="D139" s="15">
        <f>SUM(E135:E144)/10</f>
        <v>2.1</v>
      </c>
      <c r="E139" s="15">
        <v>2</v>
      </c>
      <c r="F139" s="15">
        <v>2</v>
      </c>
      <c r="G139" s="15">
        <f t="shared" si="8"/>
        <v>1.0000000000000018E-2</v>
      </c>
      <c r="K139" s="15" t="s">
        <v>226</v>
      </c>
      <c r="L139" s="15" t="s">
        <v>232</v>
      </c>
      <c r="M139" s="15">
        <f>SUM(N133:N142)/10</f>
        <v>2.5</v>
      </c>
      <c r="N139" s="2">
        <v>2</v>
      </c>
      <c r="O139" s="2">
        <v>4</v>
      </c>
      <c r="P139" s="15">
        <f t="shared" si="7"/>
        <v>0.25</v>
      </c>
    </row>
    <row r="140" spans="2:16">
      <c r="B140" s="15" t="s">
        <v>224</v>
      </c>
      <c r="C140" s="15" t="s">
        <v>240</v>
      </c>
      <c r="D140" s="15">
        <f>SUM(E135:E144)/10</f>
        <v>2.1</v>
      </c>
      <c r="E140" s="15">
        <v>5</v>
      </c>
      <c r="F140" s="15">
        <v>1</v>
      </c>
      <c r="G140" s="15">
        <f t="shared" si="8"/>
        <v>8.41</v>
      </c>
      <c r="K140" s="15" t="s">
        <v>226</v>
      </c>
      <c r="L140" s="15" t="s">
        <v>233</v>
      </c>
      <c r="M140" s="15">
        <f>SUM(N133:N142)/10</f>
        <v>2.5</v>
      </c>
      <c r="N140" s="2">
        <v>2</v>
      </c>
      <c r="O140" s="2">
        <v>1</v>
      </c>
      <c r="P140" s="15">
        <f t="shared" si="7"/>
        <v>0.25</v>
      </c>
    </row>
    <row r="141" spans="2:16">
      <c r="B141" s="15" t="s">
        <v>224</v>
      </c>
      <c r="C141" s="15" t="s">
        <v>241</v>
      </c>
      <c r="D141" s="15">
        <f>SUM(E135:E144)/10</f>
        <v>2.1</v>
      </c>
      <c r="E141" s="15">
        <v>1</v>
      </c>
      <c r="F141" s="15">
        <v>1</v>
      </c>
      <c r="G141" s="15">
        <f t="shared" si="8"/>
        <v>1.2100000000000002</v>
      </c>
      <c r="K141" s="15" t="s">
        <v>226</v>
      </c>
      <c r="L141" s="15" t="s">
        <v>234</v>
      </c>
      <c r="M141" s="15">
        <f>SUM(N133:N142)/10</f>
        <v>2.5</v>
      </c>
      <c r="N141" s="2">
        <v>2</v>
      </c>
      <c r="O141" s="2">
        <v>3</v>
      </c>
      <c r="P141" s="15">
        <f t="shared" si="7"/>
        <v>0.25</v>
      </c>
    </row>
    <row r="142" spans="2:16">
      <c r="B142" s="15" t="s">
        <v>224</v>
      </c>
      <c r="C142" s="15" t="s">
        <v>242</v>
      </c>
      <c r="D142" s="15">
        <f>SUM(E135:E144)/10</f>
        <v>2.1</v>
      </c>
      <c r="E142" s="15">
        <v>0</v>
      </c>
      <c r="F142" s="15">
        <v>5</v>
      </c>
      <c r="G142" s="15">
        <f t="shared" si="8"/>
        <v>4.41</v>
      </c>
      <c r="K142" s="15" t="s">
        <v>226</v>
      </c>
      <c r="L142" s="15" t="s">
        <v>235</v>
      </c>
      <c r="M142" s="15">
        <f>SUM(N133:N142)/10</f>
        <v>2.5</v>
      </c>
      <c r="N142" s="2">
        <v>3</v>
      </c>
      <c r="O142" s="2">
        <v>3</v>
      </c>
      <c r="P142" s="15">
        <f t="shared" si="7"/>
        <v>0.25</v>
      </c>
    </row>
    <row r="143" spans="2:16">
      <c r="B143" s="15" t="s">
        <v>224</v>
      </c>
      <c r="C143" s="15" t="s">
        <v>243</v>
      </c>
      <c r="D143" s="15">
        <f>SUM(E135:E144)/10</f>
        <v>2.1</v>
      </c>
      <c r="E143" s="15">
        <v>4</v>
      </c>
      <c r="F143" s="15">
        <v>1</v>
      </c>
      <c r="G143" s="15">
        <f t="shared" si="8"/>
        <v>3.61</v>
      </c>
    </row>
    <row r="144" spans="2:16">
      <c r="B144" s="15" t="s">
        <v>224</v>
      </c>
      <c r="C144" s="15" t="s">
        <v>244</v>
      </c>
      <c r="D144" s="15">
        <f>SUM(E135:E144)/10</f>
        <v>2.1</v>
      </c>
      <c r="E144" s="15">
        <v>2</v>
      </c>
      <c r="F144" s="15">
        <v>3</v>
      </c>
      <c r="G144" s="15">
        <f t="shared" si="8"/>
        <v>1.0000000000000018E-2</v>
      </c>
      <c r="M144" t="s">
        <v>77</v>
      </c>
      <c r="O144">
        <f>SUM(P133:P142)</f>
        <v>24.5</v>
      </c>
    </row>
    <row r="145" spans="1:16">
      <c r="M145" t="s">
        <v>187</v>
      </c>
      <c r="O145">
        <f>O144/10</f>
        <v>2.4500000000000002</v>
      </c>
    </row>
    <row r="146" spans="1:16">
      <c r="D146" t="s">
        <v>77</v>
      </c>
      <c r="F146">
        <f>SUM(G135:G144)</f>
        <v>24.900000000000002</v>
      </c>
      <c r="M146" s="17" t="s">
        <v>80</v>
      </c>
      <c r="N146" s="17"/>
      <c r="O146" s="17">
        <f>SQRT(O145)</f>
        <v>1.5652475842498528</v>
      </c>
    </row>
    <row r="147" spans="1:16">
      <c r="D147" t="s">
        <v>187</v>
      </c>
      <c r="F147">
        <f>F146/10</f>
        <v>2.4900000000000002</v>
      </c>
      <c r="M147" t="s">
        <v>81</v>
      </c>
      <c r="O147" s="9">
        <f>SQRT(O145)</f>
        <v>1.5652475842498528</v>
      </c>
    </row>
    <row r="148" spans="1:16">
      <c r="D148" s="17" t="s">
        <v>80</v>
      </c>
      <c r="E148" s="17"/>
      <c r="F148" s="17">
        <f>SQRT(F147)</f>
        <v>1.57797338380595</v>
      </c>
    </row>
    <row r="149" spans="1:16">
      <c r="D149" t="s">
        <v>81</v>
      </c>
      <c r="F149" s="9">
        <f>SQRT(F147)</f>
        <v>1.57797338380595</v>
      </c>
      <c r="M149" t="s">
        <v>188</v>
      </c>
      <c r="O149" s="9">
        <f>(1- NORMDIST(3.5,N24,O146,TRUE))*100</f>
        <v>26.145161725633525</v>
      </c>
      <c r="P149" t="s">
        <v>19</v>
      </c>
    </row>
    <row r="150" spans="1:16">
      <c r="A150" t="s">
        <v>222</v>
      </c>
      <c r="B150">
        <f>SUM(E135:E144)</f>
        <v>21</v>
      </c>
    </row>
    <row r="151" spans="1:16">
      <c r="D151" t="s">
        <v>188</v>
      </c>
      <c r="F151" s="9">
        <f>(1- NORMDIST(3.5,C24,F148,TRUE))*100</f>
        <v>18.748186145634605</v>
      </c>
      <c r="G151" t="s">
        <v>19</v>
      </c>
    </row>
    <row r="153" spans="1:16">
      <c r="J153" t="s">
        <v>223</v>
      </c>
      <c r="K153">
        <f>SUM(N133:N142)</f>
        <v>25</v>
      </c>
    </row>
  </sheetData>
  <pageMargins left="0.7" right="0.7" top="0.75" bottom="0.75" header="0.3" footer="0.3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Luis Amadeo CARRASCO HUARCAYA</cp:lastModifiedBy>
  <cp:revision/>
  <dcterms:created xsi:type="dcterms:W3CDTF">2025-01-20T10:39:01Z</dcterms:created>
  <dcterms:modified xsi:type="dcterms:W3CDTF">2025-01-30T05:36:31Z</dcterms:modified>
  <cp:category/>
  <cp:contentStatus/>
</cp:coreProperties>
</file>