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Book chapter 13-3-2025\"/>
    </mc:Choice>
  </mc:AlternateContent>
  <xr:revisionPtr revIDLastSave="0" documentId="13_ncr:1_{610DA7F4-BA80-4D2C-BB2B-BE87C6CCAD9A}" xr6:coauthVersionLast="47" xr6:coauthVersionMax="47" xr10:uidLastSave="{00000000-0000-0000-0000-000000000000}"/>
  <bookViews>
    <workbookView xWindow="30765" yWindow="3555" windowWidth="21600" windowHeight="12645" activeTab="2" xr2:uid="{00000000-000D-0000-FFFF-FFFF00000000}"/>
  </bookViews>
  <sheets>
    <sheet name="Configuration" sheetId="1" r:id="rId1"/>
    <sheet name="Day1" sheetId="2" r:id="rId2"/>
    <sheet name="KPI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3" l="1"/>
  <c r="D9" i="3" a="1"/>
  <c r="D9" i="3" s="1"/>
  <c r="B15" i="3" l="1"/>
  <c r="B10" i="3" a="1"/>
  <c r="B10" i="3" s="1"/>
  <c r="B9" i="3"/>
  <c r="D10" i="3"/>
  <c r="AR25" i="2" l="1"/>
  <c r="AQ25" i="2"/>
  <c r="AO25" i="2"/>
  <c r="AN25" i="2"/>
  <c r="AM25" i="2"/>
  <c r="AL25" i="2"/>
  <c r="AK25" i="2"/>
  <c r="AT25" i="2" s="1"/>
  <c r="AJ25" i="2"/>
  <c r="AS25" i="2" s="1"/>
  <c r="AR24" i="2"/>
  <c r="AQ24" i="2"/>
  <c r="AO24" i="2"/>
  <c r="AN24" i="2"/>
  <c r="AM24" i="2"/>
  <c r="AL24" i="2"/>
  <c r="AK24" i="2"/>
  <c r="AJ24" i="2"/>
  <c r="AS24" i="2" s="1"/>
  <c r="AR23" i="2"/>
  <c r="AQ23" i="2"/>
  <c r="AO23" i="2"/>
  <c r="AN23" i="2"/>
  <c r="AM23" i="2"/>
  <c r="AL23" i="2"/>
  <c r="AK23" i="2"/>
  <c r="AT23" i="2" s="1"/>
  <c r="AJ23" i="2"/>
  <c r="AP23" i="2" s="1"/>
  <c r="AR22" i="2"/>
  <c r="AQ22" i="2"/>
  <c r="AO22" i="2"/>
  <c r="AN22" i="2"/>
  <c r="AM22" i="2"/>
  <c r="AL22" i="2"/>
  <c r="AK22" i="2"/>
  <c r="AJ22" i="2"/>
  <c r="AS22" i="2" s="1"/>
  <c r="AR21" i="2"/>
  <c r="AQ21" i="2"/>
  <c r="AO21" i="2"/>
  <c r="AN21" i="2"/>
  <c r="AM21" i="2"/>
  <c r="AL21" i="2"/>
  <c r="AK21" i="2"/>
  <c r="AT21" i="2" s="1"/>
  <c r="AJ21" i="2"/>
  <c r="AR20" i="2"/>
  <c r="AQ20" i="2"/>
  <c r="AO20" i="2"/>
  <c r="AN20" i="2"/>
  <c r="AM20" i="2"/>
  <c r="AL20" i="2"/>
  <c r="AK20" i="2"/>
  <c r="AJ20" i="2"/>
  <c r="AS20" i="2" s="1"/>
  <c r="AR19" i="2"/>
  <c r="AQ19" i="2"/>
  <c r="AO19" i="2"/>
  <c r="AN19" i="2"/>
  <c r="AM19" i="2"/>
  <c r="AL19" i="2"/>
  <c r="AK19" i="2"/>
  <c r="AT19" i="2" s="1"/>
  <c r="AJ19" i="2"/>
  <c r="AS19" i="2" s="1"/>
  <c r="AR18" i="2"/>
  <c r="AQ18" i="2"/>
  <c r="AO18" i="2"/>
  <c r="AN18" i="2"/>
  <c r="AM18" i="2"/>
  <c r="AL18" i="2"/>
  <c r="AK18" i="2"/>
  <c r="AJ18" i="2"/>
  <c r="AP18" i="2" s="1"/>
  <c r="AR17" i="2"/>
  <c r="AQ17" i="2"/>
  <c r="AO17" i="2"/>
  <c r="AN17" i="2"/>
  <c r="AM17" i="2"/>
  <c r="AL17" i="2"/>
  <c r="AK17" i="2"/>
  <c r="AJ17" i="2"/>
  <c r="AR16" i="2"/>
  <c r="AQ16" i="2"/>
  <c r="AO16" i="2"/>
  <c r="AN16" i="2"/>
  <c r="AM16" i="2"/>
  <c r="AL16" i="2"/>
  <c r="AK16" i="2"/>
  <c r="AP16" i="2" s="1"/>
  <c r="AJ16" i="2"/>
  <c r="AR15" i="2"/>
  <c r="AQ15" i="2"/>
  <c r="AO15" i="2"/>
  <c r="AN15" i="2"/>
  <c r="AM15" i="2"/>
  <c r="AL15" i="2"/>
  <c r="AK15" i="2"/>
  <c r="AJ15" i="2"/>
  <c r="AR14" i="2"/>
  <c r="AQ14" i="2"/>
  <c r="AO14" i="2"/>
  <c r="AN14" i="2"/>
  <c r="AM14" i="2"/>
  <c r="AL14" i="2"/>
  <c r="AK14" i="2"/>
  <c r="AJ14" i="2"/>
  <c r="AR13" i="2"/>
  <c r="AQ13" i="2"/>
  <c r="AO13" i="2"/>
  <c r="AN13" i="2"/>
  <c r="AM13" i="2"/>
  <c r="AL13" i="2"/>
  <c r="AK13" i="2"/>
  <c r="AJ13" i="2"/>
  <c r="AR12" i="2"/>
  <c r="AQ12" i="2"/>
  <c r="AO12" i="2"/>
  <c r="AN12" i="2"/>
  <c r="AM12" i="2"/>
  <c r="AL12" i="2"/>
  <c r="AK12" i="2"/>
  <c r="AJ12" i="2"/>
  <c r="AR11" i="2"/>
  <c r="AQ11" i="2"/>
  <c r="AO11" i="2"/>
  <c r="AN11" i="2"/>
  <c r="AM11" i="2"/>
  <c r="AL11" i="2"/>
  <c r="AK11" i="2"/>
  <c r="AJ11" i="2"/>
  <c r="AR10" i="2"/>
  <c r="AQ10" i="2"/>
  <c r="AO10" i="2"/>
  <c r="AN10" i="2"/>
  <c r="AM10" i="2"/>
  <c r="AL10" i="2"/>
  <c r="AK10" i="2"/>
  <c r="AJ10" i="2"/>
  <c r="AR9" i="2"/>
  <c r="AQ9" i="2"/>
  <c r="AO9" i="2"/>
  <c r="AN9" i="2"/>
  <c r="AM9" i="2"/>
  <c r="AL9" i="2"/>
  <c r="AK9" i="2"/>
  <c r="AJ9" i="2"/>
  <c r="AR8" i="2"/>
  <c r="AQ8" i="2"/>
  <c r="AO8" i="2"/>
  <c r="AN8" i="2"/>
  <c r="AM8" i="2"/>
  <c r="AL8" i="2"/>
  <c r="AK8" i="2"/>
  <c r="AJ8" i="2"/>
  <c r="AR7" i="2"/>
  <c r="AQ7" i="2"/>
  <c r="AO7" i="2"/>
  <c r="AN7" i="2"/>
  <c r="AM7" i="2"/>
  <c r="AL7" i="2"/>
  <c r="AK7" i="2"/>
  <c r="AJ7" i="2"/>
  <c r="AR6" i="2"/>
  <c r="AQ6" i="2"/>
  <c r="AO6" i="2"/>
  <c r="AN6" i="2"/>
  <c r="AM6" i="2"/>
  <c r="AL6" i="2"/>
  <c r="AP6" i="2" s="1"/>
  <c r="AK6" i="2"/>
  <c r="AJ6" i="2"/>
  <c r="AR5" i="2"/>
  <c r="AQ5" i="2"/>
  <c r="AS5" i="2" s="1"/>
  <c r="AO5" i="2"/>
  <c r="AN5" i="2"/>
  <c r="AM5" i="2"/>
  <c r="AL5" i="2"/>
  <c r="AK5" i="2"/>
  <c r="AJ5" i="2"/>
  <c r="AR4" i="2"/>
  <c r="AQ4" i="2"/>
  <c r="AO4" i="2"/>
  <c r="AN4" i="2"/>
  <c r="AM4" i="2"/>
  <c r="AL4" i="2"/>
  <c r="AK4" i="2"/>
  <c r="AJ4" i="2"/>
  <c r="AR3" i="2"/>
  <c r="AQ3" i="2"/>
  <c r="AO3" i="2"/>
  <c r="AN3" i="2"/>
  <c r="AM3" i="2"/>
  <c r="AL3" i="2"/>
  <c r="AK3" i="2"/>
  <c r="AJ3" i="2"/>
  <c r="AR2" i="2"/>
  <c r="AQ2" i="2"/>
  <c r="AO2" i="2"/>
  <c r="AN2" i="2"/>
  <c r="AM2" i="2"/>
  <c r="D12" i="3" s="1"/>
  <c r="AL2" i="2"/>
  <c r="D11" i="3" s="1" a="1"/>
  <c r="D11" i="3" s="1"/>
  <c r="AK2" i="2"/>
  <c r="AJ2" i="2"/>
  <c r="AS17" i="2" l="1"/>
  <c r="AT13" i="2"/>
  <c r="AT9" i="2"/>
  <c r="AT12" i="2"/>
  <c r="AT11" i="2"/>
  <c r="AT14" i="2"/>
  <c r="D1" i="3"/>
  <c r="AP11" i="2"/>
  <c r="AP22" i="2"/>
  <c r="AT4" i="2"/>
  <c r="AT2" i="2"/>
  <c r="AP2" i="2"/>
  <c r="B11" i="3" a="1"/>
  <c r="B11" i="3" s="1"/>
  <c r="AT10" i="2"/>
  <c r="AS21" i="2"/>
  <c r="AP7" i="2"/>
  <c r="AP13" i="2"/>
  <c r="AT20" i="2"/>
  <c r="AT24" i="2"/>
  <c r="AS16" i="2"/>
  <c r="AS3" i="2"/>
  <c r="AS4" i="2"/>
  <c r="AS6" i="2"/>
  <c r="AS8" i="2"/>
  <c r="AS9" i="2"/>
  <c r="AS11" i="2"/>
  <c r="AS12" i="2"/>
  <c r="AS14" i="2"/>
  <c r="AS15" i="2"/>
  <c r="AT5" i="2"/>
  <c r="AT6" i="2"/>
  <c r="AT7" i="2"/>
  <c r="AT3" i="2"/>
  <c r="AT8" i="2"/>
  <c r="AT17" i="2"/>
  <c r="AS23" i="2"/>
  <c r="AP19" i="2"/>
  <c r="AP5" i="2"/>
  <c r="AP8" i="2"/>
  <c r="AP15" i="2"/>
  <c r="AT16" i="2"/>
  <c r="AT18" i="2"/>
  <c r="AS7" i="2"/>
  <c r="AP10" i="2"/>
  <c r="AS13" i="2"/>
  <c r="AP14" i="2"/>
  <c r="AT22" i="2"/>
  <c r="AP3" i="2"/>
  <c r="AP21" i="2"/>
  <c r="AP24" i="2"/>
  <c r="AS2" i="2"/>
  <c r="AS10" i="2"/>
  <c r="AT15" i="2"/>
  <c r="AS18" i="2"/>
  <c r="AP9" i="2"/>
  <c r="AP17" i="2"/>
  <c r="AP25" i="2"/>
  <c r="AP4" i="2"/>
  <c r="AP12" i="2"/>
  <c r="AP20" i="2"/>
  <c r="B3" i="3" l="1" a="1"/>
  <c r="B3" i="3" s="1"/>
  <c r="B1" i="3"/>
  <c r="G1" i="3"/>
  <c r="D12" i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tc={51FEA547-A6D5-488A-A0BF-1E8B7F033D36}</author>
  </authors>
  <commentList>
    <comment ref="AJ1" authorId="0" shapeId="0" xr:uid="{51FEA547-A6D5-488A-A0BF-1E8B7F033D36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<sst xmlns="http://schemas.openxmlformats.org/spreadsheetml/2006/main" count="119" uniqueCount="103">
  <si>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</si>
  <si>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</si>
  <si>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</si>
  <si>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</si>
  <si>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</si>
  <si>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</si>
  <si>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</si>
  <si>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</si>
  <si>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</si>
  <si>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</si>
  <si>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</si>
  <si>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</si>
  <si>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</si>
  <si>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</si>
  <si>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</si>
  <si>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</si>
  <si>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</si>
  <si>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</si>
  <si>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</si>
  <si>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</si>
  <si>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</si>
  <si>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</si>
  <si>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</si>
  <si>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</si>
  <si>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</si>
  <si>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</si>
  <si>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</si>
  <si>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</si>
  <si>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</si>
  <si>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</si>
  <si>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</si>
  <si>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</si>
  <si>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</si>
  <si>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</si>
  <si>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</si>
  <si>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</si>
  <si>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</si>
  <si>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</si>
  <si>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</si>
  <si>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</si>
  <si>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</si>
  <si>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</si>
  <si>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</si>
  <si>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</si>
  <si>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</si>
  <si>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</si>
  <si>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</si>
  <si>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</si>
  <si>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</si>
  <si>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</si>
  <si>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</si>
  <si>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</si>
  <si>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</si>
  <si>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</si>
  <si>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</si>
  <si>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</si>
  <si>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</si>
  <si>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</si>
  <si>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</si>
  <si>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</si>
  <si>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</si>
  <si>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</si>
  <si>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</si>
  <si>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</si>
  <si>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</si>
  <si>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</si>
  <si>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</si>
  <si>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</si>
  <si>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</si>
  <si>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</si>
  <si>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</si>
  <si>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</si>
  <si>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</si>
  <si>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</si>
  <si>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</si>
  <si>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</si>
  <si>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</si>
  <si>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</si>
  <si>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</si>
  <si>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</si>
  <si>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median of price</t>
  </si>
  <si>
    <t>Low price</t>
  </si>
  <si>
    <t>High price</t>
  </si>
  <si>
    <t>import in LPT</t>
  </si>
  <si>
    <t>Export in HPT</t>
  </si>
  <si>
    <t>El Energy Efficiency</t>
  </si>
  <si>
    <t>Th Energy Efficiency</t>
  </si>
  <si>
    <t>EL:</t>
  </si>
  <si>
    <t>Th</t>
  </si>
  <si>
    <t>T</t>
  </si>
  <si>
    <t>P_c_Ctbu_1</t>
  </si>
  <si>
    <t>P_c_Ctbu_2</t>
  </si>
  <si>
    <t>P_c_Ctbu_3</t>
  </si>
  <si>
    <t>P_c_Ctbu_4</t>
  </si>
  <si>
    <t>P_c_Ctbu_5</t>
  </si>
  <si>
    <t>P_c_Ctbu_6</t>
  </si>
  <si>
    <t>P_c_Ctbu_7</t>
  </si>
  <si>
    <t>P_c_Ctbu_8</t>
  </si>
  <si>
    <t>P_c_Ctbu_9</t>
  </si>
  <si>
    <t>P_c_Ctbu_10</t>
  </si>
  <si>
    <t>P_c_Ctbu_11</t>
  </si>
  <si>
    <t>P_c_Ctbu_12</t>
  </si>
  <si>
    <t>RC_SPMp_swPP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</si>
</sst>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5717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3" borderId="1" xfId="0" applyFont="1" applyFill="1" applyBorder="1"/>
    <xf numFmtId="0" fontId="0" fillId="4" borderId="0" xfId="0" applyFill="1"/>
    <xf numFmtId="0" fontId="0" fillId="3" borderId="0" xfId="0" applyFill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0" xfId="0" applyFill="1"/>
    <xf numFmtId="0" fontId="0" fillId="6" borderId="1" xfId="0" applyFill="1" applyBorder="1"/>
    <xf numFmtId="0" fontId="0" fillId="3" borderId="1" xfId="0" applyFill="1" applyBorder="1"/>
    <xf numFmtId="0" fontId="5" fillId="0" borderId="0" xfId="0" applyFont="1"/>
    <xf numFmtId="0" fontId="5" fillId="7" borderId="0" xfId="0" applyFont="1" applyFill="1"/>
    <xf numFmtId="0" fontId="6" fillId="7" borderId="0" xfId="0" applyFont="1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7" fillId="0" borderId="0" xfId="0" applyFont="1"/>
    <xf numFmtId="0" fontId="7" fillId="8" borderId="0" xfId="0" applyFont="1" applyFill="1"/>
    <xf numFmtId="0" fontId="7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zata\Codes\StoriesTeams\Pipeline-dispatcher\Book%20chapter%20Studies\Data%20to%20optimization\Book%20chapter%2013-3-2025\51_3_ec6.xlsx" TargetMode="External"/><Relationship Id="rId1" Type="http://schemas.openxmlformats.org/officeDocument/2006/relationships/externalLinkPath" Target="51_3_ec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uration"/>
      <sheetName val="Day1"/>
      <sheetName val="KPI"/>
    </sheetNames>
    <sheetDataSet>
      <sheetData sheetId="0" refreshError="1"/>
      <sheetData sheetId="1" refreshError="1">
        <row r="2">
          <cell r="A2">
            <v>0.26038899999999998</v>
          </cell>
        </row>
        <row r="3">
          <cell r="A3">
            <v>0.25714300000000001</v>
          </cell>
        </row>
        <row r="4">
          <cell r="A4">
            <v>0.25442999999999999</v>
          </cell>
        </row>
        <row r="5">
          <cell r="A5">
            <v>0.25297999999999998</v>
          </cell>
        </row>
        <row r="6">
          <cell r="A6">
            <v>0.25274999999999997</v>
          </cell>
        </row>
        <row r="7">
          <cell r="A7">
            <v>0.25497999999999998</v>
          </cell>
        </row>
        <row r="8">
          <cell r="A8">
            <v>0.26271</v>
          </cell>
        </row>
        <row r="9">
          <cell r="A9">
            <v>0.269783</v>
          </cell>
        </row>
        <row r="10">
          <cell r="A10">
            <v>0.27707500000000002</v>
          </cell>
        </row>
        <row r="11">
          <cell r="A11">
            <v>0.27672799999999997</v>
          </cell>
        </row>
        <row r="12">
          <cell r="A12">
            <v>0.27678199999999997</v>
          </cell>
        </row>
        <row r="13">
          <cell r="A13">
            <v>0.270368</v>
          </cell>
        </row>
        <row r="14">
          <cell r="A14">
            <v>0.266897</v>
          </cell>
        </row>
        <row r="15">
          <cell r="A15">
            <v>0.26474700000000001</v>
          </cell>
        </row>
        <row r="16">
          <cell r="A16">
            <v>0.26649400000000001</v>
          </cell>
        </row>
        <row r="17">
          <cell r="A17">
            <v>0.270067</v>
          </cell>
        </row>
        <row r="18">
          <cell r="A18">
            <v>0.27431899999999998</v>
          </cell>
        </row>
        <row r="19">
          <cell r="A19">
            <v>0.27111299999999999</v>
          </cell>
        </row>
        <row r="20">
          <cell r="A20">
            <v>0.28212799999999999</v>
          </cell>
        </row>
        <row r="21">
          <cell r="A21">
            <v>0.28089700000000001</v>
          </cell>
        </row>
        <row r="22">
          <cell r="A22">
            <v>0.27615600000000001</v>
          </cell>
        </row>
        <row r="23">
          <cell r="A23">
            <v>0.27117200000000002</v>
          </cell>
        </row>
        <row r="24">
          <cell r="A24">
            <v>0.26649</v>
          </cell>
        </row>
        <row r="25">
          <cell r="A25">
            <v>0.26110800000000001</v>
          </cell>
        </row>
      </sheetData>
      <sheetData sheetId="2" refreshError="1">
        <row r="15">
          <cell r="B15">
            <v>0.26834000000000002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1" dT="2025-03-07T10:30:55.24" personId="{93A7B67D-BC03-48B0-9284-28C2ED2F3AED}" id="{51FEA547-A6D5-488A-A0BF-1E8B7F033D36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E1" workbookViewId="0">
      <selection activeCell="L13" sqref="J1:L13"/>
    </sheetView>
  </sheetViews>
  <sheetFormatPr defaultRowHeight="15" x14ac:dyDescent="0.25"/>
  <cols>
    <col min="1" max="1" width="30.28515625" bestFit="1" customWidth="1"/>
    <col min="6" max="6" width="6" bestFit="1" customWidth="1"/>
    <col min="7" max="7" width="5" bestFit="1" customWidth="1"/>
    <col min="8" max="8" width="12.85546875" bestFit="1" customWidth="1"/>
    <col min="10" max="10" width="31.28515625" bestFit="1" customWidth="1"/>
    <col min="11" max="11" width="11" bestFit="1" customWidth="1"/>
    <col min="13" max="13" width="22" bestFit="1" customWidth="1"/>
    <col min="14" max="14" width="18.7109375" bestFit="1" customWidth="1"/>
    <col min="15" max="15" width="19.28515625" bestFit="1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2">
        <v>51</v>
      </c>
      <c r="O1" s="13"/>
      <c r="P1" s="13"/>
      <c r="Q1" s="13"/>
      <c r="R1" s="14">
        <v>143</v>
      </c>
      <c r="S1" s="14"/>
      <c r="T1" s="14"/>
      <c r="U1" s="14"/>
      <c r="V1" s="13">
        <v>209</v>
      </c>
      <c r="W1" s="13"/>
      <c r="X1" s="13"/>
      <c r="Y1" s="13"/>
      <c r="Z1" s="14">
        <v>350</v>
      </c>
      <c r="AA1" s="14"/>
      <c r="AB1" s="14"/>
      <c r="AC1" s="15"/>
    </row>
    <row r="2" spans="1:29" x14ac:dyDescent="0.25">
      <c r="A2" s="6" t="s">
        <v>8</v>
      </c>
      <c r="B2" s="19">
        <v>50</v>
      </c>
      <c r="C2" s="19">
        <v>82</v>
      </c>
      <c r="D2" s="19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25">
      <c r="A3" s="6" t="s">
        <v>12</v>
      </c>
      <c r="B3" s="19">
        <v>286.125</v>
      </c>
      <c r="C3" s="19">
        <v>82</v>
      </c>
      <c r="D3" s="16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25">
      <c r="A4" s="6" t="s">
        <v>14</v>
      </c>
      <c r="B4" s="16">
        <v>1.1000000000000001E-3</v>
      </c>
      <c r="C4" s="16">
        <v>2E-3</v>
      </c>
      <c r="D4" s="6">
        <v>3.0000000000000001E-3</v>
      </c>
      <c r="E4" s="24">
        <v>1.4E-3</v>
      </c>
      <c r="F4" s="23">
        <v>1.2E-2</v>
      </c>
      <c r="G4" s="24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25">
      <c r="A5" s="6" t="s">
        <v>16</v>
      </c>
      <c r="B5" s="16">
        <f>B3*B4</f>
        <v>0.3147375</v>
      </c>
      <c r="C5" s="16">
        <f>C4*C3</f>
        <v>0.16400000000000001</v>
      </c>
      <c r="D5" s="16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25">
      <c r="A6" s="6" t="s">
        <v>18</v>
      </c>
      <c r="B6" s="19">
        <v>200</v>
      </c>
      <c r="C6" s="19">
        <v>350</v>
      </c>
      <c r="D6" s="19">
        <v>83</v>
      </c>
      <c r="E6" s="6"/>
      <c r="F6" s="23">
        <v>1100</v>
      </c>
      <c r="G6" s="24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25">
      <c r="A7" s="6" t="s">
        <v>20</v>
      </c>
      <c r="B7" s="16">
        <f>B6*B3</f>
        <v>57225</v>
      </c>
      <c r="C7" s="16">
        <f>C6*C3</f>
        <v>28700</v>
      </c>
      <c r="D7" s="16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25">
      <c r="A8" s="7" t="s">
        <v>22</v>
      </c>
      <c r="B8" s="19">
        <f>B2*B11</f>
        <v>450</v>
      </c>
      <c r="C8" s="19">
        <f>C2*C11</f>
        <v>6806</v>
      </c>
      <c r="D8" s="19">
        <f>D2*D11</f>
        <v>1400</v>
      </c>
      <c r="E8" s="6"/>
      <c r="F8" s="20">
        <v>2500</v>
      </c>
      <c r="G8" s="20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25">
      <c r="A9" s="7" t="s">
        <v>24</v>
      </c>
      <c r="B9" s="21">
        <v>0.75</v>
      </c>
      <c r="C9" s="21" t="s">
        <v>25</v>
      </c>
      <c r="D9" s="6"/>
      <c r="E9" s="6"/>
      <c r="F9" s="1"/>
      <c r="G9" s="1"/>
      <c r="H9" s="23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25">
      <c r="A10" s="7" t="s">
        <v>28</v>
      </c>
      <c r="B10" s="16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25">
      <c r="A11" s="8" t="s">
        <v>30</v>
      </c>
      <c r="B11" s="20">
        <v>9</v>
      </c>
      <c r="C11" s="20">
        <v>83</v>
      </c>
      <c r="D11" s="20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25">
      <c r="A12" s="7" t="s">
        <v>32</v>
      </c>
      <c r="B12" s="19">
        <f>B11*B3</f>
        <v>2575.125</v>
      </c>
      <c r="C12" s="19">
        <f>C11*C3</f>
        <v>6806</v>
      </c>
      <c r="D12" s="19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25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25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25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25">
      <c r="B16" t="s">
        <v>35</v>
      </c>
      <c r="C16" s="17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25">
      <c r="A17" s="5"/>
      <c r="B17" t="s">
        <v>36</v>
      </c>
      <c r="C17" s="18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25">
      <c r="A18" s="5"/>
      <c r="B18" t="s">
        <v>37</v>
      </c>
      <c r="C18" s="22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25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25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25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25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25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25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25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25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25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25">
      <c r="A28" s="5"/>
    </row>
    <row r="29" spans="1:29" x14ac:dyDescent="0.25">
      <c r="A29" s="5"/>
    </row>
    <row r="30" spans="1:29" x14ac:dyDescent="0.25">
      <c r="A30" s="5"/>
      <c r="M30" t="s">
        <v>39</v>
      </c>
      <c r="N30">
        <f>SUM(O27,S27,W27,AA27)/4000</f>
        <v>12322.616587471062</v>
      </c>
    </row>
    <row r="31" spans="1:29" x14ac:dyDescent="0.25">
      <c r="M31" t="s">
        <v>40</v>
      </c>
      <c r="N31">
        <f>SUM(N27,R27,V27,Z27)/4000</f>
        <v>11869.926175793151</v>
      </c>
    </row>
    <row r="32" spans="1:29" x14ac:dyDescent="0.25">
      <c r="M32" t="s">
        <v>41</v>
      </c>
      <c r="N32">
        <f>N30*365</f>
        <v>4497755.0544269374</v>
      </c>
    </row>
    <row r="33" spans="1:14" x14ac:dyDescent="0.25">
      <c r="A33" s="5"/>
      <c r="M33" t="s">
        <v>42</v>
      </c>
      <c r="N33">
        <f>N31*365</f>
        <v>4332523.0541645</v>
      </c>
    </row>
    <row r="34" spans="1:14" x14ac:dyDescent="0.25">
      <c r="A34" s="5"/>
      <c r="M34" t="s">
        <v>43</v>
      </c>
      <c r="N34">
        <f>SUM(P27,T27,X27,AB27)/4000</f>
        <v>12938.653125000001</v>
      </c>
    </row>
    <row r="35" spans="1:14" x14ac:dyDescent="0.25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U26"/>
  <sheetViews>
    <sheetView workbookViewId="0">
      <selection activeCell="B1" sqref="B1:AH25"/>
    </sheetView>
  </sheetViews>
  <sheetFormatPr defaultRowHeight="15" x14ac:dyDescent="0.25"/>
  <cols>
    <col min="1" max="1" width="13.5703125" bestFit="1" customWidth="1"/>
    <col min="7" max="7" width="10" bestFit="1" customWidth="1"/>
    <col min="9" max="9" width="9.28515625" bestFit="1" customWidth="1"/>
    <col min="13" max="13" width="10.7109375" bestFit="1" customWidth="1"/>
    <col min="24" max="24" width="9.7109375" bestFit="1" customWidth="1"/>
    <col min="32" max="33" width="10.7109375" bestFit="1" customWidth="1"/>
    <col min="34" max="35" width="12.85546875" bestFit="1" customWidth="1"/>
    <col min="38" max="38" width="12.7109375" bestFit="1" customWidth="1"/>
    <col min="39" max="39" width="12" bestFit="1" customWidth="1"/>
    <col min="40" max="40" width="15.140625" bestFit="1" customWidth="1"/>
    <col min="47" max="47" width="15.140625" bestFit="1" customWidth="1"/>
  </cols>
  <sheetData>
    <row r="1" spans="1:47" x14ac:dyDescent="0.25">
      <c r="A1" s="29" t="s">
        <v>79</v>
      </c>
      <c r="B1" t="s">
        <v>89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s="25" t="s">
        <v>57</v>
      </c>
      <c r="AJ1" s="27" t="s">
        <v>67</v>
      </c>
      <c r="AK1" s="27" t="s">
        <v>66</v>
      </c>
      <c r="AL1" s="27" t="s">
        <v>69</v>
      </c>
      <c r="AM1" s="27" t="s">
        <v>68</v>
      </c>
      <c r="AN1" s="27" t="s">
        <v>71</v>
      </c>
      <c r="AO1" s="27" t="s">
        <v>72</v>
      </c>
      <c r="AP1" s="27" t="s">
        <v>70</v>
      </c>
      <c r="AQ1" s="27" t="s">
        <v>81</v>
      </c>
      <c r="AR1" s="27" t="s">
        <v>82</v>
      </c>
      <c r="AS1" s="27" t="s">
        <v>83</v>
      </c>
      <c r="AT1" s="27" t="s">
        <v>84</v>
      </c>
      <c r="AU1" t="s">
        <v>102</v>
      </c>
    </row>
    <row r="2" spans="1:47" x14ac:dyDescent="0.25">
      <c r="A2" s="29">
        <v>0.26038899999999998</v>
      </c>
      <c r="B2">
        <v>0</v>
      </c>
      <c r="C2">
        <v>68.75</v>
      </c>
      <c r="D2">
        <v>0</v>
      </c>
      <c r="E2">
        <v>-340412.28780890797</v>
      </c>
      <c r="F2">
        <v>0</v>
      </c>
      <c r="G2">
        <v>0</v>
      </c>
      <c r="H2">
        <v>0</v>
      </c>
      <c r="I2">
        <v>0</v>
      </c>
      <c r="J2">
        <v>0</v>
      </c>
      <c r="K2">
        <v>-340343.53779999999</v>
      </c>
      <c r="L2">
        <v>-514.37249999999995</v>
      </c>
      <c r="M2">
        <v>25000</v>
      </c>
      <c r="N2">
        <v>62750</v>
      </c>
      <c r="O2">
        <v>-62750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0.5</v>
      </c>
      <c r="AB2">
        <v>0.5</v>
      </c>
      <c r="AC2">
        <v>0.5</v>
      </c>
      <c r="AD2">
        <v>0.48487499879482099</v>
      </c>
      <c r="AE2">
        <v>-340343.53780890797</v>
      </c>
      <c r="AF2">
        <v>-315857.91029999999</v>
      </c>
      <c r="AG2">
        <v>0.231592829</v>
      </c>
      <c r="AH2">
        <v>0.17988000000000001</v>
      </c>
      <c r="AI2">
        <v>-62750</v>
      </c>
      <c r="AJ2" s="26">
        <f t="shared" ref="AJ2:AJ25" si="0">IF(AE2&lt;0,AE2,0)</f>
        <v>-340343.53780890797</v>
      </c>
      <c r="AK2" s="26">
        <f t="shared" ref="AK2:AK25" si="1">IF(AE2&gt;0,AE2,0)</f>
        <v>0</v>
      </c>
      <c r="AL2" s="26">
        <f t="shared" ref="AL2:AL25" si="2">IF(AF2&lt;0,AF2,0)</f>
        <v>-315857.91029999999</v>
      </c>
      <c r="AM2" s="26">
        <f t="shared" ref="AM2:AM25" si="3">IF(AF2&gt;0,AF2,0)</f>
        <v>0</v>
      </c>
      <c r="AN2" s="28">
        <f t="shared" ref="AN2:AN25" si="4">SUM(J2,C2:I2,-AE2)</f>
        <v>0</v>
      </c>
      <c r="AO2" s="28">
        <f t="shared" ref="AO2:AO25" si="5">N2+AI2-AF2</f>
        <v>315857.91029999999</v>
      </c>
      <c r="AP2" s="28">
        <f t="shared" ref="AP2:AP25" si="6">SUM(C2,D2,E2,F2,G2,H2,I2,J2,N2,AI2,-AJ2,-AK2,-AL2,-AM2)</f>
        <v>315857.91029999999</v>
      </c>
      <c r="AQ2" s="28">
        <f>IF([1]Day1!A2&lt;[1]KPI!$B$15,1,0)</f>
        <v>1</v>
      </c>
      <c r="AR2" s="28">
        <f>IF([1]Day1!A2&gt;=[1]KPI!$B$15,1,0)</f>
        <v>0</v>
      </c>
      <c r="AS2" s="28">
        <f>AJ2*AQ2</f>
        <v>-340343.53780890797</v>
      </c>
      <c r="AT2" s="28">
        <f>AK2*AR2</f>
        <v>0</v>
      </c>
      <c r="AU2">
        <v>0</v>
      </c>
    </row>
    <row r="3" spans="1:47" x14ac:dyDescent="0.25">
      <c r="A3" s="29">
        <v>0.25714300000000001</v>
      </c>
      <c r="B3">
        <v>3600</v>
      </c>
      <c r="C3">
        <v>1712.5</v>
      </c>
      <c r="D3">
        <v>0</v>
      </c>
      <c r="E3">
        <v>-331497.600799268</v>
      </c>
      <c r="F3">
        <v>0</v>
      </c>
      <c r="G3">
        <v>0</v>
      </c>
      <c r="H3">
        <v>0</v>
      </c>
      <c r="I3">
        <v>0</v>
      </c>
      <c r="J3">
        <v>0</v>
      </c>
      <c r="K3">
        <v>-329785.10080000001</v>
      </c>
      <c r="L3">
        <v>-459.84249999999997</v>
      </c>
      <c r="M3">
        <v>25000</v>
      </c>
      <c r="N3">
        <v>62750</v>
      </c>
      <c r="O3">
        <v>-62750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0.5</v>
      </c>
      <c r="AB3">
        <v>0.5</v>
      </c>
      <c r="AC3">
        <v>0.5</v>
      </c>
      <c r="AD3">
        <v>0.46974999758964098</v>
      </c>
      <c r="AE3">
        <v>-329785.100799268</v>
      </c>
      <c r="AF3">
        <v>-305244.94329999998</v>
      </c>
      <c r="AG3">
        <v>0.223095554</v>
      </c>
      <c r="AH3">
        <v>0.17125000000000001</v>
      </c>
      <c r="AI3">
        <v>-62750</v>
      </c>
      <c r="AJ3" s="26">
        <f t="shared" si="0"/>
        <v>-329785.100799268</v>
      </c>
      <c r="AK3" s="26">
        <f t="shared" si="1"/>
        <v>0</v>
      </c>
      <c r="AL3" s="26">
        <f t="shared" si="2"/>
        <v>-305244.94329999998</v>
      </c>
      <c r="AM3" s="26">
        <f t="shared" si="3"/>
        <v>0</v>
      </c>
      <c r="AN3" s="28">
        <f t="shared" si="4"/>
        <v>0</v>
      </c>
      <c r="AO3" s="28">
        <f t="shared" si="5"/>
        <v>305244.94329999998</v>
      </c>
      <c r="AP3" s="28">
        <f t="shared" si="6"/>
        <v>305244.94329999998</v>
      </c>
      <c r="AQ3" s="28">
        <f>IF([1]Day1!A3&lt;[1]KPI!$B$15,1,0)</f>
        <v>1</v>
      </c>
      <c r="AR3" s="28">
        <f>IF([1]Day1!A3&gt;=[1]KPI!$B$15,1,0)</f>
        <v>0</v>
      </c>
      <c r="AS3" s="28">
        <f t="shared" ref="AS3:AT25" si="7">AJ3*AQ3</f>
        <v>-329785.100799268</v>
      </c>
      <c r="AT3" s="28">
        <f t="shared" si="7"/>
        <v>0</v>
      </c>
      <c r="AU3">
        <v>0</v>
      </c>
    </row>
    <row r="4" spans="1:47" x14ac:dyDescent="0.25">
      <c r="A4" s="29">
        <v>0.25442999999999999</v>
      </c>
      <c r="B4">
        <v>7200</v>
      </c>
      <c r="C4">
        <v>5662.5</v>
      </c>
      <c r="D4">
        <v>0</v>
      </c>
      <c r="E4">
        <v>-332710.646823544</v>
      </c>
      <c r="F4">
        <v>0</v>
      </c>
      <c r="G4">
        <v>0</v>
      </c>
      <c r="H4">
        <v>0</v>
      </c>
      <c r="I4">
        <v>0</v>
      </c>
      <c r="J4">
        <v>373500</v>
      </c>
      <c r="K4">
        <v>-700548.14679999999</v>
      </c>
      <c r="L4">
        <v>-412.32499999999999</v>
      </c>
      <c r="M4">
        <v>25000</v>
      </c>
      <c r="N4">
        <v>62750</v>
      </c>
      <c r="O4">
        <v>-62750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0.5</v>
      </c>
      <c r="AB4">
        <v>0.5</v>
      </c>
      <c r="AC4">
        <v>0.38831576586678601</v>
      </c>
      <c r="AD4">
        <v>0.45462499638446202</v>
      </c>
      <c r="AE4">
        <v>46451.853176456498</v>
      </c>
      <c r="AF4">
        <v>-675960.47180000006</v>
      </c>
      <c r="AG4">
        <v>0.22506032200000001</v>
      </c>
      <c r="AH4">
        <v>0.17124</v>
      </c>
      <c r="AI4">
        <v>-62750</v>
      </c>
      <c r="AJ4" s="26">
        <f t="shared" si="0"/>
        <v>0</v>
      </c>
      <c r="AK4" s="26">
        <f t="shared" si="1"/>
        <v>46451.853176456498</v>
      </c>
      <c r="AL4" s="26">
        <f t="shared" si="2"/>
        <v>-675960.47180000006</v>
      </c>
      <c r="AM4" s="26">
        <f t="shared" si="3"/>
        <v>0</v>
      </c>
      <c r="AN4" s="28">
        <f t="shared" si="4"/>
        <v>-4.9476511776447296E-10</v>
      </c>
      <c r="AO4" s="28">
        <f t="shared" si="5"/>
        <v>675960.47180000006</v>
      </c>
      <c r="AP4" s="28">
        <f t="shared" si="6"/>
        <v>675960.47179999959</v>
      </c>
      <c r="AQ4" s="28">
        <f>IF([1]Day1!A4&lt;[1]KPI!$B$15,1,0)</f>
        <v>1</v>
      </c>
      <c r="AR4" s="28">
        <f>IF([1]Day1!A4&gt;=[1]KPI!$B$15,1,0)</f>
        <v>0</v>
      </c>
      <c r="AS4" s="28">
        <f t="shared" si="7"/>
        <v>0</v>
      </c>
      <c r="AT4" s="28">
        <f t="shared" si="7"/>
        <v>0</v>
      </c>
      <c r="AU4">
        <v>0</v>
      </c>
    </row>
    <row r="5" spans="1:47" x14ac:dyDescent="0.25">
      <c r="A5" s="29">
        <v>0.25297999999999998</v>
      </c>
      <c r="B5">
        <v>10800</v>
      </c>
      <c r="C5">
        <v>67981.25</v>
      </c>
      <c r="D5">
        <v>0</v>
      </c>
      <c r="E5">
        <v>-343604.163299268</v>
      </c>
      <c r="F5">
        <v>0</v>
      </c>
      <c r="G5">
        <v>0</v>
      </c>
      <c r="H5">
        <v>0</v>
      </c>
      <c r="I5">
        <v>0</v>
      </c>
      <c r="J5">
        <v>373500</v>
      </c>
      <c r="K5">
        <v>-649122.91330000001</v>
      </c>
      <c r="L5">
        <v>-381.65499999999997</v>
      </c>
      <c r="M5">
        <v>25000</v>
      </c>
      <c r="N5">
        <v>62750</v>
      </c>
      <c r="O5">
        <v>-62750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</v>
      </c>
      <c r="AB5">
        <v>0.5</v>
      </c>
      <c r="AC5">
        <v>0.16494729760035901</v>
      </c>
      <c r="AD5">
        <v>0.43949999517928201</v>
      </c>
      <c r="AE5">
        <v>97877.086700731903</v>
      </c>
      <c r="AF5">
        <v>-624504.56830000004</v>
      </c>
      <c r="AG5">
        <v>0.224815036</v>
      </c>
      <c r="AH5">
        <v>0.17119000000000001</v>
      </c>
      <c r="AI5">
        <v>-62750</v>
      </c>
      <c r="AJ5" s="26">
        <f t="shared" si="0"/>
        <v>0</v>
      </c>
      <c r="AK5" s="26">
        <f t="shared" si="1"/>
        <v>97877.086700731903</v>
      </c>
      <c r="AL5" s="26">
        <f t="shared" si="2"/>
        <v>-624504.56830000004</v>
      </c>
      <c r="AM5" s="26">
        <f t="shared" si="3"/>
        <v>0</v>
      </c>
      <c r="AN5" s="28">
        <f t="shared" si="4"/>
        <v>0</v>
      </c>
      <c r="AO5" s="28">
        <f t="shared" si="5"/>
        <v>624504.56830000004</v>
      </c>
      <c r="AP5" s="28">
        <f t="shared" si="6"/>
        <v>624504.56830000016</v>
      </c>
      <c r="AQ5" s="28">
        <f>IF([1]Day1!A5&lt;[1]KPI!$B$15,1,0)</f>
        <v>1</v>
      </c>
      <c r="AR5" s="28">
        <f>IF([1]Day1!A5&gt;=[1]KPI!$B$15,1,0)</f>
        <v>0</v>
      </c>
      <c r="AS5" s="28">
        <f t="shared" si="7"/>
        <v>0</v>
      </c>
      <c r="AT5" s="28">
        <f t="shared" si="7"/>
        <v>0</v>
      </c>
      <c r="AU5">
        <v>0</v>
      </c>
    </row>
    <row r="6" spans="1:47" x14ac:dyDescent="0.25">
      <c r="A6" s="29">
        <v>0.25274999999999997</v>
      </c>
      <c r="B6">
        <v>14400</v>
      </c>
      <c r="C6">
        <v>93.75</v>
      </c>
      <c r="D6">
        <v>0</v>
      </c>
      <c r="E6">
        <v>-332612.521823544</v>
      </c>
      <c r="F6">
        <v>0</v>
      </c>
      <c r="G6">
        <v>0</v>
      </c>
      <c r="H6">
        <v>40000</v>
      </c>
      <c r="I6">
        <v>0</v>
      </c>
      <c r="J6">
        <v>450000</v>
      </c>
      <c r="K6">
        <v>-822500</v>
      </c>
      <c r="L6">
        <v>-357.66</v>
      </c>
      <c r="M6">
        <v>25000</v>
      </c>
      <c r="N6">
        <v>62750</v>
      </c>
      <c r="O6">
        <v>-62750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0.5</v>
      </c>
      <c r="AB6">
        <v>0.5</v>
      </c>
      <c r="AC6">
        <v>3.3228676085819003E-2</v>
      </c>
      <c r="AD6">
        <v>0.424374993974103</v>
      </c>
      <c r="AE6">
        <v>157481.228176456</v>
      </c>
      <c r="AF6">
        <v>-797857.66</v>
      </c>
      <c r="AG6">
        <v>0.22533972399999999</v>
      </c>
      <c r="AH6">
        <v>0.17224</v>
      </c>
      <c r="AI6">
        <v>-62750</v>
      </c>
      <c r="AJ6" s="26">
        <f t="shared" si="0"/>
        <v>0</v>
      </c>
      <c r="AK6" s="26">
        <f t="shared" si="1"/>
        <v>157481.228176456</v>
      </c>
      <c r="AL6" s="26">
        <f t="shared" si="2"/>
        <v>-797857.66</v>
      </c>
      <c r="AM6" s="26">
        <f t="shared" si="3"/>
        <v>0</v>
      </c>
      <c r="AN6" s="28">
        <f t="shared" si="4"/>
        <v>0</v>
      </c>
      <c r="AO6" s="28">
        <f t="shared" si="5"/>
        <v>797857.66</v>
      </c>
      <c r="AP6" s="28">
        <f t="shared" si="6"/>
        <v>797857.66</v>
      </c>
      <c r="AQ6" s="28">
        <f>IF([1]Day1!A6&lt;[1]KPI!$B$15,1,0)</f>
        <v>1</v>
      </c>
      <c r="AR6" s="28">
        <f>IF([1]Day1!A6&gt;=[1]KPI!$B$15,1,0)</f>
        <v>0</v>
      </c>
      <c r="AS6" s="28">
        <f t="shared" si="7"/>
        <v>0</v>
      </c>
      <c r="AT6" s="28">
        <f t="shared" si="7"/>
        <v>0</v>
      </c>
      <c r="AU6">
        <v>0</v>
      </c>
    </row>
    <row r="7" spans="1:47" x14ac:dyDescent="0.25">
      <c r="A7" s="29">
        <v>0.25497999999999998</v>
      </c>
      <c r="B7">
        <v>18000</v>
      </c>
      <c r="C7">
        <v>3175</v>
      </c>
      <c r="D7">
        <v>0</v>
      </c>
      <c r="E7">
        <v>-414122.72419024498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-335.04750000000001</v>
      </c>
      <c r="M7">
        <v>26106.482130199001</v>
      </c>
      <c r="N7">
        <v>89092.975210000004</v>
      </c>
      <c r="O7">
        <v>-62750</v>
      </c>
      <c r="P7">
        <v>0</v>
      </c>
      <c r="Q7">
        <v>-2634.29752066116</v>
      </c>
      <c r="R7">
        <v>-2634.29752066116</v>
      </c>
      <c r="S7">
        <v>-2634.29752066116</v>
      </c>
      <c r="T7">
        <v>-2634.29752066116</v>
      </c>
      <c r="U7">
        <v>-2634.29752066116</v>
      </c>
      <c r="V7">
        <v>-2634.29752066116</v>
      </c>
      <c r="W7">
        <v>-2634.29752066116</v>
      </c>
      <c r="X7">
        <v>-2634.29752066116</v>
      </c>
      <c r="Y7">
        <v>-2634.29752066116</v>
      </c>
      <c r="Z7">
        <v>-2634.29752066116</v>
      </c>
      <c r="AA7">
        <v>0.49408466458418898</v>
      </c>
      <c r="AB7">
        <v>0.5</v>
      </c>
      <c r="AC7">
        <v>0</v>
      </c>
      <c r="AD7">
        <v>0.402900390668537</v>
      </c>
      <c r="AE7">
        <v>-410947.72419024498</v>
      </c>
      <c r="AF7">
        <v>25771.4346335874</v>
      </c>
      <c r="AG7">
        <v>0.25557398799999997</v>
      </c>
      <c r="AH7">
        <v>0.20180000000000001</v>
      </c>
      <c r="AI7">
        <v>-89092.975206611591</v>
      </c>
      <c r="AJ7" s="26">
        <f t="shared" si="0"/>
        <v>-410947.72419024498</v>
      </c>
      <c r="AK7" s="26">
        <f t="shared" si="1"/>
        <v>0</v>
      </c>
      <c r="AL7" s="26">
        <f t="shared" si="2"/>
        <v>0</v>
      </c>
      <c r="AM7" s="26">
        <f t="shared" si="3"/>
        <v>25771.4346335874</v>
      </c>
      <c r="AN7" s="28">
        <f t="shared" si="4"/>
        <v>0</v>
      </c>
      <c r="AO7" s="28">
        <f t="shared" si="5"/>
        <v>-25771.434630198986</v>
      </c>
      <c r="AP7" s="28">
        <f t="shared" si="6"/>
        <v>-25771.434630198957</v>
      </c>
      <c r="AQ7" s="28">
        <f>IF([1]Day1!A7&lt;[1]KPI!$B$15,1,0)</f>
        <v>1</v>
      </c>
      <c r="AR7" s="28">
        <f>IF([1]Day1!A7&gt;=[1]KPI!$B$15,1,0)</f>
        <v>0</v>
      </c>
      <c r="AS7" s="28">
        <f t="shared" si="7"/>
        <v>-410947.72419024498</v>
      </c>
      <c r="AT7" s="28">
        <f t="shared" si="7"/>
        <v>0</v>
      </c>
      <c r="AU7">
        <v>0</v>
      </c>
    </row>
    <row r="8" spans="1:47" x14ac:dyDescent="0.25">
      <c r="A8" s="29">
        <v>0.26271</v>
      </c>
      <c r="B8">
        <v>21600</v>
      </c>
      <c r="C8">
        <v>12056.25</v>
      </c>
      <c r="D8">
        <v>3200</v>
      </c>
      <c r="E8">
        <v>-421633.50667347398</v>
      </c>
      <c r="F8">
        <v>0</v>
      </c>
      <c r="G8">
        <v>0</v>
      </c>
      <c r="H8">
        <v>0</v>
      </c>
      <c r="I8">
        <v>0</v>
      </c>
      <c r="J8">
        <v>0</v>
      </c>
      <c r="K8">
        <v>-406377</v>
      </c>
      <c r="L8">
        <v>-259.77999999999997</v>
      </c>
      <c r="M8">
        <v>30122.0872966155</v>
      </c>
      <c r="N8">
        <v>608333.34519999998</v>
      </c>
      <c r="O8">
        <v>-188333.33333333299</v>
      </c>
      <c r="P8">
        <v>-367314.06141520798</v>
      </c>
      <c r="Q8">
        <v>-5268.59504132232</v>
      </c>
      <c r="R8">
        <v>-5268.59504132232</v>
      </c>
      <c r="S8">
        <v>-5268.59504132232</v>
      </c>
      <c r="T8">
        <v>-5268.59504132232</v>
      </c>
      <c r="U8">
        <v>-5268.59504132232</v>
      </c>
      <c r="V8">
        <v>-5268.59504132232</v>
      </c>
      <c r="W8">
        <v>-5268.59504132232</v>
      </c>
      <c r="X8">
        <v>-5268.59504132232</v>
      </c>
      <c r="Y8">
        <v>-5268.59504132232</v>
      </c>
      <c r="Z8">
        <v>-5268.59504132232</v>
      </c>
      <c r="AA8">
        <v>0.49408466458418898</v>
      </c>
      <c r="AB8">
        <v>0.5</v>
      </c>
      <c r="AC8">
        <v>0</v>
      </c>
      <c r="AD8">
        <v>0.25627023004222899</v>
      </c>
      <c r="AE8">
        <v>-406377.25667347398</v>
      </c>
      <c r="AF8">
        <v>-376514.69266514899</v>
      </c>
      <c r="AG8">
        <v>0.27687235799999999</v>
      </c>
      <c r="AH8">
        <v>0.22414999999999999</v>
      </c>
      <c r="AI8">
        <v>-608333.34516176383</v>
      </c>
      <c r="AJ8" s="26">
        <f t="shared" si="0"/>
        <v>-406377.25667347398</v>
      </c>
      <c r="AK8" s="26">
        <f t="shared" si="1"/>
        <v>0</v>
      </c>
      <c r="AL8" s="26">
        <f t="shared" si="2"/>
        <v>-376514.69266514899</v>
      </c>
      <c r="AM8" s="26">
        <f t="shared" si="3"/>
        <v>0</v>
      </c>
      <c r="AN8" s="28">
        <f t="shared" si="4"/>
        <v>0</v>
      </c>
      <c r="AO8" s="28">
        <f t="shared" si="5"/>
        <v>376514.69270338514</v>
      </c>
      <c r="AP8" s="28">
        <f t="shared" si="6"/>
        <v>376514.69270338514</v>
      </c>
      <c r="AQ8" s="28">
        <f>IF([1]Day1!A8&lt;[1]KPI!$B$15,1,0)</f>
        <v>1</v>
      </c>
      <c r="AR8" s="28">
        <f>IF([1]Day1!A8&gt;=[1]KPI!$B$15,1,0)</f>
        <v>0</v>
      </c>
      <c r="AS8" s="28">
        <f t="shared" si="7"/>
        <v>-406377.25667347398</v>
      </c>
      <c r="AT8" s="28">
        <f t="shared" si="7"/>
        <v>0</v>
      </c>
      <c r="AU8">
        <v>0</v>
      </c>
    </row>
    <row r="9" spans="1:47" x14ac:dyDescent="0.25">
      <c r="A9" s="29">
        <v>0.269783</v>
      </c>
      <c r="B9">
        <v>25200</v>
      </c>
      <c r="C9">
        <v>10175</v>
      </c>
      <c r="D9">
        <v>105025</v>
      </c>
      <c r="E9">
        <v>-482228.22010860901</v>
      </c>
      <c r="F9">
        <v>0</v>
      </c>
      <c r="G9">
        <v>0</v>
      </c>
      <c r="H9">
        <v>0</v>
      </c>
      <c r="I9">
        <v>0</v>
      </c>
      <c r="J9">
        <v>0</v>
      </c>
      <c r="K9">
        <v>-367020</v>
      </c>
      <c r="L9">
        <v>-212.81575000000001</v>
      </c>
      <c r="M9">
        <v>25490.99709863</v>
      </c>
      <c r="N9">
        <v>1032778.937</v>
      </c>
      <c r="O9">
        <v>-533750</v>
      </c>
      <c r="P9">
        <v>-367314.06141520798</v>
      </c>
      <c r="Q9">
        <v>-13171.487603305801</v>
      </c>
      <c r="R9">
        <v>-13171.487603305801</v>
      </c>
      <c r="S9">
        <v>-13171.487603305801</v>
      </c>
      <c r="T9">
        <v>-13171.487603305801</v>
      </c>
      <c r="U9">
        <v>-13171.487603305801</v>
      </c>
      <c r="V9">
        <v>-13171.487603305801</v>
      </c>
      <c r="W9">
        <v>-13171.487603305801</v>
      </c>
      <c r="X9">
        <v>-13171.487603305801</v>
      </c>
      <c r="Y9">
        <v>-13171.487603305801</v>
      </c>
      <c r="Z9">
        <v>-13171.487603305801</v>
      </c>
      <c r="AA9">
        <v>0.49408466458418898</v>
      </c>
      <c r="AB9">
        <v>0.5</v>
      </c>
      <c r="AC9">
        <v>0</v>
      </c>
      <c r="AD9">
        <v>0.200315439441905</v>
      </c>
      <c r="AE9">
        <v>-367028.22010860901</v>
      </c>
      <c r="AF9">
        <v>-341741.81909963599</v>
      </c>
      <c r="AG9">
        <v>0.31287203099999999</v>
      </c>
      <c r="AH9">
        <v>0.22925999999999999</v>
      </c>
      <c r="AI9">
        <v>-1032778.9374482664</v>
      </c>
      <c r="AJ9" s="26">
        <f t="shared" si="0"/>
        <v>-367028.22010860901</v>
      </c>
      <c r="AK9" s="26">
        <f t="shared" si="1"/>
        <v>0</v>
      </c>
      <c r="AL9" s="26">
        <f t="shared" si="2"/>
        <v>-341741.81909963599</v>
      </c>
      <c r="AM9" s="26">
        <f t="shared" si="3"/>
        <v>0</v>
      </c>
      <c r="AN9" s="28">
        <f t="shared" si="4"/>
        <v>0</v>
      </c>
      <c r="AO9" s="28">
        <f t="shared" si="5"/>
        <v>341741.8186513696</v>
      </c>
      <c r="AP9" s="28">
        <f t="shared" si="6"/>
        <v>341741.81865136954</v>
      </c>
      <c r="AQ9" s="28">
        <f>IF([1]Day1!A9&lt;[1]KPI!$B$15,1,0)</f>
        <v>0</v>
      </c>
      <c r="AR9" s="28">
        <f>IF([1]Day1!A9&gt;=[1]KPI!$B$15,1,0)</f>
        <v>1</v>
      </c>
      <c r="AS9" s="28">
        <f t="shared" si="7"/>
        <v>0</v>
      </c>
      <c r="AT9" s="28">
        <f t="shared" si="7"/>
        <v>0</v>
      </c>
      <c r="AU9">
        <v>0</v>
      </c>
    </row>
    <row r="10" spans="1:47" x14ac:dyDescent="0.25">
      <c r="A10" s="29">
        <v>0.27707500000000002</v>
      </c>
      <c r="B10">
        <v>28800</v>
      </c>
      <c r="C10">
        <v>22181.25</v>
      </c>
      <c r="D10">
        <v>354950</v>
      </c>
      <c r="E10">
        <v>-543275.60349036905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-162.36875000000001</v>
      </c>
      <c r="M10">
        <v>26407.6177445145</v>
      </c>
      <c r="N10">
        <v>0</v>
      </c>
      <c r="O10">
        <v>-627916.66666666698</v>
      </c>
      <c r="P10">
        <v>-367314.06141520798</v>
      </c>
      <c r="Q10">
        <v>-5268.59504132232</v>
      </c>
      <c r="R10">
        <v>-5268.59504132232</v>
      </c>
      <c r="S10">
        <v>-5268.59504132232</v>
      </c>
      <c r="T10">
        <v>-5268.59504132232</v>
      </c>
      <c r="U10">
        <v>-5268.59504132232</v>
      </c>
      <c r="V10">
        <v>-5268.59504132232</v>
      </c>
      <c r="W10">
        <v>-5268.59504132232</v>
      </c>
      <c r="X10">
        <v>-5268.59504132232</v>
      </c>
      <c r="Y10">
        <v>-5268.59504132232</v>
      </c>
      <c r="Z10">
        <v>-5268.59504132232</v>
      </c>
      <c r="AA10">
        <v>0.49408466458418898</v>
      </c>
      <c r="AB10">
        <v>0.5</v>
      </c>
      <c r="AC10">
        <v>0</v>
      </c>
      <c r="AD10">
        <v>0</v>
      </c>
      <c r="AE10">
        <v>-166144.35349036899</v>
      </c>
      <c r="AF10">
        <v>-1021671.42950058</v>
      </c>
      <c r="AG10">
        <v>0.29241366000000002</v>
      </c>
      <c r="AH10">
        <v>0.22033</v>
      </c>
      <c r="AI10">
        <v>-1047916.6784950979</v>
      </c>
      <c r="AJ10" s="26">
        <f t="shared" si="0"/>
        <v>-166144.35349036899</v>
      </c>
      <c r="AK10" s="26">
        <f t="shared" si="1"/>
        <v>0</v>
      </c>
      <c r="AL10" s="26">
        <f t="shared" si="2"/>
        <v>-1021671.42950058</v>
      </c>
      <c r="AM10" s="26">
        <f t="shared" si="3"/>
        <v>0</v>
      </c>
      <c r="AN10" s="28">
        <f t="shared" si="4"/>
        <v>0</v>
      </c>
      <c r="AO10" s="28">
        <f t="shared" si="5"/>
        <v>-26245.248994517955</v>
      </c>
      <c r="AP10" s="28">
        <f t="shared" si="6"/>
        <v>-26245.248994517955</v>
      </c>
      <c r="AQ10" s="28">
        <f>IF([1]Day1!A10&lt;[1]KPI!$B$15,1,0)</f>
        <v>0</v>
      </c>
      <c r="AR10" s="28">
        <f>IF([1]Day1!A10&gt;=[1]KPI!$B$15,1,0)</f>
        <v>1</v>
      </c>
      <c r="AS10" s="28">
        <f t="shared" si="7"/>
        <v>0</v>
      </c>
      <c r="AT10" s="28">
        <f t="shared" si="7"/>
        <v>0</v>
      </c>
      <c r="AU10">
        <v>0</v>
      </c>
    </row>
    <row r="11" spans="1:47" x14ac:dyDescent="0.25">
      <c r="A11" s="29">
        <v>0.27672799999999997</v>
      </c>
      <c r="B11">
        <v>32400</v>
      </c>
      <c r="C11">
        <v>194887.5</v>
      </c>
      <c r="D11">
        <v>787793.75</v>
      </c>
      <c r="E11">
        <v>-550136.86388726695</v>
      </c>
      <c r="F11">
        <v>0</v>
      </c>
      <c r="G11">
        <v>0</v>
      </c>
      <c r="H11">
        <v>432544.3861</v>
      </c>
      <c r="I11">
        <v>0</v>
      </c>
      <c r="J11">
        <v>0</v>
      </c>
      <c r="K11">
        <v>0</v>
      </c>
      <c r="L11">
        <v>2724.125</v>
      </c>
      <c r="M11">
        <v>69215.471019271004</v>
      </c>
      <c r="N11">
        <v>0</v>
      </c>
      <c r="O11">
        <v>-477250</v>
      </c>
      <c r="P11">
        <v>-367314.06141520798</v>
      </c>
      <c r="Q11">
        <v>-1317.14876033057</v>
      </c>
      <c r="R11">
        <v>-1317.14876033057</v>
      </c>
      <c r="S11">
        <v>-1317.14876033057</v>
      </c>
      <c r="T11">
        <v>-1317.14876033057</v>
      </c>
      <c r="U11">
        <v>-1317.14876033057</v>
      </c>
      <c r="V11">
        <v>-1317.14876033057</v>
      </c>
      <c r="W11">
        <v>-1317.14876033057</v>
      </c>
      <c r="X11">
        <v>-1317.14876033057</v>
      </c>
      <c r="Y11">
        <v>-1317.14876033057</v>
      </c>
      <c r="Z11">
        <v>-1317.14876033057</v>
      </c>
      <c r="AA11">
        <v>0.49408466458418898</v>
      </c>
      <c r="AB11">
        <v>0.5</v>
      </c>
      <c r="AC11">
        <v>0</v>
      </c>
      <c r="AD11">
        <v>0</v>
      </c>
      <c r="AE11">
        <v>865088.77221273305</v>
      </c>
      <c r="AF11">
        <v>-785795.95299924398</v>
      </c>
      <c r="AG11">
        <v>0.334894091</v>
      </c>
      <c r="AH11">
        <v>0.21662999999999999</v>
      </c>
      <c r="AI11">
        <v>-857735.54901851318</v>
      </c>
      <c r="AJ11" s="26">
        <f t="shared" si="0"/>
        <v>0</v>
      </c>
      <c r="AK11" s="26">
        <f t="shared" si="1"/>
        <v>865088.77221273305</v>
      </c>
      <c r="AL11" s="26">
        <f t="shared" si="2"/>
        <v>-785795.95299924398</v>
      </c>
      <c r="AM11" s="26">
        <f t="shared" si="3"/>
        <v>0</v>
      </c>
      <c r="AN11" s="28">
        <f t="shared" si="4"/>
        <v>0</v>
      </c>
      <c r="AO11" s="28">
        <f t="shared" si="5"/>
        <v>-71939.5960192692</v>
      </c>
      <c r="AP11" s="28">
        <f t="shared" si="6"/>
        <v>-71939.5960192692</v>
      </c>
      <c r="AQ11" s="28">
        <f>IF([1]Day1!A11&lt;[1]KPI!$B$15,1,0)</f>
        <v>0</v>
      </c>
      <c r="AR11" s="28">
        <f>IF([1]Day1!A11&gt;=[1]KPI!$B$15,1,0)</f>
        <v>1</v>
      </c>
      <c r="AS11" s="28">
        <f t="shared" si="7"/>
        <v>0</v>
      </c>
      <c r="AT11" s="28">
        <f t="shared" si="7"/>
        <v>865088.77221273305</v>
      </c>
      <c r="AU11">
        <v>0</v>
      </c>
    </row>
    <row r="12" spans="1:47" x14ac:dyDescent="0.25">
      <c r="A12" s="29">
        <v>0.27678199999999997</v>
      </c>
      <c r="B12">
        <v>36000</v>
      </c>
      <c r="C12">
        <v>336000</v>
      </c>
      <c r="D12">
        <v>1516562.5</v>
      </c>
      <c r="E12">
        <v>-580924.07268498605</v>
      </c>
      <c r="F12">
        <v>0</v>
      </c>
      <c r="G12">
        <v>0</v>
      </c>
      <c r="H12">
        <v>1271638.4269999999</v>
      </c>
      <c r="I12">
        <v>0</v>
      </c>
      <c r="J12">
        <v>0</v>
      </c>
      <c r="K12">
        <v>0</v>
      </c>
      <c r="L12">
        <v>36137.75</v>
      </c>
      <c r="M12">
        <v>73307.577150063502</v>
      </c>
      <c r="N12">
        <v>0</v>
      </c>
      <c r="O12">
        <v>-376750</v>
      </c>
      <c r="P12">
        <v>-367314.06141520798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0.43006097517804298</v>
      </c>
      <c r="AB12">
        <v>0.5</v>
      </c>
      <c r="AC12">
        <v>0</v>
      </c>
      <c r="AD12">
        <v>0</v>
      </c>
      <c r="AE12">
        <v>2543276.8543150099</v>
      </c>
      <c r="AF12">
        <v>-634618.73426514503</v>
      </c>
      <c r="AG12">
        <v>0.31591271799999998</v>
      </c>
      <c r="AH12">
        <v>0.20213999999999999</v>
      </c>
      <c r="AI12">
        <v>-744064.06141520804</v>
      </c>
      <c r="AJ12" s="26">
        <f t="shared" si="0"/>
        <v>0</v>
      </c>
      <c r="AK12" s="26">
        <f t="shared" si="1"/>
        <v>2543276.8543150099</v>
      </c>
      <c r="AL12" s="26">
        <f t="shared" si="2"/>
        <v>-634618.73426514503</v>
      </c>
      <c r="AM12" s="26">
        <f t="shared" si="3"/>
        <v>0</v>
      </c>
      <c r="AN12" s="28">
        <f t="shared" si="4"/>
        <v>3.7252902984619141E-9</v>
      </c>
      <c r="AO12" s="28">
        <f t="shared" si="5"/>
        <v>-109445.32715006301</v>
      </c>
      <c r="AP12" s="28">
        <f t="shared" si="6"/>
        <v>-109445.32715005928</v>
      </c>
      <c r="AQ12" s="28">
        <f>IF([1]Day1!A12&lt;[1]KPI!$B$15,1,0)</f>
        <v>0</v>
      </c>
      <c r="AR12" s="28">
        <f>IF([1]Day1!A12&gt;=[1]KPI!$B$15,1,0)</f>
        <v>1</v>
      </c>
      <c r="AS12" s="28">
        <f t="shared" si="7"/>
        <v>0</v>
      </c>
      <c r="AT12" s="28">
        <f t="shared" si="7"/>
        <v>2543276.8543150099</v>
      </c>
      <c r="AU12">
        <v>0</v>
      </c>
    </row>
    <row r="13" spans="1:47" x14ac:dyDescent="0.25">
      <c r="A13" s="29">
        <v>0.270368</v>
      </c>
      <c r="B13">
        <v>39600</v>
      </c>
      <c r="C13">
        <v>217981.25</v>
      </c>
      <c r="D13">
        <v>1754400</v>
      </c>
      <c r="E13">
        <v>-591875.22484859498</v>
      </c>
      <c r="F13">
        <v>0</v>
      </c>
      <c r="G13">
        <v>0</v>
      </c>
      <c r="H13">
        <v>295817.18660000002</v>
      </c>
      <c r="I13">
        <v>0</v>
      </c>
      <c r="J13">
        <v>0</v>
      </c>
      <c r="K13">
        <v>0</v>
      </c>
      <c r="L13">
        <v>28532</v>
      </c>
      <c r="M13">
        <v>38491.988262639999</v>
      </c>
      <c r="N13">
        <v>0</v>
      </c>
      <c r="O13">
        <v>-364166.66666666698</v>
      </c>
      <c r="P13">
        <v>-399809.10313458298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0.24196090033260301</v>
      </c>
      <c r="AB13">
        <v>0.5</v>
      </c>
      <c r="AC13">
        <v>0</v>
      </c>
      <c r="AD13">
        <v>0</v>
      </c>
      <c r="AE13">
        <v>1676323.21175141</v>
      </c>
      <c r="AF13">
        <v>-696951.78153861</v>
      </c>
      <c r="AG13">
        <v>0.30335492800000002</v>
      </c>
      <c r="AH13">
        <v>0.18858</v>
      </c>
      <c r="AI13">
        <v>-763975.76980124996</v>
      </c>
      <c r="AJ13" s="26">
        <f t="shared" si="0"/>
        <v>0</v>
      </c>
      <c r="AK13" s="26">
        <f t="shared" si="1"/>
        <v>1676323.21175141</v>
      </c>
      <c r="AL13" s="26">
        <f t="shared" si="2"/>
        <v>-696951.78153861</v>
      </c>
      <c r="AM13" s="26">
        <f t="shared" si="3"/>
        <v>0</v>
      </c>
      <c r="AN13" s="28">
        <f t="shared" si="4"/>
        <v>-4.8894435167312622E-9</v>
      </c>
      <c r="AO13" s="28">
        <f t="shared" si="5"/>
        <v>-67023.988262639963</v>
      </c>
      <c r="AP13" s="28">
        <f t="shared" si="6"/>
        <v>-67023.988262644853</v>
      </c>
      <c r="AQ13" s="28">
        <f>IF([1]Day1!A13&lt;[1]KPI!$B$15,1,0)</f>
        <v>0</v>
      </c>
      <c r="AR13" s="28">
        <f>IF([1]Day1!A13&gt;=[1]KPI!$B$15,1,0)</f>
        <v>1</v>
      </c>
      <c r="AS13" s="28">
        <f t="shared" si="7"/>
        <v>0</v>
      </c>
      <c r="AT13" s="28">
        <f t="shared" si="7"/>
        <v>1676323.21175141</v>
      </c>
      <c r="AU13">
        <v>0</v>
      </c>
    </row>
    <row r="14" spans="1:47" x14ac:dyDescent="0.25">
      <c r="A14" s="29">
        <v>0.266897</v>
      </c>
      <c r="B14">
        <v>43200</v>
      </c>
      <c r="C14">
        <v>235475</v>
      </c>
      <c r="D14">
        <v>2021168.75</v>
      </c>
      <c r="E14">
        <v>-592297.22405450698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44426.5</v>
      </c>
      <c r="M14">
        <v>25000</v>
      </c>
      <c r="N14">
        <v>0</v>
      </c>
      <c r="O14">
        <v>-351666.66666666698</v>
      </c>
      <c r="P14">
        <v>-367314.06141520798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0.19789398541872799</v>
      </c>
      <c r="AB14">
        <v>0.5</v>
      </c>
      <c r="AC14">
        <v>0</v>
      </c>
      <c r="AD14">
        <v>0</v>
      </c>
      <c r="AE14">
        <v>1664346.52594549</v>
      </c>
      <c r="AF14">
        <v>-649554.22808187502</v>
      </c>
      <c r="AG14">
        <v>0.30180439999999997</v>
      </c>
      <c r="AH14">
        <v>0.18761</v>
      </c>
      <c r="AI14">
        <v>-718980.72808187502</v>
      </c>
      <c r="AJ14" s="26">
        <f t="shared" si="0"/>
        <v>0</v>
      </c>
      <c r="AK14" s="26">
        <f t="shared" si="1"/>
        <v>1664346.52594549</v>
      </c>
      <c r="AL14" s="26">
        <f t="shared" si="2"/>
        <v>-649554.22808187502</v>
      </c>
      <c r="AM14" s="26">
        <f t="shared" si="3"/>
        <v>0</v>
      </c>
      <c r="AN14" s="28">
        <f t="shared" si="4"/>
        <v>3.0267983675003052E-9</v>
      </c>
      <c r="AO14" s="28">
        <f t="shared" si="5"/>
        <v>-69426.5</v>
      </c>
      <c r="AP14" s="28">
        <f t="shared" si="6"/>
        <v>-69426.499999996973</v>
      </c>
      <c r="AQ14" s="28">
        <f>IF([1]Day1!A14&lt;[1]KPI!$B$15,1,0)</f>
        <v>1</v>
      </c>
      <c r="AR14" s="28">
        <f>IF([1]Day1!A14&gt;=[1]KPI!$B$15,1,0)</f>
        <v>0</v>
      </c>
      <c r="AS14" s="28">
        <f t="shared" si="7"/>
        <v>0</v>
      </c>
      <c r="AT14" s="28">
        <f t="shared" si="7"/>
        <v>0</v>
      </c>
      <c r="AU14">
        <v>0</v>
      </c>
    </row>
    <row r="15" spans="1:47" x14ac:dyDescent="0.25">
      <c r="A15" s="29">
        <v>0.26474700000000001</v>
      </c>
      <c r="B15">
        <v>46800</v>
      </c>
      <c r="C15">
        <v>133925</v>
      </c>
      <c r="D15">
        <v>2055762.5</v>
      </c>
      <c r="E15">
        <v>-598775.48067917104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-1378.3824999999999</v>
      </c>
      <c r="M15">
        <v>25000</v>
      </c>
      <c r="N15">
        <v>0</v>
      </c>
      <c r="O15">
        <v>-339083.33333333302</v>
      </c>
      <c r="P15">
        <v>-367314.06141520798</v>
      </c>
      <c r="Q15">
        <v>-1317.14876033057</v>
      </c>
      <c r="R15">
        <v>-1317.14876033057</v>
      </c>
      <c r="S15">
        <v>-1317.14876033057</v>
      </c>
      <c r="T15">
        <v>-1317.14876033057</v>
      </c>
      <c r="U15">
        <v>-1317.14876033057</v>
      </c>
      <c r="V15">
        <v>-1317.14876033057</v>
      </c>
      <c r="W15">
        <v>-1317.14876033057</v>
      </c>
      <c r="X15">
        <v>-1317.14876033057</v>
      </c>
      <c r="Y15">
        <v>-1317.14876033057</v>
      </c>
      <c r="Z15">
        <v>-1317.14876033057</v>
      </c>
      <c r="AA15">
        <v>0.19789398541872799</v>
      </c>
      <c r="AB15">
        <v>0.5</v>
      </c>
      <c r="AC15">
        <v>0</v>
      </c>
      <c r="AD15">
        <v>0</v>
      </c>
      <c r="AE15">
        <v>1590912.01932083</v>
      </c>
      <c r="AF15">
        <v>-695947.26485184801</v>
      </c>
      <c r="AG15">
        <v>0.245673167</v>
      </c>
      <c r="AH15">
        <v>0.1767</v>
      </c>
      <c r="AI15">
        <v>-719568.8823518462</v>
      </c>
      <c r="AJ15" s="26">
        <f t="shared" si="0"/>
        <v>0</v>
      </c>
      <c r="AK15" s="26">
        <f t="shared" si="1"/>
        <v>1590912.01932083</v>
      </c>
      <c r="AL15" s="26">
        <f t="shared" si="2"/>
        <v>-695947.26485184801</v>
      </c>
      <c r="AM15" s="26">
        <f t="shared" si="3"/>
        <v>0</v>
      </c>
      <c r="AN15" s="28">
        <f t="shared" si="4"/>
        <v>0</v>
      </c>
      <c r="AO15" s="28">
        <f t="shared" si="5"/>
        <v>-23621.617499998189</v>
      </c>
      <c r="AP15" s="28">
        <f t="shared" si="6"/>
        <v>-23621.617499999353</v>
      </c>
      <c r="AQ15" s="28">
        <f>IF([1]Day1!A15&lt;[1]KPI!$B$15,1,0)</f>
        <v>1</v>
      </c>
      <c r="AR15" s="28">
        <f>IF([1]Day1!A15&gt;=[1]KPI!$B$15,1,0)</f>
        <v>0</v>
      </c>
      <c r="AS15" s="28">
        <f t="shared" si="7"/>
        <v>0</v>
      </c>
      <c r="AT15" s="28">
        <f t="shared" si="7"/>
        <v>0</v>
      </c>
      <c r="AU15">
        <v>0</v>
      </c>
    </row>
    <row r="16" spans="1:47" x14ac:dyDescent="0.25">
      <c r="A16" s="29">
        <v>0.26649400000000001</v>
      </c>
      <c r="B16">
        <v>50400</v>
      </c>
      <c r="C16">
        <v>157206.25</v>
      </c>
      <c r="D16">
        <v>2010225</v>
      </c>
      <c r="E16">
        <v>-652621.24286732206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-689.28</v>
      </c>
      <c r="M16">
        <v>38090.705931323297</v>
      </c>
      <c r="N16">
        <v>0</v>
      </c>
      <c r="O16">
        <v>-313916.66666666698</v>
      </c>
      <c r="P16">
        <v>-367314.06141520798</v>
      </c>
      <c r="Q16">
        <v>-1317.14876033057</v>
      </c>
      <c r="R16">
        <v>-1317.14876033057</v>
      </c>
      <c r="S16">
        <v>-1317.14876033057</v>
      </c>
      <c r="T16">
        <v>-1317.14876033057</v>
      </c>
      <c r="U16">
        <v>-1317.14876033057</v>
      </c>
      <c r="V16">
        <v>-1317.14876033057</v>
      </c>
      <c r="W16">
        <v>-1317.14876033057</v>
      </c>
      <c r="X16">
        <v>-1317.14876033057</v>
      </c>
      <c r="Y16">
        <v>-1317.14876033057</v>
      </c>
      <c r="Z16">
        <v>-1317.14876033057</v>
      </c>
      <c r="AA16">
        <v>0.19789398541872799</v>
      </c>
      <c r="AB16">
        <v>0.5</v>
      </c>
      <c r="AC16">
        <v>0</v>
      </c>
      <c r="AD16">
        <v>0</v>
      </c>
      <c r="AE16">
        <v>1514810.0071326799</v>
      </c>
      <c r="AF16">
        <v>-657000.789753858</v>
      </c>
      <c r="AG16">
        <v>0.25087705900000001</v>
      </c>
      <c r="AH16">
        <v>0.17738999999999999</v>
      </c>
      <c r="AI16">
        <v>-694402.21568518016</v>
      </c>
      <c r="AJ16" s="26">
        <f t="shared" si="0"/>
        <v>0</v>
      </c>
      <c r="AK16" s="26">
        <f t="shared" si="1"/>
        <v>1514810.0071326799</v>
      </c>
      <c r="AL16" s="26">
        <f t="shared" si="2"/>
        <v>-657000.789753858</v>
      </c>
      <c r="AM16" s="26">
        <f t="shared" si="3"/>
        <v>0</v>
      </c>
      <c r="AN16" s="28">
        <f t="shared" si="4"/>
        <v>-2.0954757928848267E-9</v>
      </c>
      <c r="AO16" s="28">
        <f t="shared" si="5"/>
        <v>-37401.425931322156</v>
      </c>
      <c r="AP16" s="28">
        <f t="shared" si="6"/>
        <v>-37401.425931324251</v>
      </c>
      <c r="AQ16" s="28">
        <f>IF([1]Day1!A16&lt;[1]KPI!$B$15,1,0)</f>
        <v>1</v>
      </c>
      <c r="AR16" s="28">
        <f>IF([1]Day1!A16&gt;=[1]KPI!$B$15,1,0)</f>
        <v>0</v>
      </c>
      <c r="AS16" s="28">
        <f t="shared" si="7"/>
        <v>0</v>
      </c>
      <c r="AT16" s="28">
        <f t="shared" si="7"/>
        <v>0</v>
      </c>
      <c r="AU16">
        <v>0</v>
      </c>
    </row>
    <row r="17" spans="1:47" x14ac:dyDescent="0.25">
      <c r="A17" s="29">
        <v>0.270067</v>
      </c>
      <c r="B17">
        <v>54000</v>
      </c>
      <c r="C17">
        <v>81712.5</v>
      </c>
      <c r="D17">
        <v>1873050</v>
      </c>
      <c r="E17">
        <v>-610611.87287919899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-19.784199999999998</v>
      </c>
      <c r="M17">
        <v>26351.285216201501</v>
      </c>
      <c r="N17">
        <v>0</v>
      </c>
      <c r="O17">
        <v>-326500</v>
      </c>
      <c r="P17">
        <v>-367314.06141520798</v>
      </c>
      <c r="Q17">
        <v>-2634.29752066116</v>
      </c>
      <c r="R17">
        <v>-2634.29752066116</v>
      </c>
      <c r="S17">
        <v>-2634.29752066116</v>
      </c>
      <c r="T17">
        <v>-2634.29752066116</v>
      </c>
      <c r="U17">
        <v>-2634.29752066116</v>
      </c>
      <c r="V17">
        <v>-2634.29752066116</v>
      </c>
      <c r="W17">
        <v>-2634.29752066116</v>
      </c>
      <c r="X17">
        <v>-2634.29752066116</v>
      </c>
      <c r="Y17">
        <v>-2634.29752066116</v>
      </c>
      <c r="Z17">
        <v>-2634.29752066116</v>
      </c>
      <c r="AA17">
        <v>0.19789398541872799</v>
      </c>
      <c r="AB17">
        <v>0.5</v>
      </c>
      <c r="AC17">
        <v>0</v>
      </c>
      <c r="AD17">
        <v>0</v>
      </c>
      <c r="AE17">
        <v>1344150.6271208001</v>
      </c>
      <c r="AF17">
        <v>-693825.53560561803</v>
      </c>
      <c r="AG17">
        <v>0.249161784</v>
      </c>
      <c r="AH17">
        <v>0.17471</v>
      </c>
      <c r="AI17">
        <v>-720157.03662181948</v>
      </c>
      <c r="AJ17" s="26">
        <f t="shared" si="0"/>
        <v>0</v>
      </c>
      <c r="AK17" s="26">
        <f t="shared" si="1"/>
        <v>1344150.6271208001</v>
      </c>
      <c r="AL17" s="26">
        <f t="shared" si="2"/>
        <v>-693825.53560561803</v>
      </c>
      <c r="AM17" s="26">
        <f t="shared" si="3"/>
        <v>0</v>
      </c>
      <c r="AN17" s="28">
        <f t="shared" si="4"/>
        <v>0</v>
      </c>
      <c r="AO17" s="28">
        <f t="shared" si="5"/>
        <v>-26331.501016201451</v>
      </c>
      <c r="AP17" s="28">
        <f t="shared" si="6"/>
        <v>-26331.50101620052</v>
      </c>
      <c r="AQ17" s="28">
        <f>IF([1]Day1!A17&lt;[1]KPI!$B$15,1,0)</f>
        <v>0</v>
      </c>
      <c r="AR17" s="28">
        <f>IF([1]Day1!A17&gt;=[1]KPI!$B$15,1,0)</f>
        <v>1</v>
      </c>
      <c r="AS17" s="28">
        <f t="shared" si="7"/>
        <v>0</v>
      </c>
      <c r="AT17" s="28">
        <f t="shared" si="7"/>
        <v>1344150.6271208001</v>
      </c>
      <c r="AU17">
        <v>0</v>
      </c>
    </row>
    <row r="18" spans="1:47" x14ac:dyDescent="0.25">
      <c r="A18" s="29">
        <v>0.27431899999999998</v>
      </c>
      <c r="B18">
        <v>57600</v>
      </c>
      <c r="C18">
        <v>55593.75</v>
      </c>
      <c r="D18">
        <v>2095193.75</v>
      </c>
      <c r="E18">
        <v>-600421.82167300896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1249.8050000000001</v>
      </c>
      <c r="M18">
        <v>40149.277336344501</v>
      </c>
      <c r="N18">
        <v>0</v>
      </c>
      <c r="O18">
        <v>-339083.33333333302</v>
      </c>
      <c r="P18">
        <v>-399809.10313458298</v>
      </c>
      <c r="Q18">
        <v>-2634.29752066116</v>
      </c>
      <c r="R18">
        <v>-2634.29752066116</v>
      </c>
      <c r="S18">
        <v>-2634.29752066116</v>
      </c>
      <c r="T18">
        <v>-2634.29752066116</v>
      </c>
      <c r="U18">
        <v>-2634.29752066116</v>
      </c>
      <c r="V18">
        <v>-2634.29752066116</v>
      </c>
      <c r="W18">
        <v>-2634.29752066116</v>
      </c>
      <c r="X18">
        <v>-2634.29752066116</v>
      </c>
      <c r="Y18">
        <v>-2634.29752066116</v>
      </c>
      <c r="Z18">
        <v>-2634.29752066116</v>
      </c>
      <c r="AA18">
        <v>0.19789398541872799</v>
      </c>
      <c r="AB18">
        <v>0.5</v>
      </c>
      <c r="AC18">
        <v>0</v>
      </c>
      <c r="AD18">
        <v>0</v>
      </c>
      <c r="AE18">
        <v>1550365.67832699</v>
      </c>
      <c r="AF18">
        <v>-723836.32933818398</v>
      </c>
      <c r="AG18">
        <v>0.255213409</v>
      </c>
      <c r="AH18">
        <v>0.17993999999999999</v>
      </c>
      <c r="AI18">
        <v>-765235.41167452745</v>
      </c>
      <c r="AJ18" s="26">
        <f t="shared" si="0"/>
        <v>0</v>
      </c>
      <c r="AK18" s="26">
        <f t="shared" si="1"/>
        <v>1550365.67832699</v>
      </c>
      <c r="AL18" s="26">
        <f t="shared" si="2"/>
        <v>-723836.32933818398</v>
      </c>
      <c r="AM18" s="26">
        <f t="shared" si="3"/>
        <v>0</v>
      </c>
      <c r="AN18" s="28">
        <f t="shared" si="4"/>
        <v>0</v>
      </c>
      <c r="AO18" s="28">
        <f t="shared" si="5"/>
        <v>-41399.082336343476</v>
      </c>
      <c r="AP18" s="28">
        <f t="shared" si="6"/>
        <v>-41399.082336342544</v>
      </c>
      <c r="AQ18" s="28">
        <f>IF([1]Day1!A18&lt;[1]KPI!$B$15,1,0)</f>
        <v>0</v>
      </c>
      <c r="AR18" s="28">
        <f>IF([1]Day1!A18&gt;=[1]KPI!$B$15,1,0)</f>
        <v>1</v>
      </c>
      <c r="AS18" s="28">
        <f t="shared" si="7"/>
        <v>0</v>
      </c>
      <c r="AT18" s="28">
        <f t="shared" si="7"/>
        <v>1550365.67832699</v>
      </c>
      <c r="AU18">
        <v>0</v>
      </c>
    </row>
    <row r="19" spans="1:47" x14ac:dyDescent="0.25">
      <c r="A19" s="29">
        <v>0.27111299999999999</v>
      </c>
      <c r="B19">
        <v>61200</v>
      </c>
      <c r="C19">
        <v>175175</v>
      </c>
      <c r="D19">
        <v>1809862.5</v>
      </c>
      <c r="E19">
        <v>-550562.47584464902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16127.35</v>
      </c>
      <c r="M19">
        <v>56163.015570135802</v>
      </c>
      <c r="N19">
        <v>0</v>
      </c>
      <c r="O19">
        <v>-351666.66666666698</v>
      </c>
      <c r="P19">
        <v>-367314.06141520798</v>
      </c>
      <c r="Q19">
        <v>-2634.29752066116</v>
      </c>
      <c r="R19">
        <v>-2634.29752066116</v>
      </c>
      <c r="S19">
        <v>-2634.29752066116</v>
      </c>
      <c r="T19">
        <v>-2634.29752066116</v>
      </c>
      <c r="U19">
        <v>-2634.29752066116</v>
      </c>
      <c r="V19">
        <v>-2634.29752066116</v>
      </c>
      <c r="W19">
        <v>-2634.29752066116</v>
      </c>
      <c r="X19">
        <v>-2634.29752066116</v>
      </c>
      <c r="Y19">
        <v>-2634.29752066116</v>
      </c>
      <c r="Z19">
        <v>-2634.29752066116</v>
      </c>
      <c r="AA19">
        <v>0.19789398541872799</v>
      </c>
      <c r="AB19">
        <v>0.5</v>
      </c>
      <c r="AC19">
        <v>0</v>
      </c>
      <c r="AD19">
        <v>0</v>
      </c>
      <c r="AE19">
        <v>1434475.0241553499</v>
      </c>
      <c r="AF19">
        <v>-673033.33771835105</v>
      </c>
      <c r="AG19">
        <v>0.29964375500000001</v>
      </c>
      <c r="AH19">
        <v>0.17988000000000001</v>
      </c>
      <c r="AI19">
        <v>-745323.70328848646</v>
      </c>
      <c r="AJ19" s="26">
        <f t="shared" si="0"/>
        <v>0</v>
      </c>
      <c r="AK19" s="26">
        <f t="shared" si="1"/>
        <v>1434475.0241553499</v>
      </c>
      <c r="AL19" s="26">
        <f t="shared" si="2"/>
        <v>-673033.33771835105</v>
      </c>
      <c r="AM19" s="26">
        <f t="shared" si="3"/>
        <v>0</v>
      </c>
      <c r="AN19" s="28">
        <f t="shared" si="4"/>
        <v>0</v>
      </c>
      <c r="AO19" s="28">
        <f t="shared" si="5"/>
        <v>-72290.365570135415</v>
      </c>
      <c r="AP19" s="28">
        <f t="shared" si="6"/>
        <v>-72290.365570134483</v>
      </c>
      <c r="AQ19" s="28">
        <f>IF([1]Day1!A19&lt;[1]KPI!$B$15,1,0)</f>
        <v>0</v>
      </c>
      <c r="AR19" s="28">
        <f>IF([1]Day1!A19&gt;=[1]KPI!$B$15,1,0)</f>
        <v>1</v>
      </c>
      <c r="AS19" s="28">
        <f t="shared" si="7"/>
        <v>0</v>
      </c>
      <c r="AT19" s="28">
        <f t="shared" si="7"/>
        <v>1434475.0241553499</v>
      </c>
      <c r="AU19">
        <v>0</v>
      </c>
    </row>
    <row r="20" spans="1:47" x14ac:dyDescent="0.25">
      <c r="A20" s="29">
        <v>0.28212799999999999</v>
      </c>
      <c r="B20">
        <v>64800</v>
      </c>
      <c r="C20">
        <v>332050</v>
      </c>
      <c r="D20">
        <v>1284600</v>
      </c>
      <c r="E20">
        <v>-464054.25624470599</v>
      </c>
      <c r="F20">
        <v>0</v>
      </c>
      <c r="G20">
        <v>0</v>
      </c>
      <c r="H20">
        <v>-1558420</v>
      </c>
      <c r="I20">
        <v>0</v>
      </c>
      <c r="J20">
        <v>0</v>
      </c>
      <c r="K20">
        <v>0</v>
      </c>
      <c r="L20">
        <v>29227.75</v>
      </c>
      <c r="M20">
        <v>32505.440068577798</v>
      </c>
      <c r="N20">
        <v>0</v>
      </c>
      <c r="O20">
        <v>-370500</v>
      </c>
      <c r="P20">
        <v>0</v>
      </c>
      <c r="Q20">
        <v>-10537.1900826447</v>
      </c>
      <c r="R20">
        <v>-10537.1900826447</v>
      </c>
      <c r="S20">
        <v>-10537.1900826447</v>
      </c>
      <c r="T20">
        <v>-10537.1900826447</v>
      </c>
      <c r="U20">
        <v>-10537.1900826447</v>
      </c>
      <c r="V20">
        <v>-10537.1900826447</v>
      </c>
      <c r="W20">
        <v>-10537.1900826447</v>
      </c>
      <c r="X20">
        <v>-10537.1900826447</v>
      </c>
      <c r="Y20">
        <v>-10537.1900826447</v>
      </c>
      <c r="Z20">
        <v>-10537.1900826447</v>
      </c>
      <c r="AA20">
        <v>0.19789398541872799</v>
      </c>
      <c r="AB20">
        <v>0.5</v>
      </c>
      <c r="AC20">
        <v>0</v>
      </c>
      <c r="AD20">
        <v>0</v>
      </c>
      <c r="AE20">
        <v>-405824.25624470599</v>
      </c>
      <c r="AF20">
        <v>-414138.710757869</v>
      </c>
      <c r="AG20">
        <v>0.33589886299999999</v>
      </c>
      <c r="AH20">
        <v>0.21404999999999999</v>
      </c>
      <c r="AI20">
        <v>-475871.90082644694</v>
      </c>
      <c r="AJ20" s="26">
        <f t="shared" si="0"/>
        <v>-405824.25624470599</v>
      </c>
      <c r="AK20" s="26">
        <f t="shared" si="1"/>
        <v>0</v>
      </c>
      <c r="AL20" s="26">
        <f t="shared" si="2"/>
        <v>-414138.710757869</v>
      </c>
      <c r="AM20" s="26">
        <f t="shared" si="3"/>
        <v>0</v>
      </c>
      <c r="AN20" s="28">
        <f t="shared" si="4"/>
        <v>0</v>
      </c>
      <c r="AO20" s="28">
        <f t="shared" si="5"/>
        <v>-61733.19006857794</v>
      </c>
      <c r="AP20" s="28">
        <f t="shared" si="6"/>
        <v>-61733.19006857794</v>
      </c>
      <c r="AQ20" s="28">
        <f>IF([1]Day1!A20&lt;[1]KPI!$B$15,1,0)</f>
        <v>0</v>
      </c>
      <c r="AR20" s="28">
        <f>IF([1]Day1!A20&gt;=[1]KPI!$B$15,1,0)</f>
        <v>1</v>
      </c>
      <c r="AS20" s="28">
        <f t="shared" si="7"/>
        <v>0</v>
      </c>
      <c r="AT20" s="28">
        <f t="shared" si="7"/>
        <v>0</v>
      </c>
      <c r="AU20">
        <v>0</v>
      </c>
    </row>
    <row r="21" spans="1:47" x14ac:dyDescent="0.25">
      <c r="A21" s="29">
        <v>0.28089700000000001</v>
      </c>
      <c r="B21">
        <v>68400</v>
      </c>
      <c r="C21">
        <v>145087.5</v>
      </c>
      <c r="D21">
        <v>483493.75</v>
      </c>
      <c r="E21">
        <v>-504621.90359207703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41683.25</v>
      </c>
      <c r="M21">
        <v>25000</v>
      </c>
      <c r="N21">
        <v>0</v>
      </c>
      <c r="O21">
        <v>-496083.33333333302</v>
      </c>
      <c r="P21">
        <v>0</v>
      </c>
      <c r="Q21">
        <v>-10537.1900826447</v>
      </c>
      <c r="R21">
        <v>-10537.1900826447</v>
      </c>
      <c r="S21">
        <v>-10537.1900826447</v>
      </c>
      <c r="T21">
        <v>-10537.1900826447</v>
      </c>
      <c r="U21">
        <v>-10537.1900826447</v>
      </c>
      <c r="V21">
        <v>-10537.1900826447</v>
      </c>
      <c r="W21">
        <v>-10537.1900826447</v>
      </c>
      <c r="X21">
        <v>-10537.1900826447</v>
      </c>
      <c r="Y21">
        <v>-10537.1900826447</v>
      </c>
      <c r="Z21">
        <v>-10537.1900826447</v>
      </c>
      <c r="AA21">
        <v>0.43859378873013299</v>
      </c>
      <c r="AB21">
        <v>0.5</v>
      </c>
      <c r="AC21">
        <v>0</v>
      </c>
      <c r="AD21">
        <v>0</v>
      </c>
      <c r="AE21">
        <v>123959.346407923</v>
      </c>
      <c r="AF21">
        <v>-534771.98415977997</v>
      </c>
      <c r="AG21">
        <v>0.33129059300000002</v>
      </c>
      <c r="AH21">
        <v>0.20932000000000001</v>
      </c>
      <c r="AI21">
        <v>-601455.23415977997</v>
      </c>
      <c r="AJ21" s="26">
        <f t="shared" si="0"/>
        <v>0</v>
      </c>
      <c r="AK21" s="26">
        <f t="shared" si="1"/>
        <v>123959.346407923</v>
      </c>
      <c r="AL21" s="26">
        <f t="shared" si="2"/>
        <v>-534771.98415977997</v>
      </c>
      <c r="AM21" s="26">
        <f t="shared" si="3"/>
        <v>0</v>
      </c>
      <c r="AN21" s="28">
        <f t="shared" si="4"/>
        <v>0</v>
      </c>
      <c r="AO21" s="28">
        <f t="shared" si="5"/>
        <v>-66683.25</v>
      </c>
      <c r="AP21" s="28">
        <f t="shared" si="6"/>
        <v>-66683.25</v>
      </c>
      <c r="AQ21" s="28">
        <f>IF([1]Day1!A21&lt;[1]KPI!$B$15,1,0)</f>
        <v>0</v>
      </c>
      <c r="AR21" s="28">
        <f>IF([1]Day1!A21&gt;=[1]KPI!$B$15,1,0)</f>
        <v>1</v>
      </c>
      <c r="AS21" s="28">
        <f t="shared" si="7"/>
        <v>0</v>
      </c>
      <c r="AT21" s="28">
        <f t="shared" si="7"/>
        <v>123959.346407923</v>
      </c>
      <c r="AU21">
        <v>0</v>
      </c>
    </row>
    <row r="22" spans="1:47" x14ac:dyDescent="0.25">
      <c r="A22" s="29">
        <v>0.27615600000000001</v>
      </c>
      <c r="B22">
        <v>72000</v>
      </c>
      <c r="C22">
        <v>11268.75</v>
      </c>
      <c r="D22">
        <v>148112.5</v>
      </c>
      <c r="E22">
        <v>-526945.15474724898</v>
      </c>
      <c r="F22">
        <v>0</v>
      </c>
      <c r="G22">
        <v>0</v>
      </c>
      <c r="H22">
        <v>0</v>
      </c>
      <c r="I22">
        <v>0</v>
      </c>
      <c r="J22">
        <v>-367563.90470000001</v>
      </c>
      <c r="K22">
        <v>0</v>
      </c>
      <c r="L22">
        <v>-1412.095</v>
      </c>
      <c r="M22">
        <v>25000</v>
      </c>
      <c r="N22">
        <v>0</v>
      </c>
      <c r="O22">
        <v>-464666.66666666698</v>
      </c>
      <c r="P22">
        <v>0</v>
      </c>
      <c r="Q22">
        <v>-2634.29752066116</v>
      </c>
      <c r="R22">
        <v>-2634.29752066116</v>
      </c>
      <c r="S22">
        <v>-2634.29752066116</v>
      </c>
      <c r="T22">
        <v>-2634.29752066116</v>
      </c>
      <c r="U22">
        <v>-2634.29752066116</v>
      </c>
      <c r="V22">
        <v>-2634.29752066116</v>
      </c>
      <c r="W22">
        <v>-2634.29752066116</v>
      </c>
      <c r="X22">
        <v>-2634.29752066116</v>
      </c>
      <c r="Y22">
        <v>-2634.29752066116</v>
      </c>
      <c r="Z22">
        <v>-2634.29752066116</v>
      </c>
      <c r="AA22">
        <v>0.43859378873013299</v>
      </c>
      <c r="AB22">
        <v>0.5</v>
      </c>
      <c r="AC22">
        <v>0</v>
      </c>
      <c r="AD22">
        <v>0</v>
      </c>
      <c r="AE22">
        <v>-735127.80944724905</v>
      </c>
      <c r="AF22">
        <v>-467421.73687327799</v>
      </c>
      <c r="AG22">
        <v>0.33336906799999999</v>
      </c>
      <c r="AH22">
        <v>0.21426999999999999</v>
      </c>
      <c r="AI22">
        <v>-491009.64187327842</v>
      </c>
      <c r="AJ22" s="26">
        <f t="shared" si="0"/>
        <v>-735127.80944724905</v>
      </c>
      <c r="AK22" s="26">
        <f t="shared" si="1"/>
        <v>0</v>
      </c>
      <c r="AL22" s="26">
        <f t="shared" si="2"/>
        <v>-467421.73687327799</v>
      </c>
      <c r="AM22" s="26">
        <f t="shared" si="3"/>
        <v>0</v>
      </c>
      <c r="AN22" s="28">
        <f t="shared" si="4"/>
        <v>0</v>
      </c>
      <c r="AO22" s="28">
        <f t="shared" si="5"/>
        <v>-23587.905000000435</v>
      </c>
      <c r="AP22" s="28">
        <f t="shared" si="6"/>
        <v>-23587.905000000319</v>
      </c>
      <c r="AQ22" s="28">
        <f>IF([1]Day1!A22&lt;[1]KPI!$B$15,1,0)</f>
        <v>0</v>
      </c>
      <c r="AR22" s="28">
        <f>IF([1]Day1!A22&gt;=[1]KPI!$B$15,1,0)</f>
        <v>1</v>
      </c>
      <c r="AS22" s="28">
        <f t="shared" si="7"/>
        <v>0</v>
      </c>
      <c r="AT22" s="28">
        <f t="shared" si="7"/>
        <v>0</v>
      </c>
      <c r="AU22">
        <v>0</v>
      </c>
    </row>
    <row r="23" spans="1:47" x14ac:dyDescent="0.25">
      <c r="A23" s="29">
        <v>0.27117200000000002</v>
      </c>
      <c r="B23">
        <v>75600</v>
      </c>
      <c r="C23">
        <v>0</v>
      </c>
      <c r="D23">
        <v>12187.5</v>
      </c>
      <c r="E23">
        <v>-501302.29423543898</v>
      </c>
      <c r="F23">
        <v>0</v>
      </c>
      <c r="G23">
        <v>0</v>
      </c>
      <c r="H23">
        <v>0</v>
      </c>
      <c r="I23">
        <v>0</v>
      </c>
      <c r="J23">
        <v>-450000</v>
      </c>
      <c r="K23">
        <v>0</v>
      </c>
      <c r="L23">
        <v>-1362.5450000000001</v>
      </c>
      <c r="M23">
        <v>25000</v>
      </c>
      <c r="N23">
        <v>0</v>
      </c>
      <c r="O23">
        <v>-270000</v>
      </c>
      <c r="P23">
        <v>0</v>
      </c>
      <c r="Q23">
        <v>-2634.29752066116</v>
      </c>
      <c r="R23">
        <v>-2634.29752066116</v>
      </c>
      <c r="S23">
        <v>-2634.29752066116</v>
      </c>
      <c r="T23">
        <v>-2634.29752066116</v>
      </c>
      <c r="U23">
        <v>-2634.29752066116</v>
      </c>
      <c r="V23">
        <v>-2634.29752066116</v>
      </c>
      <c r="W23">
        <v>-2634.29752066116</v>
      </c>
      <c r="X23">
        <v>-2634.29752066116</v>
      </c>
      <c r="Y23">
        <v>-2634.29752066116</v>
      </c>
      <c r="Z23">
        <v>-2634.29752066116</v>
      </c>
      <c r="AA23">
        <v>0.43859378873013299</v>
      </c>
      <c r="AB23">
        <v>0.5</v>
      </c>
      <c r="AC23">
        <v>7.1692207933036003E-2</v>
      </c>
      <c r="AD23">
        <v>0</v>
      </c>
      <c r="AE23">
        <v>-939114.79423543904</v>
      </c>
      <c r="AF23">
        <v>-272705.52020661102</v>
      </c>
      <c r="AG23">
        <v>0.28467593699999999</v>
      </c>
      <c r="AH23">
        <v>0.20943999999999999</v>
      </c>
      <c r="AI23">
        <v>-296342.97520661145</v>
      </c>
      <c r="AJ23" s="26">
        <f t="shared" si="0"/>
        <v>-939114.79423543904</v>
      </c>
      <c r="AK23" s="26">
        <f t="shared" si="1"/>
        <v>0</v>
      </c>
      <c r="AL23" s="26">
        <f t="shared" si="2"/>
        <v>-272705.52020661102</v>
      </c>
      <c r="AM23" s="26">
        <f t="shared" si="3"/>
        <v>0</v>
      </c>
      <c r="AN23" s="28">
        <f t="shared" si="4"/>
        <v>0</v>
      </c>
      <c r="AO23" s="28">
        <f t="shared" si="5"/>
        <v>-23637.455000000424</v>
      </c>
      <c r="AP23" s="28">
        <f t="shared" si="6"/>
        <v>-23637.455000000424</v>
      </c>
      <c r="AQ23" s="28">
        <f>IF([1]Day1!A23&lt;[1]KPI!$B$15,1,0)</f>
        <v>0</v>
      </c>
      <c r="AR23" s="28">
        <f>IF([1]Day1!A23&gt;=[1]KPI!$B$15,1,0)</f>
        <v>1</v>
      </c>
      <c r="AS23" s="28">
        <f t="shared" si="7"/>
        <v>0</v>
      </c>
      <c r="AT23" s="28">
        <f t="shared" si="7"/>
        <v>0</v>
      </c>
      <c r="AU23">
        <v>0</v>
      </c>
    </row>
    <row r="24" spans="1:47" x14ac:dyDescent="0.25">
      <c r="A24" s="29">
        <v>0.26649</v>
      </c>
      <c r="B24">
        <v>79200</v>
      </c>
      <c r="C24">
        <v>287.5</v>
      </c>
      <c r="D24">
        <v>0</v>
      </c>
      <c r="E24">
        <v>-499149.19361575902</v>
      </c>
      <c r="F24">
        <v>0</v>
      </c>
      <c r="G24">
        <v>0</v>
      </c>
      <c r="H24">
        <v>-30580</v>
      </c>
      <c r="I24">
        <v>0</v>
      </c>
      <c r="J24">
        <v>-450000</v>
      </c>
      <c r="K24">
        <v>0</v>
      </c>
      <c r="L24">
        <v>-653.01</v>
      </c>
      <c r="M24">
        <v>25000</v>
      </c>
      <c r="N24">
        <v>0</v>
      </c>
      <c r="O24">
        <v>-125583.33333333299</v>
      </c>
      <c r="P24">
        <v>0</v>
      </c>
      <c r="Q24">
        <v>-2634.29752066116</v>
      </c>
      <c r="R24">
        <v>-2634.29752066116</v>
      </c>
      <c r="S24">
        <v>-2634.29752066116</v>
      </c>
      <c r="T24">
        <v>-2634.29752066116</v>
      </c>
      <c r="U24">
        <v>-2634.29752066116</v>
      </c>
      <c r="V24">
        <v>-2634.29752066116</v>
      </c>
      <c r="W24">
        <v>-2634.29752066116</v>
      </c>
      <c r="X24">
        <v>-2634.29752066116</v>
      </c>
      <c r="Y24">
        <v>-2634.29752066116</v>
      </c>
      <c r="Z24">
        <v>-2634.29752066116</v>
      </c>
      <c r="AA24">
        <v>0.43859378873013299</v>
      </c>
      <c r="AB24">
        <v>0.5</v>
      </c>
      <c r="AC24">
        <v>0.18539483183974101</v>
      </c>
      <c r="AD24">
        <v>0</v>
      </c>
      <c r="AE24">
        <v>-979441.69361575902</v>
      </c>
      <c r="AF24">
        <v>-127579.318539945</v>
      </c>
      <c r="AG24">
        <v>0.25550661299999999</v>
      </c>
      <c r="AH24">
        <v>0.17979000000000001</v>
      </c>
      <c r="AI24">
        <v>-151926.3085399447</v>
      </c>
      <c r="AJ24" s="26">
        <f t="shared" si="0"/>
        <v>-979441.69361575902</v>
      </c>
      <c r="AK24" s="26">
        <f t="shared" si="1"/>
        <v>0</v>
      </c>
      <c r="AL24" s="26">
        <f t="shared" si="2"/>
        <v>-127579.318539945</v>
      </c>
      <c r="AM24" s="26">
        <f t="shared" si="3"/>
        <v>0</v>
      </c>
      <c r="AN24" s="28">
        <f t="shared" si="4"/>
        <v>0</v>
      </c>
      <c r="AO24" s="28">
        <f t="shared" si="5"/>
        <v>-24346.9899999997</v>
      </c>
      <c r="AP24" s="28">
        <f t="shared" si="6"/>
        <v>-24346.9899999997</v>
      </c>
      <c r="AQ24" s="28">
        <f>IF([1]Day1!A24&lt;[1]KPI!$B$15,1,0)</f>
        <v>1</v>
      </c>
      <c r="AR24" s="28">
        <f>IF([1]Day1!A24&gt;=[1]KPI!$B$15,1,0)</f>
        <v>0</v>
      </c>
      <c r="AS24" s="28">
        <f t="shared" si="7"/>
        <v>-979441.69361575902</v>
      </c>
      <c r="AT24" s="28">
        <f t="shared" si="7"/>
        <v>0</v>
      </c>
      <c r="AU24">
        <v>0</v>
      </c>
    </row>
    <row r="25" spans="1:47" x14ac:dyDescent="0.25">
      <c r="A25" s="29">
        <v>0.26110800000000001</v>
      </c>
      <c r="B25">
        <v>82800</v>
      </c>
      <c r="C25">
        <v>0</v>
      </c>
      <c r="D25">
        <v>0</v>
      </c>
      <c r="E25">
        <v>-481413.98059989797</v>
      </c>
      <c r="F25">
        <v>0</v>
      </c>
      <c r="G25">
        <v>0</v>
      </c>
      <c r="H25">
        <v>-451000</v>
      </c>
      <c r="I25">
        <v>0</v>
      </c>
      <c r="J25">
        <v>0</v>
      </c>
      <c r="K25">
        <v>0</v>
      </c>
      <c r="L25">
        <v>-372.94749999999999</v>
      </c>
      <c r="M25">
        <v>25000</v>
      </c>
      <c r="N25">
        <v>0</v>
      </c>
      <c r="O25">
        <v>-18833.333333333299</v>
      </c>
      <c r="P25">
        <v>0</v>
      </c>
      <c r="Q25">
        <v>-1317.14876033057</v>
      </c>
      <c r="R25">
        <v>-1317.14876033057</v>
      </c>
      <c r="S25">
        <v>-1317.14876033057</v>
      </c>
      <c r="T25">
        <v>-1317.14876033057</v>
      </c>
      <c r="U25">
        <v>-1317.14876033057</v>
      </c>
      <c r="V25">
        <v>-1317.14876033057</v>
      </c>
      <c r="W25">
        <v>-1317.14876033057</v>
      </c>
      <c r="X25">
        <v>-1317.14876033057</v>
      </c>
      <c r="Y25">
        <v>-1317.14876033057</v>
      </c>
      <c r="Z25">
        <v>-1317.14876033057</v>
      </c>
      <c r="AA25">
        <v>0.44315301093640003</v>
      </c>
      <c r="AB25">
        <v>0.5</v>
      </c>
      <c r="AC25">
        <v>0.24353205737154199</v>
      </c>
      <c r="AD25">
        <v>0</v>
      </c>
      <c r="AE25">
        <v>-932413.98059989803</v>
      </c>
      <c r="AF25">
        <v>-7377.7684366390804</v>
      </c>
      <c r="AG25">
        <v>0.21941753899999999</v>
      </c>
      <c r="AH25">
        <v>0.17288999999999999</v>
      </c>
      <c r="AI25">
        <v>-32004.820936638986</v>
      </c>
      <c r="AJ25" s="26">
        <f t="shared" si="0"/>
        <v>-932413.98059989803</v>
      </c>
      <c r="AK25" s="26">
        <f t="shared" si="1"/>
        <v>0</v>
      </c>
      <c r="AL25" s="26">
        <f t="shared" si="2"/>
        <v>-7377.7684366390804</v>
      </c>
      <c r="AM25" s="26">
        <f t="shared" si="3"/>
        <v>0</v>
      </c>
      <c r="AN25" s="28">
        <f t="shared" si="4"/>
        <v>0</v>
      </c>
      <c r="AO25" s="28">
        <f t="shared" si="5"/>
        <v>-24627.052499999903</v>
      </c>
      <c r="AP25" s="28">
        <f t="shared" si="6"/>
        <v>-24627.05249999978</v>
      </c>
      <c r="AQ25" s="28">
        <f>IF([1]Day1!A25&lt;[1]KPI!$B$15,1,0)</f>
        <v>1</v>
      </c>
      <c r="AR25" s="28">
        <f>IF([1]Day1!A25&gt;=[1]KPI!$B$15,1,0)</f>
        <v>0</v>
      </c>
      <c r="AS25" s="28">
        <f t="shared" si="7"/>
        <v>-932413.98059989803</v>
      </c>
      <c r="AT25" s="28">
        <f t="shared" si="7"/>
        <v>0</v>
      </c>
      <c r="AU25">
        <v>0</v>
      </c>
    </row>
    <row r="26" spans="1:47" x14ac:dyDescent="0.25">
      <c r="Y26" s="5"/>
      <c r="Z26" s="5"/>
      <c r="AA26" s="5"/>
      <c r="AB26" s="5"/>
      <c r="AC26" s="5"/>
      <c r="AD26" s="5"/>
      <c r="AE26" s="5"/>
      <c r="AF26" s="5"/>
    </row>
  </sheetData>
  <sortState xmlns:xlrd2="http://schemas.microsoft.com/office/spreadsheetml/2017/richdata2" ref="Z2:Z25">
    <sortCondition ref="Z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G25"/>
  <sheetViews>
    <sheetView tabSelected="1" workbookViewId="0">
      <selection activeCell="B12" sqref="B12"/>
    </sheetView>
  </sheetViews>
  <sheetFormatPr defaultRowHeight="15" x14ac:dyDescent="0.25"/>
  <cols>
    <col min="1" max="1" width="31.28515625" style="30" bestFit="1" customWidth="1"/>
    <col min="2" max="2" width="12" style="30" bestFit="1" customWidth="1"/>
    <col min="3" max="3" width="14.5703125" style="30" bestFit="1" customWidth="1"/>
    <col min="4" max="4" width="12.7109375" style="30" bestFit="1" customWidth="1"/>
    <col min="5" max="5" width="23.28515625" style="30" bestFit="1" customWidth="1"/>
    <col min="6" max="16384" width="9.140625" style="30"/>
  </cols>
  <sheetData>
    <row r="1" spans="1:7" x14ac:dyDescent="0.25">
      <c r="A1" s="30" t="s">
        <v>85</v>
      </c>
      <c r="B1" s="30">
        <f>(B10+B12)/(B9+B11)</f>
        <v>0.87770996405943957</v>
      </c>
      <c r="C1" s="30" t="s">
        <v>86</v>
      </c>
      <c r="D1" s="30">
        <f>(D10+D12)/(D9+D11)</f>
        <v>0.76601327921105211</v>
      </c>
      <c r="E1" s="30" t="s">
        <v>7</v>
      </c>
      <c r="G1" s="30">
        <f>(B10+D10+B12+D12)/(B9+D9+D11+B11)</f>
        <v>0.83973172489933878</v>
      </c>
    </row>
    <row r="2" spans="1:7" x14ac:dyDescent="0.25">
      <c r="A2" s="30" t="s">
        <v>9</v>
      </c>
    </row>
    <row r="3" spans="1:7" x14ac:dyDescent="0.25">
      <c r="A3" s="30" t="s">
        <v>13</v>
      </c>
      <c r="B3" s="30" cm="1">
        <f t="array" ref="B3">(SUM(-'Day1'!AS2:AS25)+SUM('Day1'!AT2:AT25))/(KPI!B11+KPI!B12)</f>
        <v>0.627335214837757</v>
      </c>
    </row>
    <row r="4" spans="1:7" x14ac:dyDescent="0.25">
      <c r="A4" s="30" t="s">
        <v>15</v>
      </c>
    </row>
    <row r="5" spans="1:7" x14ac:dyDescent="0.25">
      <c r="A5" s="30" t="s">
        <v>17</v>
      </c>
    </row>
    <row r="6" spans="1:7" x14ac:dyDescent="0.25">
      <c r="A6" s="30" t="s">
        <v>19</v>
      </c>
    </row>
    <row r="7" spans="1:7" x14ac:dyDescent="0.25">
      <c r="A7" s="30" t="s">
        <v>21</v>
      </c>
    </row>
    <row r="8" spans="1:7" x14ac:dyDescent="0.25">
      <c r="A8" s="31" t="s">
        <v>87</v>
      </c>
      <c r="B8" s="31"/>
      <c r="C8" s="31"/>
      <c r="D8" s="31" t="s">
        <v>88</v>
      </c>
      <c r="E8" s="31"/>
      <c r="F8" s="31"/>
    </row>
    <row r="9" spans="1:7" x14ac:dyDescent="0.25">
      <c r="A9" s="30" t="s">
        <v>73</v>
      </c>
      <c r="B9" s="30">
        <f>SUM('Day1'!C2:D25)-SUM('Day1'!K2:K25)</f>
        <v>24131040.4487</v>
      </c>
      <c r="C9" s="30" t="s">
        <v>73</v>
      </c>
      <c r="D9" s="30" cm="1">
        <f t="array" ref="D9">SUM(ABS('Day1'!L2:M25))+SUM('Day1'!N2:N25)</f>
        <v>3035449.6434345162</v>
      </c>
    </row>
    <row r="10" spans="1:7" x14ac:dyDescent="0.25">
      <c r="A10" s="30" t="s">
        <v>74</v>
      </c>
      <c r="B10" s="30" cm="1">
        <f t="array" ref="B10">SUM(-'Day1'!E2:E25)</f>
        <v>11847810.33747106</v>
      </c>
      <c r="C10" s="30" t="s">
        <v>74</v>
      </c>
      <c r="D10" s="30">
        <f>-SUM('Day1'!AI2:AI25)-SUM('Day1'!AU2:AU25)</f>
        <v>11869926.175793145</v>
      </c>
    </row>
    <row r="11" spans="1:7" x14ac:dyDescent="0.25">
      <c r="A11" s="30" t="s">
        <v>75</v>
      </c>
      <c r="B11" s="30" cm="1">
        <f t="array" ref="B11">SUM(-'Day1'!AJ2:AJ25)</f>
        <v>6012548.7272139238</v>
      </c>
      <c r="C11" s="30" t="s">
        <v>77</v>
      </c>
      <c r="D11" s="30" cm="1">
        <f t="array" ref="D11">SUM(-'Day1'!AL2:AL25)</f>
        <v>12493912.488092221</v>
      </c>
    </row>
    <row r="12" spans="1:7" x14ac:dyDescent="0.25">
      <c r="A12" s="30" t="s">
        <v>76</v>
      </c>
      <c r="B12" s="30">
        <f>SUM('Day1'!AK2:AK25)</f>
        <v>14609518.234742861</v>
      </c>
      <c r="C12" s="30" t="s">
        <v>78</v>
      </c>
      <c r="D12" s="30">
        <f>SUM('Day1'!AM2:AM25)</f>
        <v>25771.4346335874</v>
      </c>
    </row>
    <row r="15" spans="1:7" x14ac:dyDescent="0.25">
      <c r="A15" s="30" t="s">
        <v>80</v>
      </c>
      <c r="B15" s="30">
        <f>MEDIAN('Day1'!A2:A25)</f>
        <v>0.26834000000000002</v>
      </c>
    </row>
    <row r="21" spans="1:1" x14ac:dyDescent="0.25">
      <c r="A21" s="32" t="s">
        <v>23</v>
      </c>
    </row>
    <row r="22" spans="1:1" x14ac:dyDescent="0.25">
      <c r="A22" s="32" t="s">
        <v>27</v>
      </c>
    </row>
    <row r="23" spans="1:1" x14ac:dyDescent="0.25">
      <c r="A23" s="32" t="s">
        <v>29</v>
      </c>
    </row>
    <row r="24" spans="1:1" x14ac:dyDescent="0.25">
      <c r="A24" s="32" t="s">
        <v>31</v>
      </c>
    </row>
    <row r="25" spans="1:1" x14ac:dyDescent="0.25">
      <c r="A25" s="3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670AA9-F151-4010-B386-EB5DE9535379}">
  <ds:schemaRefs>
    <ds:schemaRef ds:uri="32e2fcb7-33f7-4889-999c-af43743a67a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2025-03-24T13:47:15Z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