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szata\Codes\StoriesTeams\Pipeline-dispatcher\Book chapter Studies\Data to optimization\Book chapter 13-3-2025\"/>
    </mc:Choice>
  </mc:AlternateContent>
  <xr:revisionPtr revIDLastSave="0" documentId="13_ncr:1_{C596D3D7-2CC2-4240-A4AF-CD5CAE055557}" xr6:coauthVersionLast="47" xr6:coauthVersionMax="47" xr10:uidLastSave="{00000000-0000-0000-0000-000000000000}"/>
  <bookViews>
    <workbookView xWindow="3330" yWindow="555" windowWidth="21600" windowHeight="12645" activeTab="1" xr2:uid="{00000000-000D-0000-FFFF-FFFF00000000}"/>
  </bookViews>
  <sheets>
    <sheet name="Configuration" sheetId="1" r:id="rId1"/>
    <sheet name="Day1" sheetId="2" r:id="rId2"/>
    <sheet name="KPI" sheetId="3" r:id="rId3"/>
  </sheets>
  <externalReferences>
    <externalReference r:id="rId4"/>
  </externalReferenc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9" i="3" l="1" a="1"/>
  <c r="D9" i="3" s="1"/>
  <c r="B15" i="3"/>
  <c r="B10" i="3" a="1"/>
  <c r="B10" i="3" s="1"/>
  <c r="B9" i="3"/>
  <c r="D10" i="3"/>
  <c r="AR25" i="2" l="1"/>
  <c r="AQ25" i="2"/>
  <c r="AO25" i="2"/>
  <c r="AN25" i="2"/>
  <c r="AM25" i="2"/>
  <c r="AL25" i="2"/>
  <c r="AK25" i="2"/>
  <c r="AJ25" i="2"/>
  <c r="AR24" i="2"/>
  <c r="AQ24" i="2"/>
  <c r="AO24" i="2"/>
  <c r="AN24" i="2"/>
  <c r="AM24" i="2"/>
  <c r="AL24" i="2"/>
  <c r="AK24" i="2"/>
  <c r="AJ24" i="2"/>
  <c r="AR23" i="2"/>
  <c r="AQ23" i="2"/>
  <c r="AO23" i="2"/>
  <c r="AN23" i="2"/>
  <c r="AM23" i="2"/>
  <c r="AL23" i="2"/>
  <c r="AK23" i="2"/>
  <c r="AJ23" i="2"/>
  <c r="AR22" i="2"/>
  <c r="AQ22" i="2"/>
  <c r="AO22" i="2"/>
  <c r="AN22" i="2"/>
  <c r="AM22" i="2"/>
  <c r="AL22" i="2"/>
  <c r="AK22" i="2"/>
  <c r="AJ22" i="2"/>
  <c r="AR21" i="2"/>
  <c r="AQ21" i="2"/>
  <c r="AO21" i="2"/>
  <c r="AN21" i="2"/>
  <c r="AM21" i="2"/>
  <c r="AL21" i="2"/>
  <c r="AK21" i="2"/>
  <c r="AJ21" i="2"/>
  <c r="AR20" i="2"/>
  <c r="AQ20" i="2"/>
  <c r="AO20" i="2"/>
  <c r="AN20" i="2"/>
  <c r="AM20" i="2"/>
  <c r="AL20" i="2"/>
  <c r="AK20" i="2"/>
  <c r="AJ20" i="2"/>
  <c r="AR19" i="2"/>
  <c r="AQ19" i="2"/>
  <c r="AO19" i="2"/>
  <c r="AN19" i="2"/>
  <c r="AM19" i="2"/>
  <c r="AL19" i="2"/>
  <c r="AK19" i="2"/>
  <c r="AJ19" i="2"/>
  <c r="AR18" i="2"/>
  <c r="AQ18" i="2"/>
  <c r="AO18" i="2"/>
  <c r="AN18" i="2"/>
  <c r="AM18" i="2"/>
  <c r="AL18" i="2"/>
  <c r="AK18" i="2"/>
  <c r="AJ18" i="2"/>
  <c r="AR17" i="2"/>
  <c r="AQ17" i="2"/>
  <c r="AO17" i="2"/>
  <c r="AN17" i="2"/>
  <c r="AM17" i="2"/>
  <c r="AL17" i="2"/>
  <c r="AK17" i="2"/>
  <c r="AJ17" i="2"/>
  <c r="AR16" i="2"/>
  <c r="AQ16" i="2"/>
  <c r="AO16" i="2"/>
  <c r="AN16" i="2"/>
  <c r="AM16" i="2"/>
  <c r="AL16" i="2"/>
  <c r="AK16" i="2"/>
  <c r="AJ16" i="2"/>
  <c r="AR15" i="2"/>
  <c r="AQ15" i="2"/>
  <c r="AO15" i="2"/>
  <c r="AN15" i="2"/>
  <c r="AM15" i="2"/>
  <c r="AL15" i="2"/>
  <c r="AK15" i="2"/>
  <c r="AJ15" i="2"/>
  <c r="AR14" i="2"/>
  <c r="AQ14" i="2"/>
  <c r="AO14" i="2"/>
  <c r="AN14" i="2"/>
  <c r="AM14" i="2"/>
  <c r="AL14" i="2"/>
  <c r="AK14" i="2"/>
  <c r="AJ14" i="2"/>
  <c r="AR13" i="2"/>
  <c r="AQ13" i="2"/>
  <c r="AO13" i="2"/>
  <c r="AN13" i="2"/>
  <c r="AM13" i="2"/>
  <c r="AL13" i="2"/>
  <c r="AK13" i="2"/>
  <c r="AJ13" i="2"/>
  <c r="AP13" i="2" s="1"/>
  <c r="AR12" i="2"/>
  <c r="AQ12" i="2"/>
  <c r="AO12" i="2"/>
  <c r="AN12" i="2"/>
  <c r="AM12" i="2"/>
  <c r="AL12" i="2"/>
  <c r="AK12" i="2"/>
  <c r="AJ12" i="2"/>
  <c r="AR11" i="2"/>
  <c r="AQ11" i="2"/>
  <c r="AO11" i="2"/>
  <c r="AN11" i="2"/>
  <c r="AM11" i="2"/>
  <c r="AL11" i="2"/>
  <c r="AK11" i="2"/>
  <c r="AJ11" i="2"/>
  <c r="AP11" i="2" s="1"/>
  <c r="AR10" i="2"/>
  <c r="AQ10" i="2"/>
  <c r="AO10" i="2"/>
  <c r="AN10" i="2"/>
  <c r="AM10" i="2"/>
  <c r="AL10" i="2"/>
  <c r="AK10" i="2"/>
  <c r="AJ10" i="2"/>
  <c r="AP10" i="2" s="1"/>
  <c r="AR9" i="2"/>
  <c r="AQ9" i="2"/>
  <c r="AO9" i="2"/>
  <c r="AN9" i="2"/>
  <c r="AM9" i="2"/>
  <c r="AL9" i="2"/>
  <c r="AK9" i="2"/>
  <c r="AJ9" i="2"/>
  <c r="AR8" i="2"/>
  <c r="AQ8" i="2"/>
  <c r="AO8" i="2"/>
  <c r="AN8" i="2"/>
  <c r="AM8" i="2"/>
  <c r="AL8" i="2"/>
  <c r="AK8" i="2"/>
  <c r="AJ8" i="2"/>
  <c r="AR7" i="2"/>
  <c r="AQ7" i="2"/>
  <c r="AO7" i="2"/>
  <c r="AN7" i="2"/>
  <c r="AM7" i="2"/>
  <c r="AL7" i="2"/>
  <c r="AK7" i="2"/>
  <c r="AJ7" i="2"/>
  <c r="AR6" i="2"/>
  <c r="AQ6" i="2"/>
  <c r="AO6" i="2"/>
  <c r="AN6" i="2"/>
  <c r="AM6" i="2"/>
  <c r="AL6" i="2"/>
  <c r="AK6" i="2"/>
  <c r="AJ6" i="2"/>
  <c r="AR5" i="2"/>
  <c r="AQ5" i="2"/>
  <c r="AO5" i="2"/>
  <c r="AN5" i="2"/>
  <c r="AM5" i="2"/>
  <c r="AL5" i="2"/>
  <c r="AK5" i="2"/>
  <c r="AJ5" i="2"/>
  <c r="AR4" i="2"/>
  <c r="AQ4" i="2"/>
  <c r="AO4" i="2"/>
  <c r="AN4" i="2"/>
  <c r="AM4" i="2"/>
  <c r="AL4" i="2"/>
  <c r="AK4" i="2"/>
  <c r="AJ4" i="2"/>
  <c r="AR3" i="2"/>
  <c r="AQ3" i="2"/>
  <c r="AO3" i="2"/>
  <c r="AN3" i="2"/>
  <c r="AM3" i="2"/>
  <c r="AL3" i="2"/>
  <c r="AK3" i="2"/>
  <c r="AJ3" i="2"/>
  <c r="AP3" i="2" s="1"/>
  <c r="AR2" i="2"/>
  <c r="AQ2" i="2"/>
  <c r="AO2" i="2"/>
  <c r="AN2" i="2"/>
  <c r="AM2" i="2"/>
  <c r="AL2" i="2"/>
  <c r="D11" i="3" s="1" a="1"/>
  <c r="D11" i="3" s="1"/>
  <c r="AK2" i="2"/>
  <c r="B12" i="3" s="1"/>
  <c r="AJ2" i="2"/>
  <c r="B11" i="3" l="1" a="1"/>
  <c r="B11" i="3" s="1"/>
  <c r="B1" i="3" s="1"/>
  <c r="AT20" i="2"/>
  <c r="D12" i="3"/>
  <c r="AS3" i="2"/>
  <c r="AS7" i="2"/>
  <c r="AS12" i="2"/>
  <c r="AS18" i="2"/>
  <c r="AT5" i="2"/>
  <c r="AT10" i="2"/>
  <c r="AT12" i="2"/>
  <c r="AT14" i="2"/>
  <c r="AT19" i="2"/>
  <c r="AS22" i="2"/>
  <c r="AS23" i="2"/>
  <c r="AS24" i="2"/>
  <c r="AS25" i="2"/>
  <c r="AS4" i="2"/>
  <c r="AS9" i="2"/>
  <c r="AS19" i="2"/>
  <c r="AT4" i="2"/>
  <c r="AT9" i="2"/>
  <c r="AT11" i="2"/>
  <c r="AT13" i="2"/>
  <c r="AT17" i="2"/>
  <c r="AT21" i="2"/>
  <c r="AT25" i="2"/>
  <c r="AT3" i="2"/>
  <c r="AS16" i="2"/>
  <c r="AT6" i="2"/>
  <c r="AT22" i="2"/>
  <c r="AS6" i="2"/>
  <c r="AS15" i="2"/>
  <c r="AS20" i="2"/>
  <c r="AT18" i="2"/>
  <c r="AT2" i="2"/>
  <c r="AS8" i="2"/>
  <c r="AS14" i="2"/>
  <c r="AS17" i="2"/>
  <c r="AP24" i="2"/>
  <c r="AS11" i="2"/>
  <c r="AT8" i="2"/>
  <c r="AP22" i="2"/>
  <c r="AP16" i="2"/>
  <c r="AP7" i="2"/>
  <c r="AP2" i="2"/>
  <c r="AP14" i="2"/>
  <c r="AP6" i="2"/>
  <c r="AP21" i="2"/>
  <c r="AP5" i="2"/>
  <c r="AP8" i="2"/>
  <c r="AP19" i="2"/>
  <c r="AP23" i="2"/>
  <c r="AT24" i="2"/>
  <c r="AP15" i="2"/>
  <c r="AT16" i="2"/>
  <c r="AT23" i="2"/>
  <c r="AS13" i="2"/>
  <c r="AP9" i="2"/>
  <c r="AP17" i="2"/>
  <c r="AP25" i="2"/>
  <c r="AT7" i="2"/>
  <c r="AS21" i="2"/>
  <c r="AP4" i="2"/>
  <c r="AP12" i="2"/>
  <c r="AP20" i="2"/>
  <c r="AS2" i="2"/>
  <c r="AS10" i="2"/>
  <c r="AT15" i="2"/>
  <c r="AS5" i="2"/>
  <c r="AP18" i="2"/>
  <c r="G1" i="3" l="1"/>
  <c r="D1" i="3"/>
  <c r="B3" i="3" a="1"/>
  <c r="B3" i="3" s="1"/>
  <c r="T26" i="2"/>
  <c r="S26" i="2"/>
  <c r="D12" i="1" l="1"/>
  <c r="B5" i="1"/>
  <c r="N35" i="1"/>
  <c r="N34" i="1"/>
  <c r="N33" i="1"/>
  <c r="N32" i="1"/>
  <c r="N30" i="1"/>
  <c r="N31" i="1"/>
  <c r="N27" i="1"/>
  <c r="O27" i="1"/>
  <c r="P27" i="1"/>
  <c r="Q27" i="1"/>
  <c r="R27" i="1"/>
  <c r="S27" i="1"/>
  <c r="T27" i="1"/>
  <c r="U27" i="1"/>
  <c r="V27" i="1"/>
  <c r="W27" i="1"/>
  <c r="X27" i="1"/>
  <c r="Y27" i="1"/>
  <c r="Z27" i="1"/>
  <c r="AA27" i="1"/>
  <c r="AB27" i="1"/>
  <c r="AC27" i="1"/>
  <c r="C12" i="1"/>
  <c r="B12" i="1"/>
  <c r="D8" i="1"/>
  <c r="C8" i="1"/>
  <c r="B8" i="1"/>
  <c r="D7" i="1"/>
  <c r="C7" i="1"/>
  <c r="B7" i="1"/>
  <c r="D5" i="1"/>
  <c r="C5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tc={CFDBEFA2-640F-4AC2-9D85-20DB88C9D8EF}</author>
  </authors>
  <commentList>
    <comment ref="AJ1" authorId="0" shapeId="0" xr:uid="{CFDBEFA2-640F-4AC2-9D85-20DB88C9D8EF}">
      <text>
        <t>[Threaded comment]
Your version of Excel allows you to read this threaded comment; however, any edits to it will get removed if the file is opened in a newer version of Excel. Learn more: https://go.microsoft.com/fwlink/?linkid=870924
Comment:
    Import from main upstream grid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<sst xmlns="http://schemas.openxmlformats.org/spreadsheetml/2006/main" count="119" uniqueCount="103">
  <si>
    <t>HP</t>
  </si>
  <si>
    <t>BAT</t>
  </si>
  <si>
    <t>PCM</t>
  </si>
  <si>
    <t>Boiler</t>
  </si>
  <si>
    <t>WG</t>
  </si>
  <si>
    <t>PV</t>
  </si>
  <si>
    <t>Rankine cycle</t>
  </si>
  <si>
    <t>System Energy Efficiency</t>
  </si>
  <si>
    <t>max kW / module</t>
  </si>
  <si>
    <t>System operational CO2 emission</t>
  </si>
  <si>
    <t>Total thermal  loads</t>
  </si>
  <si>
    <t>Total Electrical loads</t>
  </si>
  <si>
    <t>max kWh (=100%Soc) / module</t>
  </si>
  <si>
    <t xml:space="preserve">Flexibility Factor </t>
  </si>
  <si>
    <t>O&amp;M cost/kWh</t>
  </si>
  <si>
    <t>CAPEX</t>
  </si>
  <si>
    <t>O&amp;M cost / module</t>
  </si>
  <si>
    <t>OPEX</t>
  </si>
  <si>
    <t>Specific capital cost/kWh</t>
  </si>
  <si>
    <t>LCOE</t>
  </si>
  <si>
    <t>Specific capital cost/modul</t>
  </si>
  <si>
    <t>LCOH</t>
  </si>
  <si>
    <t>Plant power (kW)</t>
  </si>
  <si>
    <t>LCOEnergy</t>
  </si>
  <si>
    <t>Plant efficiency</t>
  </si>
  <si>
    <t>over 95%</t>
  </si>
  <si>
    <t>th: 0.38</t>
  </si>
  <si>
    <t>LCOEnergyS</t>
  </si>
  <si>
    <t>Pumping power (kW)</t>
  </si>
  <si>
    <t>LCOTES</t>
  </si>
  <si>
    <t>Number of modules</t>
  </si>
  <si>
    <t>LCOElectricityS</t>
  </si>
  <si>
    <t>Stored energy (kWh)</t>
  </si>
  <si>
    <t>LCOEapp</t>
  </si>
  <si>
    <t>Lifetime</t>
  </si>
  <si>
    <t>Marcos</t>
  </si>
  <si>
    <t>Enea</t>
  </si>
  <si>
    <t>Lit</t>
  </si>
  <si>
    <t>Sum (W)</t>
  </si>
  <si>
    <t>Avg Daily El load (kWh)</t>
  </si>
  <si>
    <t>Avg Daily th load (kWh)</t>
  </si>
  <si>
    <t>Yearly El load (kWh)</t>
  </si>
  <si>
    <t>Yearly th load (kWh)</t>
  </si>
  <si>
    <t>Avg Daily PV (kWh)</t>
  </si>
  <si>
    <t>Avg Daily WT (kWh)</t>
  </si>
  <si>
    <t>P_CT_WD</t>
  </si>
  <si>
    <t>P_CT_PV</t>
  </si>
  <si>
    <t>P_c_Cbu</t>
  </si>
  <si>
    <t>P_c_CEV</t>
  </si>
  <si>
    <t>P_c_CPl</t>
  </si>
  <si>
    <t>P_ess_BAT</t>
  </si>
  <si>
    <t>P_ess_SC</t>
  </si>
  <si>
    <t>P_ess_HP</t>
  </si>
  <si>
    <t>P2rk</t>
  </si>
  <si>
    <t>P_csp</t>
  </si>
  <si>
    <t>P_tsp</t>
  </si>
  <si>
    <t>P_ess_PCM</t>
  </si>
  <si>
    <t>P_c_Ctbu</t>
  </si>
  <si>
    <t>SOC_BAT</t>
  </si>
  <si>
    <t>SOC_SC</t>
  </si>
  <si>
    <t>SOC_HP</t>
  </si>
  <si>
    <t>SOC_PCM</t>
  </si>
  <si>
    <t>Pe_grid</t>
  </si>
  <si>
    <t>Pt_grid</t>
  </si>
  <si>
    <t>EP_con</t>
  </si>
  <si>
    <t>EP_gen</t>
  </si>
  <si>
    <t>Pe_export</t>
  </si>
  <si>
    <t>Pe_import</t>
  </si>
  <si>
    <t>Pt_export</t>
  </si>
  <si>
    <t>Pt_import</t>
  </si>
  <si>
    <t>mismatch total</t>
  </si>
  <si>
    <t>mismatch el</t>
  </si>
  <si>
    <t>mismatch th</t>
  </si>
  <si>
    <t>Total Generation</t>
  </si>
  <si>
    <t>Total Load</t>
  </si>
  <si>
    <t>Total El import</t>
  </si>
  <si>
    <t>Total El export</t>
  </si>
  <si>
    <t>Total Th import</t>
  </si>
  <si>
    <t>Total Th export</t>
  </si>
  <si>
    <t>Electricity price</t>
  </si>
  <si>
    <t>median of price</t>
  </si>
  <si>
    <t>Low price</t>
  </si>
  <si>
    <t>High price</t>
  </si>
  <si>
    <t>import in LPT</t>
  </si>
  <si>
    <t>Export in HPT</t>
  </si>
  <si>
    <t>RC_SPMp_swPP</t>
  </si>
  <si>
    <t>T</t>
  </si>
  <si>
    <t>P_c_Ctbu_1</t>
  </si>
  <si>
    <t>P_c_Ctbu_2</t>
  </si>
  <si>
    <t>P_c_Ctbu_3</t>
  </si>
  <si>
    <t>P_c_Ctbu_4</t>
  </si>
  <si>
    <t>P_c_Ctbu_5</t>
  </si>
  <si>
    <t>P_c_Ctbu_6</t>
  </si>
  <si>
    <t>P_c_Ctbu_7</t>
  </si>
  <si>
    <t>P_c_Ctbu_8</t>
  </si>
  <si>
    <t>P_c_Ctbu_9</t>
  </si>
  <si>
    <t>P_c_Ctbu_10</t>
  </si>
  <si>
    <t>P_c_Ctbu_11</t>
  </si>
  <si>
    <t>P_c_Ctbu_12</t>
  </si>
  <si>
    <t>El Energy Efficiency</t>
  </si>
  <si>
    <t>Th Energy Efficiency</t>
  </si>
  <si>
    <t>EL:</t>
  </si>
  <si>
    <t>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</si>
</sst>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000000"/>
      <name val="Aptos Narrow"/>
    </font>
    <font>
      <sz val="11"/>
      <color rgb="FF000000"/>
      <name val="Aptos Narrow"/>
      <family val="2"/>
    </font>
  </fonts>
  <fills count="9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1" xfId="0" applyBorder="1"/>
    <xf numFmtId="0" fontId="2" fillId="0" borderId="0" xfId="0" applyFont="1"/>
    <xf numFmtId="0" fontId="3" fillId="0" borderId="0" xfId="0" applyFont="1"/>
    <xf numFmtId="0" fontId="4" fillId="0" borderId="0" xfId="0" applyFont="1"/>
    <xf numFmtId="0" fontId="1" fillId="0" borderId="0" xfId="0" applyFont="1"/>
    <xf numFmtId="0" fontId="3" fillId="0" borderId="1" xfId="0" applyFont="1" applyBorder="1"/>
    <xf numFmtId="0" fontId="4" fillId="0" borderId="1" xfId="0" applyFont="1" applyBorder="1"/>
    <xf numFmtId="0" fontId="2" fillId="0" borderId="1" xfId="0" applyFont="1" applyBorder="1"/>
    <xf numFmtId="0" fontId="0" fillId="0" borderId="2" xfId="0" applyBorder="1"/>
    <xf numFmtId="0" fontId="1" fillId="0" borderId="1" xfId="0" applyFont="1" applyBorder="1" applyAlignment="1">
      <alignment horizontal="center" vertical="top"/>
    </xf>
    <xf numFmtId="0" fontId="1" fillId="0" borderId="1" xfId="0" applyFont="1" applyBorder="1"/>
    <xf numFmtId="0" fontId="0" fillId="3" borderId="0" xfId="0" applyFill="1"/>
    <xf numFmtId="0" fontId="1" fillId="2" borderId="3" xfId="0" applyFont="1" applyFill="1" applyBorder="1"/>
    <xf numFmtId="0" fontId="1" fillId="2" borderId="4" xfId="0" applyFont="1" applyFill="1" applyBorder="1"/>
    <xf numFmtId="0" fontId="1" fillId="0" borderId="4" xfId="0" applyFont="1" applyBorder="1"/>
    <xf numFmtId="0" fontId="1" fillId="0" borderId="5" xfId="0" applyFont="1" applyBorder="1"/>
    <xf numFmtId="0" fontId="3" fillId="4" borderId="1" xfId="0" applyFont="1" applyFill="1" applyBorder="1"/>
    <xf numFmtId="0" fontId="0" fillId="5" borderId="0" xfId="0" applyFill="1"/>
    <xf numFmtId="0" fontId="0" fillId="4" borderId="0" xfId="0" applyFill="1"/>
    <xf numFmtId="0" fontId="3" fillId="6" borderId="1" xfId="0" applyFont="1" applyFill="1" applyBorder="1"/>
    <xf numFmtId="0" fontId="0" fillId="6" borderId="1" xfId="0" applyFill="1" applyBorder="1"/>
    <xf numFmtId="0" fontId="3" fillId="7" borderId="1" xfId="0" applyFont="1" applyFill="1" applyBorder="1"/>
    <xf numFmtId="0" fontId="0" fillId="7" borderId="0" xfId="0" applyFill="1"/>
    <xf numFmtId="0" fontId="0" fillId="7" borderId="1" xfId="0" applyFill="1" applyBorder="1"/>
    <xf numFmtId="0" fontId="0" fillId="4" borderId="1" xfId="0" applyFill="1" applyBorder="1"/>
    <xf numFmtId="0" fontId="5" fillId="0" borderId="0" xfId="0" applyFont="1"/>
    <xf numFmtId="0" fontId="5" fillId="8" borderId="0" xfId="0" applyFont="1" applyFill="1"/>
    <xf numFmtId="0" fontId="6" fillId="8" borderId="0" xfId="0" applyFont="1" applyFill="1"/>
    <xf numFmtId="0" fontId="0" fillId="8" borderId="0" xfId="0" applyFill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1.xml"/><Relationship Id="rId5" Type="http://schemas.openxmlformats.org/officeDocument/2006/relationships/theme" Target="theme/theme1.xml"/><Relationship Id="rId10" Type="http://schemas.openxmlformats.org/officeDocument/2006/relationships/calcChain" Target="calcChain.xml"/><Relationship Id="rId4" Type="http://schemas.openxmlformats.org/officeDocument/2006/relationships/externalLink" Target="externalLinks/externalLink1.xml"/><Relationship Id="rId9" Type="http://schemas.microsoft.com/office/2017/10/relationships/person" Target="persons/person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zata\Codes\StoriesTeams\Pipeline-dispatcher\Book%20chapter%20Studies\Data%20to%20optimization\Book%20chapter%2013-3-2025\51_3_ec6.xlsx" TargetMode="External"/><Relationship Id="rId1" Type="http://schemas.openxmlformats.org/officeDocument/2006/relationships/externalLinkPath" Target="51_3_ec6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onfiguration"/>
      <sheetName val="Day1"/>
      <sheetName val="KPI"/>
    </sheetNames>
    <sheetDataSet>
      <sheetData sheetId="0" refreshError="1"/>
      <sheetData sheetId="1" refreshError="1">
        <row r="2">
          <cell r="A2">
            <v>0.26038899999999998</v>
          </cell>
        </row>
        <row r="3">
          <cell r="A3">
            <v>0.25714300000000001</v>
          </cell>
        </row>
        <row r="4">
          <cell r="A4">
            <v>0.25442999999999999</v>
          </cell>
        </row>
        <row r="5">
          <cell r="A5">
            <v>0.25297999999999998</v>
          </cell>
        </row>
        <row r="6">
          <cell r="A6">
            <v>0.25274999999999997</v>
          </cell>
        </row>
        <row r="7">
          <cell r="A7">
            <v>0.25497999999999998</v>
          </cell>
        </row>
        <row r="8">
          <cell r="A8">
            <v>0.26271</v>
          </cell>
        </row>
        <row r="9">
          <cell r="A9">
            <v>0.269783</v>
          </cell>
        </row>
        <row r="10">
          <cell r="A10">
            <v>0.27707500000000002</v>
          </cell>
        </row>
        <row r="11">
          <cell r="A11">
            <v>0.27672799999999997</v>
          </cell>
        </row>
        <row r="12">
          <cell r="A12">
            <v>0.27678199999999997</v>
          </cell>
        </row>
        <row r="13">
          <cell r="A13">
            <v>0.270368</v>
          </cell>
        </row>
        <row r="14">
          <cell r="A14">
            <v>0.266897</v>
          </cell>
        </row>
        <row r="15">
          <cell r="A15">
            <v>0.26474700000000001</v>
          </cell>
        </row>
        <row r="16">
          <cell r="A16">
            <v>0.26649400000000001</v>
          </cell>
        </row>
        <row r="17">
          <cell r="A17">
            <v>0.270067</v>
          </cell>
        </row>
        <row r="18">
          <cell r="A18">
            <v>0.27431899999999998</v>
          </cell>
        </row>
        <row r="19">
          <cell r="A19">
            <v>0.27111299999999999</v>
          </cell>
        </row>
        <row r="20">
          <cell r="A20">
            <v>0.28212799999999999</v>
          </cell>
        </row>
        <row r="21">
          <cell r="A21">
            <v>0.28089700000000001</v>
          </cell>
        </row>
        <row r="22">
          <cell r="A22">
            <v>0.27615600000000001</v>
          </cell>
        </row>
        <row r="23">
          <cell r="A23">
            <v>0.27117200000000002</v>
          </cell>
        </row>
        <row r="24">
          <cell r="A24">
            <v>0.26649</v>
          </cell>
        </row>
        <row r="25">
          <cell r="A25">
            <v>0.26110800000000001</v>
          </cell>
        </row>
      </sheetData>
      <sheetData sheetId="2" refreshError="1">
        <row r="15">
          <cell r="B15">
            <v>0.26834000000000002</v>
          </cell>
        </row>
      </sheetData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Seyede Zahra Tajalli" id="{93A7B67D-BC03-48B0-9284-28C2ED2F3AED}" userId="S::szata@dtu.dk::da0ba331-e30a-494d-a39e-97e2ea5f4a1a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J1" dT="2025-03-07T10:30:55.24" personId="{93A7B67D-BC03-48B0-9284-28C2ED2F3AED}" id="{CFDBEFA2-640F-4AC2-9D85-20DB88C9D8EF}">
    <text>Import from main upstream grid</text>
  </threadedComment>
</ThreadedComment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35"/>
  <sheetViews>
    <sheetView topLeftCell="E1" workbookViewId="0">
      <selection activeCell="L13" sqref="J1:L13"/>
    </sheetView>
  </sheetViews>
  <sheetFormatPr defaultRowHeight="15" x14ac:dyDescent="0.25"/>
  <cols>
    <col min="1" max="1" width="30.28515625" bestFit="1" customWidth="1"/>
    <col min="6" max="6" width="6" bestFit="1" customWidth="1"/>
    <col min="7" max="7" width="5" bestFit="1" customWidth="1"/>
    <col min="8" max="8" width="12.85546875" bestFit="1" customWidth="1"/>
    <col min="10" max="10" width="31.28515625" bestFit="1" customWidth="1"/>
    <col min="11" max="11" width="11" bestFit="1" customWidth="1"/>
    <col min="13" max="13" width="22" bestFit="1" customWidth="1"/>
    <col min="14" max="14" width="18.7109375" bestFit="1" customWidth="1"/>
    <col min="15" max="15" width="19.28515625" bestFit="1" customWidth="1"/>
  </cols>
  <sheetData>
    <row r="1" spans="1:29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N1" s="13">
        <v>51</v>
      </c>
      <c r="O1" s="14"/>
      <c r="P1" s="14"/>
      <c r="Q1" s="14"/>
      <c r="R1" s="15">
        <v>143</v>
      </c>
      <c r="S1" s="15"/>
      <c r="T1" s="15"/>
      <c r="U1" s="15"/>
      <c r="V1" s="14">
        <v>209</v>
      </c>
      <c r="W1" s="14"/>
      <c r="X1" s="14"/>
      <c r="Y1" s="14"/>
      <c r="Z1" s="15">
        <v>350</v>
      </c>
      <c r="AA1" s="15"/>
      <c r="AB1" s="15"/>
      <c r="AC1" s="16"/>
    </row>
    <row r="2" spans="1:29" x14ac:dyDescent="0.25">
      <c r="A2" s="6" t="s">
        <v>8</v>
      </c>
      <c r="B2" s="20">
        <v>50</v>
      </c>
      <c r="C2" s="20">
        <v>82</v>
      </c>
      <c r="D2" s="20">
        <v>50</v>
      </c>
      <c r="E2" s="6"/>
      <c r="F2" s="1"/>
      <c r="G2" s="1"/>
      <c r="H2" s="1"/>
      <c r="N2" s="10" t="s">
        <v>10</v>
      </c>
      <c r="O2" s="10" t="s">
        <v>11</v>
      </c>
      <c r="P2" s="10" t="s">
        <v>5</v>
      </c>
      <c r="Q2" s="10" t="s">
        <v>4</v>
      </c>
      <c r="R2" s="11" t="s">
        <v>10</v>
      </c>
      <c r="S2" s="11" t="s">
        <v>11</v>
      </c>
      <c r="T2" s="10" t="s">
        <v>5</v>
      </c>
      <c r="U2" s="10" t="s">
        <v>4</v>
      </c>
      <c r="V2" s="11" t="s">
        <v>10</v>
      </c>
      <c r="W2" s="11" t="s">
        <v>11</v>
      </c>
      <c r="X2" s="11" t="s">
        <v>5</v>
      </c>
      <c r="Y2" s="11" t="s">
        <v>4</v>
      </c>
      <c r="Z2" s="11" t="s">
        <v>10</v>
      </c>
      <c r="AA2" s="11" t="s">
        <v>11</v>
      </c>
      <c r="AB2" s="11" t="s">
        <v>5</v>
      </c>
      <c r="AC2" s="11" t="s">
        <v>4</v>
      </c>
    </row>
    <row r="3" spans="1:29" x14ac:dyDescent="0.25">
      <c r="A3" s="6" t="s">
        <v>12</v>
      </c>
      <c r="B3" s="20">
        <v>286.125</v>
      </c>
      <c r="C3" s="20">
        <v>82</v>
      </c>
      <c r="D3" s="17">
        <v>205</v>
      </c>
      <c r="E3" s="6"/>
      <c r="F3" s="1"/>
      <c r="G3" s="1"/>
      <c r="H3" s="1"/>
      <c r="N3" s="11">
        <v>62750.000000000007</v>
      </c>
      <c r="O3" s="11">
        <v>391735.72530890757</v>
      </c>
      <c r="P3" s="1">
        <v>0</v>
      </c>
      <c r="Q3" s="1">
        <v>0</v>
      </c>
      <c r="R3" s="1">
        <v>62750.000000000007</v>
      </c>
      <c r="S3" s="1">
        <v>340412.28780890757</v>
      </c>
      <c r="T3" s="1">
        <v>0</v>
      </c>
      <c r="U3" s="1">
        <v>68.75</v>
      </c>
      <c r="V3" s="1">
        <v>62750.000000000007</v>
      </c>
      <c r="W3" s="1">
        <v>324434.16280890757</v>
      </c>
      <c r="X3" s="1">
        <v>0</v>
      </c>
      <c r="Y3" s="1">
        <v>0</v>
      </c>
      <c r="Z3" s="1">
        <v>62750.000000000007</v>
      </c>
      <c r="AA3" s="1">
        <v>413727.91280890757</v>
      </c>
      <c r="AB3" s="1">
        <v>0</v>
      </c>
      <c r="AC3" s="1">
        <v>883606.25</v>
      </c>
    </row>
    <row r="4" spans="1:29" x14ac:dyDescent="0.25">
      <c r="A4" s="6" t="s">
        <v>14</v>
      </c>
      <c r="B4" s="17">
        <v>1.1000000000000001E-3</v>
      </c>
      <c r="C4" s="17">
        <v>2E-3</v>
      </c>
      <c r="D4" s="6">
        <v>3.0000000000000001E-3</v>
      </c>
      <c r="E4" s="25">
        <v>1.4E-3</v>
      </c>
      <c r="F4" s="24">
        <v>1.2E-2</v>
      </c>
      <c r="G4" s="25">
        <v>0.01</v>
      </c>
      <c r="H4" s="1"/>
      <c r="N4" s="11">
        <v>62750.000000000007</v>
      </c>
      <c r="O4" s="11">
        <v>395127.28829926811</v>
      </c>
      <c r="P4" s="1">
        <v>0</v>
      </c>
      <c r="Q4" s="1">
        <v>0</v>
      </c>
      <c r="R4" s="1">
        <v>62750.000000000007</v>
      </c>
      <c r="S4" s="1">
        <v>331497.60079926811</v>
      </c>
      <c r="T4" s="1">
        <v>0</v>
      </c>
      <c r="U4" s="1">
        <v>1712.5</v>
      </c>
      <c r="V4" s="1">
        <v>62750.000000000007</v>
      </c>
      <c r="W4" s="1">
        <v>328930.41329926811</v>
      </c>
      <c r="X4" s="1">
        <v>0</v>
      </c>
      <c r="Y4" s="1">
        <v>0</v>
      </c>
      <c r="Z4" s="1">
        <v>62750.000000000007</v>
      </c>
      <c r="AA4" s="1">
        <v>381738.22579926811</v>
      </c>
      <c r="AB4" s="1">
        <v>0</v>
      </c>
      <c r="AC4" s="1">
        <v>650893.75</v>
      </c>
    </row>
    <row r="5" spans="1:29" x14ac:dyDescent="0.25">
      <c r="A5" s="6" t="s">
        <v>16</v>
      </c>
      <c r="B5" s="17">
        <f>B3*B4</f>
        <v>0.3147375</v>
      </c>
      <c r="C5" s="17">
        <f>C4*C3</f>
        <v>0.16400000000000001</v>
      </c>
      <c r="D5" s="17">
        <f>D4*D3</f>
        <v>0.61499999999999999</v>
      </c>
      <c r="E5" s="6"/>
      <c r="F5" s="1"/>
      <c r="G5" s="1"/>
      <c r="H5" s="1"/>
      <c r="N5" s="11">
        <v>62750.000000000007</v>
      </c>
      <c r="O5" s="11">
        <v>386838.77182354336</v>
      </c>
      <c r="P5" s="1">
        <v>0</v>
      </c>
      <c r="Q5" s="1">
        <v>0</v>
      </c>
      <c r="R5" s="1">
        <v>62750.000000000007</v>
      </c>
      <c r="S5" s="1">
        <v>332710.64682354336</v>
      </c>
      <c r="T5" s="1">
        <v>0</v>
      </c>
      <c r="U5" s="1">
        <v>5662.5</v>
      </c>
      <c r="V5" s="1">
        <v>62750.000000000007</v>
      </c>
      <c r="W5" s="1">
        <v>329548.14682354336</v>
      </c>
      <c r="X5" s="1">
        <v>0</v>
      </c>
      <c r="Y5" s="1">
        <v>0</v>
      </c>
      <c r="Z5" s="1">
        <v>62750.000000000007</v>
      </c>
      <c r="AA5" s="1">
        <v>402685.64682354336</v>
      </c>
      <c r="AB5" s="1">
        <v>0</v>
      </c>
      <c r="AC5" s="1">
        <v>712950</v>
      </c>
    </row>
    <row r="6" spans="1:29" x14ac:dyDescent="0.25">
      <c r="A6" s="6" t="s">
        <v>18</v>
      </c>
      <c r="B6" s="20">
        <v>200</v>
      </c>
      <c r="C6" s="20">
        <v>350</v>
      </c>
      <c r="D6" s="20">
        <v>83</v>
      </c>
      <c r="E6" s="6"/>
      <c r="F6" s="24">
        <v>1100</v>
      </c>
      <c r="G6" s="25">
        <v>2000</v>
      </c>
      <c r="H6" s="1"/>
      <c r="N6" s="11">
        <v>62750.000000000007</v>
      </c>
      <c r="O6" s="11">
        <v>400327.60079926811</v>
      </c>
      <c r="P6" s="1">
        <v>0</v>
      </c>
      <c r="Q6" s="1">
        <v>0</v>
      </c>
      <c r="R6" s="1">
        <v>62750.000000000007</v>
      </c>
      <c r="S6" s="1">
        <v>343604.16329926811</v>
      </c>
      <c r="T6" s="1">
        <v>0</v>
      </c>
      <c r="U6" s="1">
        <v>67981.25</v>
      </c>
      <c r="V6" s="1">
        <v>62750.000000000007</v>
      </c>
      <c r="W6" s="1">
        <v>317002.60079926811</v>
      </c>
      <c r="X6" s="1">
        <v>0</v>
      </c>
      <c r="Y6" s="1">
        <v>0</v>
      </c>
      <c r="Z6" s="1">
        <v>62750.000000000007</v>
      </c>
      <c r="AA6" s="1">
        <v>402794.78829926811</v>
      </c>
      <c r="AB6" s="1">
        <v>0</v>
      </c>
      <c r="AC6" s="1">
        <v>646381.25</v>
      </c>
    </row>
    <row r="7" spans="1:29" x14ac:dyDescent="0.25">
      <c r="A7" s="6" t="s">
        <v>20</v>
      </c>
      <c r="B7" s="17">
        <f>B6*B3</f>
        <v>57225</v>
      </c>
      <c r="C7" s="17">
        <f>C6*C3</f>
        <v>28700</v>
      </c>
      <c r="D7" s="17">
        <f>D6*D3</f>
        <v>17015</v>
      </c>
      <c r="E7" s="6"/>
      <c r="F7" s="1"/>
      <c r="G7" s="1"/>
      <c r="H7" s="1"/>
      <c r="N7" s="11">
        <v>62750.000000000007</v>
      </c>
      <c r="O7" s="11">
        <v>398289.08432354336</v>
      </c>
      <c r="P7" s="1">
        <v>0</v>
      </c>
      <c r="Q7" s="1">
        <v>0</v>
      </c>
      <c r="R7" s="1">
        <v>62750.000000000007</v>
      </c>
      <c r="S7" s="1">
        <v>332612.52182354336</v>
      </c>
      <c r="T7" s="1">
        <v>0</v>
      </c>
      <c r="U7" s="1">
        <v>93.75</v>
      </c>
      <c r="V7" s="1">
        <v>62750.000000000007</v>
      </c>
      <c r="W7" s="1">
        <v>313868.77182354336</v>
      </c>
      <c r="X7" s="1">
        <v>0</v>
      </c>
      <c r="Y7" s="1">
        <v>0</v>
      </c>
      <c r="Z7" s="1">
        <v>62750.000000000007</v>
      </c>
      <c r="AA7" s="1">
        <v>418048.45932354336</v>
      </c>
      <c r="AB7" s="1">
        <v>0</v>
      </c>
      <c r="AC7" s="1">
        <v>713575</v>
      </c>
    </row>
    <row r="8" spans="1:29" x14ac:dyDescent="0.25">
      <c r="A8" s="7" t="s">
        <v>22</v>
      </c>
      <c r="B8" s="20">
        <f>B2*B11</f>
        <v>450</v>
      </c>
      <c r="C8" s="20">
        <f>C2*C11</f>
        <v>6806</v>
      </c>
      <c r="D8" s="20">
        <f>D2*D11</f>
        <v>1400</v>
      </c>
      <c r="E8" s="6"/>
      <c r="F8" s="21">
        <v>2500</v>
      </c>
      <c r="G8" s="21">
        <v>3000</v>
      </c>
      <c r="H8" s="1"/>
      <c r="N8" s="11">
        <v>89092.975206611591</v>
      </c>
      <c r="O8" s="11">
        <v>485746.16169024515</v>
      </c>
      <c r="P8" s="1">
        <v>0</v>
      </c>
      <c r="Q8" s="1">
        <v>0</v>
      </c>
      <c r="R8" s="1">
        <v>89092.975206611591</v>
      </c>
      <c r="S8" s="1">
        <v>414122.72419024515</v>
      </c>
      <c r="T8" s="1">
        <v>0</v>
      </c>
      <c r="U8" s="1">
        <v>3175</v>
      </c>
      <c r="V8" s="1">
        <v>89092.975206611591</v>
      </c>
      <c r="W8" s="1">
        <v>405064.91169024515</v>
      </c>
      <c r="X8" s="1">
        <v>0</v>
      </c>
      <c r="Y8" s="1">
        <v>0</v>
      </c>
      <c r="Z8" s="1">
        <v>89092.975206611591</v>
      </c>
      <c r="AA8" s="1">
        <v>526019.59919024457</v>
      </c>
      <c r="AB8" s="1">
        <v>0</v>
      </c>
      <c r="AC8" s="1">
        <v>495637.5</v>
      </c>
    </row>
    <row r="9" spans="1:29" x14ac:dyDescent="0.25">
      <c r="A9" s="7" t="s">
        <v>24</v>
      </c>
      <c r="B9" s="22">
        <v>0.75</v>
      </c>
      <c r="C9" s="22" t="s">
        <v>25</v>
      </c>
      <c r="D9" s="6"/>
      <c r="E9" s="6"/>
      <c r="F9" s="1"/>
      <c r="G9" s="1"/>
      <c r="H9" s="24" t="s">
        <v>26</v>
      </c>
      <c r="N9" s="11">
        <v>608333.34516176453</v>
      </c>
      <c r="O9" s="11">
        <v>487656.9441734741</v>
      </c>
      <c r="P9" s="1">
        <v>0</v>
      </c>
      <c r="Q9" s="1">
        <v>0</v>
      </c>
      <c r="R9" s="1">
        <v>608333.34516176453</v>
      </c>
      <c r="S9" s="1">
        <v>421633.5066734741</v>
      </c>
      <c r="T9" s="1">
        <v>3200</v>
      </c>
      <c r="U9" s="1">
        <v>12056.25</v>
      </c>
      <c r="V9" s="1">
        <v>608333.34516176453</v>
      </c>
      <c r="W9" s="1">
        <v>453274.1316734741</v>
      </c>
      <c r="X9" s="1">
        <v>575</v>
      </c>
      <c r="Y9" s="1">
        <v>12.5</v>
      </c>
      <c r="Z9" s="1">
        <v>608333.34516176453</v>
      </c>
      <c r="AA9" s="1">
        <v>553850.69417347468</v>
      </c>
      <c r="AB9" s="1">
        <v>0</v>
      </c>
      <c r="AC9" s="1">
        <v>293306.25</v>
      </c>
    </row>
    <row r="10" spans="1:29" x14ac:dyDescent="0.25">
      <c r="A10" s="7" t="s">
        <v>28</v>
      </c>
      <c r="B10" s="17">
        <v>600</v>
      </c>
      <c r="C10" s="6"/>
      <c r="D10" s="6"/>
      <c r="E10" s="6"/>
      <c r="F10" s="1"/>
      <c r="G10" s="1"/>
      <c r="H10" s="1"/>
      <c r="N10" s="11">
        <v>1032778.9374482655</v>
      </c>
      <c r="O10" s="11">
        <v>515761.0326086086</v>
      </c>
      <c r="P10" s="1">
        <v>1112.5</v>
      </c>
      <c r="Q10" s="1">
        <v>0</v>
      </c>
      <c r="R10" s="1">
        <v>1032778.9374482655</v>
      </c>
      <c r="S10" s="1">
        <v>482228.2201086086</v>
      </c>
      <c r="T10" s="1">
        <v>105025</v>
      </c>
      <c r="U10" s="1">
        <v>10175</v>
      </c>
      <c r="V10" s="1">
        <v>1032778.9374482655</v>
      </c>
      <c r="W10" s="1">
        <v>560853.2201086086</v>
      </c>
      <c r="X10" s="1">
        <v>29143.75</v>
      </c>
      <c r="Y10" s="1">
        <v>0</v>
      </c>
      <c r="Z10" s="1">
        <v>1032778.9374482655</v>
      </c>
      <c r="AA10" s="1">
        <v>673178.2201086086</v>
      </c>
      <c r="AB10" s="1">
        <v>0</v>
      </c>
      <c r="AC10" s="1">
        <v>171306.25</v>
      </c>
    </row>
    <row r="11" spans="1:29" x14ac:dyDescent="0.25">
      <c r="A11" s="8" t="s">
        <v>30</v>
      </c>
      <c r="B11" s="21">
        <v>9</v>
      </c>
      <c r="C11" s="21">
        <v>83</v>
      </c>
      <c r="D11" s="21">
        <v>28</v>
      </c>
      <c r="E11" s="1"/>
      <c r="F11" s="1"/>
      <c r="G11" s="1"/>
      <c r="H11" s="1"/>
      <c r="N11" s="11">
        <v>1047916.6784950979</v>
      </c>
      <c r="O11" s="11">
        <v>559945.9159903687</v>
      </c>
      <c r="P11" s="1">
        <v>287081.25</v>
      </c>
      <c r="Q11" s="1">
        <v>0</v>
      </c>
      <c r="R11" s="1">
        <v>1047916.6784950979</v>
      </c>
      <c r="S11" s="1">
        <v>543275.6034903687</v>
      </c>
      <c r="T11" s="1">
        <v>354950</v>
      </c>
      <c r="U11" s="1">
        <v>22181.25</v>
      </c>
      <c r="V11" s="1">
        <v>1047916.6784950979</v>
      </c>
      <c r="W11" s="1">
        <v>607189.6659903687</v>
      </c>
      <c r="X11" s="1">
        <v>165525</v>
      </c>
      <c r="Y11" s="1">
        <v>6.25</v>
      </c>
      <c r="Z11" s="1">
        <v>1047916.6784950979</v>
      </c>
      <c r="AA11" s="1">
        <v>776580.2909903687</v>
      </c>
      <c r="AB11" s="1">
        <v>8731.25</v>
      </c>
      <c r="AC11" s="1">
        <v>86112.5</v>
      </c>
    </row>
    <row r="12" spans="1:29" x14ac:dyDescent="0.25">
      <c r="A12" s="7" t="s">
        <v>32</v>
      </c>
      <c r="B12" s="20">
        <f>B11*B3</f>
        <v>2575.125</v>
      </c>
      <c r="C12" s="20">
        <f>C11*C3</f>
        <v>6806</v>
      </c>
      <c r="D12" s="20">
        <f>D11*D3</f>
        <v>5740</v>
      </c>
      <c r="E12" s="6"/>
      <c r="F12" s="1"/>
      <c r="G12" s="1"/>
      <c r="H12" s="1"/>
      <c r="N12" s="11">
        <v>857735.54901851481</v>
      </c>
      <c r="O12" s="11">
        <v>571927.4888872673</v>
      </c>
      <c r="P12" s="1">
        <v>1049418.75</v>
      </c>
      <c r="Q12" s="1">
        <v>0</v>
      </c>
      <c r="R12" s="1">
        <v>857735.54901851481</v>
      </c>
      <c r="S12" s="1">
        <v>550136.8638872673</v>
      </c>
      <c r="T12" s="1">
        <v>787793.75</v>
      </c>
      <c r="U12" s="1">
        <v>194887.5</v>
      </c>
      <c r="V12" s="1">
        <v>857735.54901851481</v>
      </c>
      <c r="W12" s="1">
        <v>613097.8013872673</v>
      </c>
      <c r="X12" s="1">
        <v>723375</v>
      </c>
      <c r="Y12" s="1">
        <v>5018.75</v>
      </c>
      <c r="Z12" s="1">
        <v>857735.54901851481</v>
      </c>
      <c r="AA12" s="1">
        <v>785338.4263872673</v>
      </c>
      <c r="AB12" s="1">
        <v>269143.75</v>
      </c>
      <c r="AC12" s="1">
        <v>99256.25</v>
      </c>
    </row>
    <row r="13" spans="1:29" x14ac:dyDescent="0.25">
      <c r="A13" s="9" t="s">
        <v>34</v>
      </c>
      <c r="N13" s="11">
        <v>744064.06141520827</v>
      </c>
      <c r="O13" s="11">
        <v>544977.19768498489</v>
      </c>
      <c r="P13" s="1">
        <v>1648937.5</v>
      </c>
      <c r="Q13" s="1">
        <v>0</v>
      </c>
      <c r="R13" s="1">
        <v>744064.06141520827</v>
      </c>
      <c r="S13" s="1">
        <v>580924.07268498489</v>
      </c>
      <c r="T13" s="1">
        <v>1516562.5</v>
      </c>
      <c r="U13" s="1">
        <v>336000</v>
      </c>
      <c r="V13" s="1">
        <v>744064.06141520827</v>
      </c>
      <c r="W13" s="1">
        <v>628466.26018498489</v>
      </c>
      <c r="X13" s="1">
        <v>1244425</v>
      </c>
      <c r="Y13" s="1">
        <v>5781.25</v>
      </c>
      <c r="Z13" s="1">
        <v>744064.06141520827</v>
      </c>
      <c r="AA13" s="1">
        <v>725172.51018498489</v>
      </c>
      <c r="AB13" s="1">
        <v>606043.75</v>
      </c>
      <c r="AC13" s="1">
        <v>110050</v>
      </c>
    </row>
    <row r="14" spans="1:29" x14ac:dyDescent="0.25">
      <c r="N14" s="11">
        <v>763975.76980125008</v>
      </c>
      <c r="O14" s="11">
        <v>505042.41234859457</v>
      </c>
      <c r="P14" s="1">
        <v>1230287.5</v>
      </c>
      <c r="Q14" s="1">
        <v>0</v>
      </c>
      <c r="R14" s="1">
        <v>763975.76980125008</v>
      </c>
      <c r="S14" s="1">
        <v>591875.22484859452</v>
      </c>
      <c r="T14" s="1">
        <v>1754400</v>
      </c>
      <c r="U14" s="1">
        <v>217981.25</v>
      </c>
      <c r="V14" s="1">
        <v>763975.76980125008</v>
      </c>
      <c r="W14" s="1">
        <v>642775.22484859452</v>
      </c>
      <c r="X14" s="1">
        <v>1646625</v>
      </c>
      <c r="Y14" s="1">
        <v>8537.5</v>
      </c>
      <c r="Z14" s="1">
        <v>763975.76980125008</v>
      </c>
      <c r="AA14" s="1">
        <v>715931.47484859452</v>
      </c>
      <c r="AB14" s="1">
        <v>762643.75</v>
      </c>
      <c r="AC14" s="1">
        <v>177493.75</v>
      </c>
    </row>
    <row r="15" spans="1:29" x14ac:dyDescent="0.25">
      <c r="H15" s="4"/>
      <c r="N15" s="11">
        <v>718980.72808187502</v>
      </c>
      <c r="O15" s="11">
        <v>497512.84905450692</v>
      </c>
      <c r="P15" s="1">
        <v>1358200</v>
      </c>
      <c r="Q15" s="1">
        <v>0</v>
      </c>
      <c r="R15" s="1">
        <v>718980.72808187502</v>
      </c>
      <c r="S15" s="1">
        <v>592297.22405450698</v>
      </c>
      <c r="T15" s="1">
        <v>2021168.75</v>
      </c>
      <c r="U15" s="1">
        <v>235475</v>
      </c>
      <c r="V15" s="1">
        <v>718980.72808187502</v>
      </c>
      <c r="W15" s="1">
        <v>625105.03655450698</v>
      </c>
      <c r="X15" s="1">
        <v>1913281.25</v>
      </c>
      <c r="Y15" s="1">
        <v>7862.5</v>
      </c>
      <c r="Z15" s="1">
        <v>718980.72808187502</v>
      </c>
      <c r="AA15" s="1">
        <v>695637.84905450698</v>
      </c>
      <c r="AB15" s="1">
        <v>1555893.75</v>
      </c>
      <c r="AC15" s="1">
        <v>218537.5</v>
      </c>
    </row>
    <row r="16" spans="1:29" x14ac:dyDescent="0.25">
      <c r="B16" t="s">
        <v>35</v>
      </c>
      <c r="C16" s="18"/>
      <c r="H16" s="3"/>
      <c r="N16" s="11">
        <v>719568.88235184806</v>
      </c>
      <c r="O16" s="11">
        <v>507461.41817917081</v>
      </c>
      <c r="P16" s="1">
        <v>931306.25</v>
      </c>
      <c r="Q16" s="1">
        <v>0</v>
      </c>
      <c r="R16" s="1">
        <v>719568.88235184806</v>
      </c>
      <c r="S16" s="1">
        <v>598775.48067917081</v>
      </c>
      <c r="T16" s="1">
        <v>2055762.5</v>
      </c>
      <c r="U16" s="1">
        <v>133925</v>
      </c>
      <c r="V16" s="1">
        <v>719568.88235184806</v>
      </c>
      <c r="W16" s="1">
        <v>635334.85567917081</v>
      </c>
      <c r="X16" s="1">
        <v>2052331.25</v>
      </c>
      <c r="Y16" s="1">
        <v>4193.75</v>
      </c>
      <c r="Z16" s="1">
        <v>719568.88235184806</v>
      </c>
      <c r="AA16" s="1">
        <v>715072.35567917081</v>
      </c>
      <c r="AB16" s="1">
        <v>816993.75</v>
      </c>
      <c r="AC16" s="1">
        <v>205443.75</v>
      </c>
    </row>
    <row r="17" spans="1:29" x14ac:dyDescent="0.25">
      <c r="A17" s="5"/>
      <c r="B17" t="s">
        <v>36</v>
      </c>
      <c r="C17" s="19"/>
      <c r="F17" s="4"/>
      <c r="G17" s="3"/>
      <c r="H17" s="3"/>
      <c r="N17" s="11">
        <v>694402.21568518132</v>
      </c>
      <c r="O17" s="11">
        <v>539057.18036732159</v>
      </c>
      <c r="P17" s="1">
        <v>1449737.5</v>
      </c>
      <c r="Q17" s="1">
        <v>0</v>
      </c>
      <c r="R17" s="1">
        <v>694402.21568518132</v>
      </c>
      <c r="S17" s="1">
        <v>652621.24286732159</v>
      </c>
      <c r="T17" s="1">
        <v>2010225</v>
      </c>
      <c r="U17" s="1">
        <v>157206.25</v>
      </c>
      <c r="V17" s="1">
        <v>694402.21568518132</v>
      </c>
      <c r="W17" s="1">
        <v>583954.05536732159</v>
      </c>
      <c r="X17" s="1">
        <v>2075393.75</v>
      </c>
      <c r="Y17" s="1">
        <v>4043.75</v>
      </c>
      <c r="Z17" s="1">
        <v>694402.21568518132</v>
      </c>
      <c r="AA17" s="1">
        <v>680614.99286732159</v>
      </c>
      <c r="AB17" s="1">
        <v>572993.75</v>
      </c>
      <c r="AC17" s="1">
        <v>62693.75</v>
      </c>
    </row>
    <row r="18" spans="1:29" x14ac:dyDescent="0.25">
      <c r="A18" s="5"/>
      <c r="B18" t="s">
        <v>37</v>
      </c>
      <c r="C18" s="23"/>
      <c r="F18" s="4"/>
      <c r="G18" s="3"/>
      <c r="H18" s="3"/>
      <c r="N18" s="11">
        <v>720157.03662181972</v>
      </c>
      <c r="O18" s="11">
        <v>556814.99787919957</v>
      </c>
      <c r="P18" s="1">
        <v>1487075</v>
      </c>
      <c r="Q18" s="1">
        <v>0</v>
      </c>
      <c r="R18" s="1">
        <v>720157.03662181972</v>
      </c>
      <c r="S18" s="1">
        <v>610611.87287919957</v>
      </c>
      <c r="T18" s="1">
        <v>1873050</v>
      </c>
      <c r="U18" s="1">
        <v>81712.5</v>
      </c>
      <c r="V18" s="1">
        <v>720157.03662181972</v>
      </c>
      <c r="W18" s="1">
        <v>569843.12287919957</v>
      </c>
      <c r="X18" s="1">
        <v>1956393.75</v>
      </c>
      <c r="Y18" s="1">
        <v>21343.75</v>
      </c>
      <c r="Z18" s="1">
        <v>720157.03662181972</v>
      </c>
      <c r="AA18" s="1">
        <v>621010.31037919957</v>
      </c>
      <c r="AB18" s="1">
        <v>389706.25</v>
      </c>
      <c r="AC18" s="1">
        <v>71393.75</v>
      </c>
    </row>
    <row r="19" spans="1:29" x14ac:dyDescent="0.25">
      <c r="A19" s="5"/>
      <c r="F19" s="4"/>
      <c r="G19" s="3"/>
      <c r="H19" s="3"/>
      <c r="N19" s="11">
        <v>765235.41167452815</v>
      </c>
      <c r="O19" s="11">
        <v>548009.32167300861</v>
      </c>
      <c r="P19" s="1">
        <v>1547712.5</v>
      </c>
      <c r="Q19" s="1">
        <v>0</v>
      </c>
      <c r="R19" s="1">
        <v>765235.41167452815</v>
      </c>
      <c r="S19" s="1">
        <v>600421.82167300861</v>
      </c>
      <c r="T19" s="1">
        <v>2095193.75</v>
      </c>
      <c r="U19" s="1">
        <v>55593.75</v>
      </c>
      <c r="V19" s="1">
        <v>765235.41167452815</v>
      </c>
      <c r="W19" s="1">
        <v>594010.88417300861</v>
      </c>
      <c r="X19" s="1">
        <v>1738300</v>
      </c>
      <c r="Y19" s="1">
        <v>10118.75</v>
      </c>
      <c r="Z19" s="1">
        <v>765235.41167452815</v>
      </c>
      <c r="AA19" s="1">
        <v>585506.19667300861</v>
      </c>
      <c r="AB19" s="1">
        <v>125368.75</v>
      </c>
      <c r="AC19" s="1">
        <v>3068.75</v>
      </c>
    </row>
    <row r="20" spans="1:29" x14ac:dyDescent="0.25">
      <c r="A20" s="5"/>
      <c r="F20" s="5"/>
      <c r="N20" s="11">
        <v>745323.70328848646</v>
      </c>
      <c r="O20" s="11">
        <v>497718.72584464878</v>
      </c>
      <c r="P20" s="1">
        <v>612237.5</v>
      </c>
      <c r="Q20" s="1">
        <v>0</v>
      </c>
      <c r="R20" s="1">
        <v>745323.70328848646</v>
      </c>
      <c r="S20" s="1">
        <v>550562.47584464878</v>
      </c>
      <c r="T20" s="1">
        <v>1809862.5</v>
      </c>
      <c r="U20" s="1">
        <v>175175</v>
      </c>
      <c r="V20" s="1">
        <v>745323.70328848646</v>
      </c>
      <c r="W20" s="1">
        <v>568789.03834464878</v>
      </c>
      <c r="X20" s="1">
        <v>1412500</v>
      </c>
      <c r="Y20" s="1">
        <v>7487.5</v>
      </c>
      <c r="Z20" s="1">
        <v>745323.70328848646</v>
      </c>
      <c r="AA20" s="1">
        <v>541251.53834464878</v>
      </c>
      <c r="AB20" s="1">
        <v>18012.5</v>
      </c>
      <c r="AC20" s="1">
        <v>0</v>
      </c>
    </row>
    <row r="21" spans="1:29" x14ac:dyDescent="0.25">
      <c r="A21" s="5"/>
      <c r="F21" s="5"/>
      <c r="N21" s="11">
        <v>475871.90082644694</v>
      </c>
      <c r="O21" s="11">
        <v>417148.00624470611</v>
      </c>
      <c r="P21" s="1">
        <v>79631.25</v>
      </c>
      <c r="Q21" s="1">
        <v>0</v>
      </c>
      <c r="R21" s="1">
        <v>475871.90082644694</v>
      </c>
      <c r="S21" s="1">
        <v>464054.25624470611</v>
      </c>
      <c r="T21" s="1">
        <v>1284600</v>
      </c>
      <c r="U21" s="1">
        <v>332050</v>
      </c>
      <c r="V21" s="1">
        <v>475871.90082644694</v>
      </c>
      <c r="W21" s="1">
        <v>439046.44374470611</v>
      </c>
      <c r="X21" s="1">
        <v>1022968.75</v>
      </c>
      <c r="Y21" s="1">
        <v>5418.75</v>
      </c>
      <c r="Z21" s="1">
        <v>475871.90082644694</v>
      </c>
      <c r="AA21" s="1">
        <v>463201.13124470611</v>
      </c>
      <c r="AB21" s="1">
        <v>0</v>
      </c>
      <c r="AC21" s="1">
        <v>493.75</v>
      </c>
    </row>
    <row r="22" spans="1:29" x14ac:dyDescent="0.25">
      <c r="A22" s="5"/>
      <c r="N22" s="11">
        <v>601455.23415978032</v>
      </c>
      <c r="O22" s="11">
        <v>465631.27859207778</v>
      </c>
      <c r="P22" s="1">
        <v>31.25</v>
      </c>
      <c r="Q22" s="1">
        <v>0</v>
      </c>
      <c r="R22" s="1">
        <v>601455.23415978032</v>
      </c>
      <c r="S22" s="1">
        <v>504621.90359207778</v>
      </c>
      <c r="T22" s="1">
        <v>483493.75</v>
      </c>
      <c r="U22" s="1">
        <v>145087.5</v>
      </c>
      <c r="V22" s="1">
        <v>601455.23415978032</v>
      </c>
      <c r="W22" s="1">
        <v>469020.34109207778</v>
      </c>
      <c r="X22" s="1">
        <v>492531.25</v>
      </c>
      <c r="Y22" s="1">
        <v>6312.5</v>
      </c>
      <c r="Z22" s="1">
        <v>601455.23415978032</v>
      </c>
      <c r="AA22" s="1">
        <v>494684.40359207778</v>
      </c>
      <c r="AB22" s="1">
        <v>0</v>
      </c>
      <c r="AC22" s="1">
        <v>100</v>
      </c>
    </row>
    <row r="23" spans="1:29" x14ac:dyDescent="0.25">
      <c r="N23" s="11">
        <v>491009.64187327813</v>
      </c>
      <c r="O23" s="11">
        <v>512742.02974724933</v>
      </c>
      <c r="P23" s="1">
        <v>0</v>
      </c>
      <c r="Q23" s="1">
        <v>0</v>
      </c>
      <c r="R23" s="1">
        <v>491009.64187327813</v>
      </c>
      <c r="S23" s="1">
        <v>526945.15474724933</v>
      </c>
      <c r="T23" s="1">
        <v>148112.5</v>
      </c>
      <c r="U23" s="1">
        <v>11268.75</v>
      </c>
      <c r="V23" s="1">
        <v>491009.64187327813</v>
      </c>
      <c r="W23" s="1">
        <v>529796.71724724933</v>
      </c>
      <c r="X23" s="1">
        <v>144518.75</v>
      </c>
      <c r="Y23" s="1">
        <v>27268.75</v>
      </c>
      <c r="Z23" s="1">
        <v>491009.64187327813</v>
      </c>
      <c r="AA23" s="1">
        <v>537060.77974724933</v>
      </c>
      <c r="AB23" s="1">
        <v>0</v>
      </c>
      <c r="AC23" s="1">
        <v>0</v>
      </c>
    </row>
    <row r="24" spans="1:29" x14ac:dyDescent="0.25">
      <c r="A24" s="2"/>
      <c r="N24" s="11">
        <v>296342.97520661145</v>
      </c>
      <c r="O24" s="11">
        <v>508746.04423543904</v>
      </c>
      <c r="P24" s="1">
        <v>0</v>
      </c>
      <c r="Q24" s="1">
        <v>0</v>
      </c>
      <c r="R24" s="1">
        <v>296342.97520661145</v>
      </c>
      <c r="S24" s="1">
        <v>501302.29423543904</v>
      </c>
      <c r="T24" s="1">
        <v>12187.5</v>
      </c>
      <c r="U24" s="1">
        <v>0</v>
      </c>
      <c r="V24" s="1">
        <v>296342.97520661145</v>
      </c>
      <c r="W24" s="1">
        <v>531510.10673543904</v>
      </c>
      <c r="X24" s="1">
        <v>12837.5</v>
      </c>
      <c r="Y24" s="1">
        <v>91837.5</v>
      </c>
      <c r="Z24" s="1">
        <v>296342.97520661145</v>
      </c>
      <c r="AA24" s="1">
        <v>539064.79423543904</v>
      </c>
      <c r="AB24" s="1">
        <v>0</v>
      </c>
      <c r="AC24" s="1">
        <v>0</v>
      </c>
    </row>
    <row r="25" spans="1:29" x14ac:dyDescent="0.25">
      <c r="A25" s="5"/>
      <c r="N25" s="11">
        <v>151926.30853994482</v>
      </c>
      <c r="O25" s="11">
        <v>510549.19361575932</v>
      </c>
      <c r="P25" s="1">
        <v>0</v>
      </c>
      <c r="Q25" s="1">
        <v>0</v>
      </c>
      <c r="R25" s="1">
        <v>151926.30853994482</v>
      </c>
      <c r="S25" s="1">
        <v>499149.19361575932</v>
      </c>
      <c r="T25" s="1">
        <v>0</v>
      </c>
      <c r="U25" s="1">
        <v>287.5</v>
      </c>
      <c r="V25" s="1">
        <v>151926.30853994482</v>
      </c>
      <c r="W25" s="1">
        <v>503619.50611575932</v>
      </c>
      <c r="X25" s="1">
        <v>0</v>
      </c>
      <c r="Y25" s="1">
        <v>1556.25</v>
      </c>
      <c r="Z25" s="1">
        <v>151926.30853994482</v>
      </c>
      <c r="AA25" s="1">
        <v>525058.56861575926</v>
      </c>
      <c r="AB25" s="1">
        <v>0</v>
      </c>
      <c r="AC25" s="1">
        <v>0</v>
      </c>
    </row>
    <row r="26" spans="1:29" x14ac:dyDescent="0.25">
      <c r="A26" s="5"/>
      <c r="N26" s="11">
        <v>32004.820936639098</v>
      </c>
      <c r="O26" s="11">
        <v>500701.4805998985</v>
      </c>
      <c r="P26" s="1">
        <v>0</v>
      </c>
      <c r="Q26" s="1">
        <v>0</v>
      </c>
      <c r="R26" s="1">
        <v>32004.820936639098</v>
      </c>
      <c r="S26" s="1">
        <v>481413.9805998985</v>
      </c>
      <c r="T26" s="1">
        <v>0</v>
      </c>
      <c r="U26" s="1">
        <v>0</v>
      </c>
      <c r="V26" s="1">
        <v>32004.820936639098</v>
      </c>
      <c r="W26" s="1">
        <v>483715.5430998985</v>
      </c>
      <c r="X26" s="1">
        <v>0</v>
      </c>
      <c r="Y26" s="1">
        <v>0</v>
      </c>
      <c r="Z26" s="1">
        <v>32004.820936639098</v>
      </c>
      <c r="AA26" s="1">
        <v>505707.7305998985</v>
      </c>
      <c r="AB26" s="1">
        <v>0</v>
      </c>
      <c r="AC26" s="1">
        <v>0</v>
      </c>
    </row>
    <row r="27" spans="1:29" x14ac:dyDescent="0.25">
      <c r="A27" s="5"/>
      <c r="M27" s="5" t="s">
        <v>38</v>
      </c>
      <c r="N27" s="5">
        <f t="shared" ref="N27:AC27" si="0">SUM(N3:N26)</f>
        <v>11869926.17579315</v>
      </c>
      <c r="O27" s="5">
        <f t="shared" si="0"/>
        <v>11705468.149971062</v>
      </c>
      <c r="P27" s="5">
        <f t="shared" si="0"/>
        <v>11682768.75</v>
      </c>
      <c r="Q27" s="5">
        <f t="shared" si="0"/>
        <v>0</v>
      </c>
      <c r="R27" s="5">
        <f t="shared" si="0"/>
        <v>11869926.17579315</v>
      </c>
      <c r="S27" s="5">
        <f t="shared" si="0"/>
        <v>11847810.337471062</v>
      </c>
      <c r="T27" s="5">
        <f t="shared" si="0"/>
        <v>18315587.5</v>
      </c>
      <c r="U27" s="5">
        <f t="shared" si="0"/>
        <v>2199756.25</v>
      </c>
      <c r="V27" s="5">
        <f t="shared" si="0"/>
        <v>11869926.17579315</v>
      </c>
      <c r="W27" s="5">
        <f t="shared" si="0"/>
        <v>12058250.962471062</v>
      </c>
      <c r="X27" s="5">
        <f t="shared" si="0"/>
        <v>16630725</v>
      </c>
      <c r="Y27" s="5">
        <f t="shared" si="0"/>
        <v>206800</v>
      </c>
      <c r="Z27" s="5">
        <f t="shared" si="0"/>
        <v>11869926.17579315</v>
      </c>
      <c r="AA27" s="5">
        <f t="shared" si="0"/>
        <v>13678936.899971059</v>
      </c>
      <c r="AB27" s="5">
        <f t="shared" si="0"/>
        <v>5125531.25</v>
      </c>
      <c r="AC27" s="5">
        <f t="shared" si="0"/>
        <v>5602300</v>
      </c>
    </row>
    <row r="28" spans="1:29" x14ac:dyDescent="0.25">
      <c r="A28" s="5"/>
    </row>
    <row r="29" spans="1:29" x14ac:dyDescent="0.25">
      <c r="A29" s="5"/>
    </row>
    <row r="30" spans="1:29" x14ac:dyDescent="0.25">
      <c r="A30" s="5"/>
      <c r="M30" t="s">
        <v>39</v>
      </c>
      <c r="N30">
        <f>SUM(O27,S27,W27,AA27)/4000</f>
        <v>12322.616587471062</v>
      </c>
    </row>
    <row r="31" spans="1:29" x14ac:dyDescent="0.25">
      <c r="M31" t="s">
        <v>40</v>
      </c>
      <c r="N31">
        <f>SUM(N27,R27,V27,Z27)/4000</f>
        <v>11869.926175793151</v>
      </c>
    </row>
    <row r="32" spans="1:29" x14ac:dyDescent="0.25">
      <c r="M32" t="s">
        <v>41</v>
      </c>
      <c r="N32">
        <f>N30*365</f>
        <v>4497755.0544269374</v>
      </c>
    </row>
    <row r="33" spans="1:14" x14ac:dyDescent="0.25">
      <c r="A33" s="5"/>
      <c r="M33" t="s">
        <v>42</v>
      </c>
      <c r="N33">
        <f>N31*365</f>
        <v>4332523.0541645</v>
      </c>
    </row>
    <row r="34" spans="1:14" x14ac:dyDescent="0.25">
      <c r="A34" s="5"/>
      <c r="M34" t="s">
        <v>43</v>
      </c>
      <c r="N34">
        <f>SUM(P27,T27,X27,AB27)/4000</f>
        <v>12938.653125000001</v>
      </c>
    </row>
    <row r="35" spans="1:14" x14ac:dyDescent="0.25">
      <c r="M35" t="s">
        <v>44</v>
      </c>
      <c r="N35">
        <f xml:space="preserve"> SUM(Q27,U27,Y27,AC27)/4000</f>
        <v>2002.2140625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64646B-423B-4E75-A577-25C6655501A4}">
  <dimension ref="A1:AU26"/>
  <sheetViews>
    <sheetView tabSelected="1" workbookViewId="0">
      <selection activeCell="B1" sqref="B1:AH25"/>
    </sheetView>
  </sheetViews>
  <sheetFormatPr defaultRowHeight="15" x14ac:dyDescent="0.25"/>
  <cols>
    <col min="1" max="1" width="13.5703125" bestFit="1" customWidth="1"/>
    <col min="7" max="7" width="10" bestFit="1" customWidth="1"/>
    <col min="9" max="9" width="9.28515625" bestFit="1" customWidth="1"/>
    <col min="13" max="13" width="10.7109375" bestFit="1" customWidth="1"/>
    <col min="18" max="18" width="9.7109375" bestFit="1" customWidth="1"/>
    <col min="27" max="28" width="10.7109375" bestFit="1" customWidth="1"/>
    <col min="29" max="30" width="12.85546875" bestFit="1" customWidth="1"/>
    <col min="33" max="33" width="12.7109375" bestFit="1" customWidth="1"/>
    <col min="34" max="34" width="12" bestFit="1" customWidth="1"/>
  </cols>
  <sheetData>
    <row r="1" spans="1:47" x14ac:dyDescent="0.25">
      <c r="A1" s="30" t="s">
        <v>79</v>
      </c>
      <c r="B1" t="s">
        <v>86</v>
      </c>
      <c r="C1" t="s">
        <v>45</v>
      </c>
      <c r="D1" t="s">
        <v>46</v>
      </c>
      <c r="E1" t="s">
        <v>47</v>
      </c>
      <c r="F1" t="s">
        <v>48</v>
      </c>
      <c r="G1" t="s">
        <v>49</v>
      </c>
      <c r="H1" t="s">
        <v>50</v>
      </c>
      <c r="I1" t="s">
        <v>51</v>
      </c>
      <c r="J1" t="s">
        <v>52</v>
      </c>
      <c r="K1" t="s">
        <v>53</v>
      </c>
      <c r="L1" t="s">
        <v>54</v>
      </c>
      <c r="M1" t="s">
        <v>55</v>
      </c>
      <c r="N1" t="s">
        <v>56</v>
      </c>
      <c r="O1" t="s">
        <v>87</v>
      </c>
      <c r="P1" t="s">
        <v>88</v>
      </c>
      <c r="Q1" t="s">
        <v>89</v>
      </c>
      <c r="R1" t="s">
        <v>90</v>
      </c>
      <c r="S1" t="s">
        <v>91</v>
      </c>
      <c r="T1" t="s">
        <v>92</v>
      </c>
      <c r="U1" t="s">
        <v>93</v>
      </c>
      <c r="V1" t="s">
        <v>94</v>
      </c>
      <c r="W1" t="s">
        <v>95</v>
      </c>
      <c r="X1" t="s">
        <v>96</v>
      </c>
      <c r="Y1" t="s">
        <v>97</v>
      </c>
      <c r="Z1" t="s">
        <v>98</v>
      </c>
      <c r="AA1" t="s">
        <v>58</v>
      </c>
      <c r="AB1" t="s">
        <v>59</v>
      </c>
      <c r="AC1" t="s">
        <v>60</v>
      </c>
      <c r="AD1" t="s">
        <v>61</v>
      </c>
      <c r="AE1" t="s">
        <v>62</v>
      </c>
      <c r="AF1" t="s">
        <v>63</v>
      </c>
      <c r="AG1" t="s">
        <v>64</v>
      </c>
      <c r="AH1" t="s">
        <v>65</v>
      </c>
      <c r="AI1" s="26" t="s">
        <v>57</v>
      </c>
      <c r="AJ1" s="28" t="s">
        <v>67</v>
      </c>
      <c r="AK1" s="28" t="s">
        <v>66</v>
      </c>
      <c r="AL1" s="28" t="s">
        <v>69</v>
      </c>
      <c r="AM1" s="28" t="s">
        <v>68</v>
      </c>
      <c r="AN1" s="28" t="s">
        <v>71</v>
      </c>
      <c r="AO1" s="28" t="s">
        <v>72</v>
      </c>
      <c r="AP1" s="28" t="s">
        <v>70</v>
      </c>
      <c r="AQ1" s="28" t="s">
        <v>81</v>
      </c>
      <c r="AR1" s="28" t="s">
        <v>82</v>
      </c>
      <c r="AS1" s="28" t="s">
        <v>83</v>
      </c>
      <c r="AT1" s="28" t="s">
        <v>84</v>
      </c>
      <c r="AU1" t="s">
        <v>85</v>
      </c>
    </row>
    <row r="2" spans="1:47" x14ac:dyDescent="0.25">
      <c r="A2" s="30">
        <v>0.26038899999999998</v>
      </c>
      <c r="B2">
        <v>0</v>
      </c>
      <c r="C2">
        <v>0</v>
      </c>
      <c r="D2">
        <v>0</v>
      </c>
      <c r="E2">
        <v>-391735.72530890797</v>
      </c>
      <c r="F2">
        <v>0</v>
      </c>
      <c r="G2">
        <v>0</v>
      </c>
      <c r="H2">
        <v>-208000</v>
      </c>
      <c r="I2">
        <v>0</v>
      </c>
      <c r="J2">
        <v>0</v>
      </c>
      <c r="K2">
        <v>-391735.72529999999</v>
      </c>
      <c r="L2">
        <v>-479.02749999999997</v>
      </c>
      <c r="M2">
        <v>25000</v>
      </c>
      <c r="N2">
        <v>62750</v>
      </c>
      <c r="O2">
        <v>-62750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0.5</v>
      </c>
      <c r="AB2">
        <v>0.5</v>
      </c>
      <c r="AC2">
        <v>0.5</v>
      </c>
      <c r="AD2">
        <v>0.48487499879482099</v>
      </c>
      <c r="AE2">
        <v>-599735.72530890803</v>
      </c>
      <c r="AF2">
        <v>-367214.75280000002</v>
      </c>
      <c r="AG2">
        <v>0.254685102</v>
      </c>
      <c r="AH2">
        <v>0.19520999999999999</v>
      </c>
      <c r="AI2">
        <v>-62750</v>
      </c>
      <c r="AJ2" s="27">
        <f t="shared" ref="AJ2:AJ25" si="0">IF(AE2&lt;0,AE2,0)</f>
        <v>-599735.72530890803</v>
      </c>
      <c r="AK2" s="27">
        <f t="shared" ref="AK2:AK25" si="1">IF(AE2&gt;0,AE2,0)</f>
        <v>0</v>
      </c>
      <c r="AL2" s="27">
        <f t="shared" ref="AL2:AL25" si="2">IF(AF2&lt;0,AF2,0)</f>
        <v>-367214.75280000002</v>
      </c>
      <c r="AM2" s="27">
        <f t="shared" ref="AM2:AM25" si="3">IF(AF2&gt;0,AF2,0)</f>
        <v>0</v>
      </c>
      <c r="AN2" s="29">
        <f t="shared" ref="AN2:AN25" si="4">SUM(J2,C2:I2,-AE2)</f>
        <v>0</v>
      </c>
      <c r="AO2" s="29">
        <f t="shared" ref="AO2:AO25" si="5">N2+AI2-AF2</f>
        <v>367214.75280000002</v>
      </c>
      <c r="AP2" s="29">
        <f t="shared" ref="AP2:AP25" si="6">SUM(C2,D2,E2,F2,G2,H2,I2,J2,N2,AI2,-AJ2,-AK2,-AL2,-AM2)</f>
        <v>367214.75280000013</v>
      </c>
      <c r="AQ2" s="29">
        <f>IF([1]Day1!A2&lt;[1]KPI!$B$15,1,0)</f>
        <v>1</v>
      </c>
      <c r="AR2" s="29">
        <f>IF([1]Day1!A2&gt;=[1]KPI!$B$15,1,0)</f>
        <v>0</v>
      </c>
      <c r="AS2" s="29">
        <f>AJ2*AQ2</f>
        <v>-599735.72530890803</v>
      </c>
      <c r="AT2" s="29">
        <f>AK2*AR2</f>
        <v>0</v>
      </c>
      <c r="AU2">
        <v>-391735.72530890757</v>
      </c>
    </row>
    <row r="3" spans="1:47" x14ac:dyDescent="0.25">
      <c r="A3" s="30">
        <v>0.25714300000000001</v>
      </c>
      <c r="B3">
        <v>3600</v>
      </c>
      <c r="C3">
        <v>0</v>
      </c>
      <c r="D3">
        <v>0</v>
      </c>
      <c r="E3">
        <v>-395127.288299268</v>
      </c>
      <c r="F3">
        <v>0</v>
      </c>
      <c r="G3">
        <v>0</v>
      </c>
      <c r="H3">
        <v>-395127.28830000001</v>
      </c>
      <c r="I3">
        <v>0</v>
      </c>
      <c r="J3">
        <v>0</v>
      </c>
      <c r="K3">
        <v>0</v>
      </c>
      <c r="L3">
        <v>-436.48250000000002</v>
      </c>
      <c r="M3">
        <v>25000</v>
      </c>
      <c r="N3">
        <v>62750</v>
      </c>
      <c r="O3">
        <v>-62750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0.54145033589394298</v>
      </c>
      <c r="AB3">
        <v>0.5</v>
      </c>
      <c r="AC3">
        <v>0.5</v>
      </c>
      <c r="AD3">
        <v>0.46974999758964098</v>
      </c>
      <c r="AE3">
        <v>-790254.57659926801</v>
      </c>
      <c r="AF3">
        <v>24563.517500000002</v>
      </c>
      <c r="AG3">
        <v>0.23503848899999999</v>
      </c>
      <c r="AH3">
        <v>0.17444999999999999</v>
      </c>
      <c r="AI3">
        <v>-62750</v>
      </c>
      <c r="AJ3" s="27">
        <f t="shared" si="0"/>
        <v>-790254.57659926801</v>
      </c>
      <c r="AK3" s="27">
        <f t="shared" si="1"/>
        <v>0</v>
      </c>
      <c r="AL3" s="27">
        <f t="shared" si="2"/>
        <v>0</v>
      </c>
      <c r="AM3" s="27">
        <f t="shared" si="3"/>
        <v>24563.517500000002</v>
      </c>
      <c r="AN3" s="29">
        <f t="shared" si="4"/>
        <v>0</v>
      </c>
      <c r="AO3" s="29">
        <f t="shared" si="5"/>
        <v>-24563.517500000002</v>
      </c>
      <c r="AP3" s="29">
        <f t="shared" si="6"/>
        <v>-24563.517500000002</v>
      </c>
      <c r="AQ3" s="29">
        <f>IF([1]Day1!A3&lt;[1]KPI!$B$15,1,0)</f>
        <v>1</v>
      </c>
      <c r="AR3" s="29">
        <f>IF([1]Day1!A3&gt;=[1]KPI!$B$15,1,0)</f>
        <v>0</v>
      </c>
      <c r="AS3" s="29">
        <f t="shared" ref="AS3:AT25" si="7">AJ3*AQ3</f>
        <v>-790254.57659926801</v>
      </c>
      <c r="AT3" s="29">
        <f t="shared" si="7"/>
        <v>0</v>
      </c>
      <c r="AU3">
        <v>0</v>
      </c>
    </row>
    <row r="4" spans="1:47" x14ac:dyDescent="0.25">
      <c r="A4" s="30">
        <v>0.25442999999999999</v>
      </c>
      <c r="B4">
        <v>7200</v>
      </c>
      <c r="C4">
        <v>0</v>
      </c>
      <c r="D4">
        <v>0</v>
      </c>
      <c r="E4">
        <v>-386838.771823544</v>
      </c>
      <c r="F4">
        <v>0</v>
      </c>
      <c r="G4">
        <v>0</v>
      </c>
      <c r="H4">
        <v>-760338.77179999999</v>
      </c>
      <c r="I4">
        <v>0</v>
      </c>
      <c r="J4">
        <v>373500</v>
      </c>
      <c r="K4">
        <v>0</v>
      </c>
      <c r="L4">
        <v>-376.17</v>
      </c>
      <c r="M4">
        <v>25000</v>
      </c>
      <c r="N4">
        <v>62750</v>
      </c>
      <c r="O4">
        <v>-62750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0.59990789233048603</v>
      </c>
      <c r="AB4">
        <v>0.5</v>
      </c>
      <c r="AC4">
        <v>0.38831576586678601</v>
      </c>
      <c r="AD4">
        <v>0.45462499638446202</v>
      </c>
      <c r="AE4">
        <v>-773677.54362354404</v>
      </c>
      <c r="AF4">
        <v>24623.83</v>
      </c>
      <c r="AG4">
        <v>0.20922375300000001</v>
      </c>
      <c r="AH4">
        <v>0.14960999999999999</v>
      </c>
      <c r="AI4">
        <v>-62750</v>
      </c>
      <c r="AJ4" s="27">
        <f t="shared" si="0"/>
        <v>-773677.54362354404</v>
      </c>
      <c r="AK4" s="27">
        <f t="shared" si="1"/>
        <v>0</v>
      </c>
      <c r="AL4" s="27">
        <f t="shared" si="2"/>
        <v>0</v>
      </c>
      <c r="AM4" s="27">
        <f t="shared" si="3"/>
        <v>24623.83</v>
      </c>
      <c r="AN4" s="29">
        <f t="shared" si="4"/>
        <v>0</v>
      </c>
      <c r="AO4" s="29">
        <f t="shared" si="5"/>
        <v>-24623.83</v>
      </c>
      <c r="AP4" s="29">
        <f t="shared" si="6"/>
        <v>-24623.83</v>
      </c>
      <c r="AQ4" s="29">
        <f>IF([1]Day1!A4&lt;[1]KPI!$B$15,1,0)</f>
        <v>1</v>
      </c>
      <c r="AR4" s="29">
        <f>IF([1]Day1!A4&gt;=[1]KPI!$B$15,1,0)</f>
        <v>0</v>
      </c>
      <c r="AS4" s="29">
        <f t="shared" si="7"/>
        <v>-773677.54362354404</v>
      </c>
      <c r="AT4" s="29">
        <f t="shared" si="7"/>
        <v>0</v>
      </c>
      <c r="AU4">
        <v>0</v>
      </c>
    </row>
    <row r="5" spans="1:47" x14ac:dyDescent="0.25">
      <c r="A5" s="30">
        <v>0.25297999999999998</v>
      </c>
      <c r="B5">
        <v>10800</v>
      </c>
      <c r="C5">
        <v>0</v>
      </c>
      <c r="D5">
        <v>0</v>
      </c>
      <c r="E5">
        <v>-400327.600799268</v>
      </c>
      <c r="F5">
        <v>0</v>
      </c>
      <c r="G5">
        <v>0</v>
      </c>
      <c r="H5">
        <v>-773827.60080000001</v>
      </c>
      <c r="I5">
        <v>0</v>
      </c>
      <c r="J5">
        <v>373500</v>
      </c>
      <c r="K5">
        <v>0</v>
      </c>
      <c r="L5">
        <v>-347.34750000000003</v>
      </c>
      <c r="M5">
        <v>25000</v>
      </c>
      <c r="N5">
        <v>62750</v>
      </c>
      <c r="O5">
        <v>-62750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0.71171212026302799</v>
      </c>
      <c r="AB5">
        <v>0.5</v>
      </c>
      <c r="AC5">
        <v>0.16494729760035901</v>
      </c>
      <c r="AD5">
        <v>0.43949999517928201</v>
      </c>
      <c r="AE5">
        <v>-800655.20159926801</v>
      </c>
      <c r="AF5">
        <v>24652.6525</v>
      </c>
      <c r="AG5">
        <v>0.200678984</v>
      </c>
      <c r="AH5">
        <v>0.14057</v>
      </c>
      <c r="AI5">
        <v>-62750</v>
      </c>
      <c r="AJ5" s="27">
        <f t="shared" si="0"/>
        <v>-800655.20159926801</v>
      </c>
      <c r="AK5" s="27">
        <f t="shared" si="1"/>
        <v>0</v>
      </c>
      <c r="AL5" s="27">
        <f t="shared" si="2"/>
        <v>0</v>
      </c>
      <c r="AM5" s="27">
        <f t="shared" si="3"/>
        <v>24652.6525</v>
      </c>
      <c r="AN5" s="29">
        <f t="shared" si="4"/>
        <v>0</v>
      </c>
      <c r="AO5" s="29">
        <f t="shared" si="5"/>
        <v>-24652.6525</v>
      </c>
      <c r="AP5" s="29">
        <f t="shared" si="6"/>
        <v>-24652.6525</v>
      </c>
      <c r="AQ5" s="29">
        <f>IF([1]Day1!A5&lt;[1]KPI!$B$15,1,0)</f>
        <v>1</v>
      </c>
      <c r="AR5" s="29">
        <f>IF([1]Day1!A5&gt;=[1]KPI!$B$15,1,0)</f>
        <v>0</v>
      </c>
      <c r="AS5" s="29">
        <f t="shared" si="7"/>
        <v>-800655.20159926801</v>
      </c>
      <c r="AT5" s="29">
        <f t="shared" si="7"/>
        <v>0</v>
      </c>
      <c r="AU5">
        <v>0</v>
      </c>
    </row>
    <row r="6" spans="1:47" x14ac:dyDescent="0.25">
      <c r="A6" s="30">
        <v>0.25274999999999997</v>
      </c>
      <c r="B6">
        <v>14400</v>
      </c>
      <c r="C6">
        <v>0</v>
      </c>
      <c r="D6">
        <v>0</v>
      </c>
      <c r="E6">
        <v>-398289.084323544</v>
      </c>
      <c r="F6">
        <v>0</v>
      </c>
      <c r="G6">
        <v>0</v>
      </c>
      <c r="H6">
        <v>-382706.33909999998</v>
      </c>
      <c r="I6">
        <v>0</v>
      </c>
      <c r="J6">
        <v>373500</v>
      </c>
      <c r="K6">
        <v>-389090</v>
      </c>
      <c r="L6">
        <v>-332.5025</v>
      </c>
      <c r="M6">
        <v>25000</v>
      </c>
      <c r="N6">
        <v>62750</v>
      </c>
      <c r="O6">
        <v>-62750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0.82434702705571095</v>
      </c>
      <c r="AB6">
        <v>0.5</v>
      </c>
      <c r="AC6">
        <v>4.0853704119010202E-2</v>
      </c>
      <c r="AD6">
        <v>0.424374993974103</v>
      </c>
      <c r="AE6">
        <v>-407495.42342354398</v>
      </c>
      <c r="AF6">
        <v>-364422.5025</v>
      </c>
      <c r="AG6">
        <v>0.20197621599999999</v>
      </c>
      <c r="AH6">
        <v>0.14055999999999999</v>
      </c>
      <c r="AI6">
        <v>-62750</v>
      </c>
      <c r="AJ6" s="27">
        <f t="shared" si="0"/>
        <v>-407495.42342354398</v>
      </c>
      <c r="AK6" s="27">
        <f t="shared" si="1"/>
        <v>0</v>
      </c>
      <c r="AL6" s="27">
        <f t="shared" si="2"/>
        <v>-364422.5025</v>
      </c>
      <c r="AM6" s="27">
        <f t="shared" si="3"/>
        <v>0</v>
      </c>
      <c r="AN6" s="29">
        <f t="shared" si="4"/>
        <v>0</v>
      </c>
      <c r="AO6" s="29">
        <f t="shared" si="5"/>
        <v>364422.5025</v>
      </c>
      <c r="AP6" s="29">
        <f t="shared" si="6"/>
        <v>364422.50249999994</v>
      </c>
      <c r="AQ6" s="29">
        <f>IF([1]Day1!A6&lt;[1]KPI!$B$15,1,0)</f>
        <v>1</v>
      </c>
      <c r="AR6" s="29">
        <f>IF([1]Day1!A6&gt;=[1]KPI!$B$15,1,0)</f>
        <v>0</v>
      </c>
      <c r="AS6" s="29">
        <f t="shared" si="7"/>
        <v>-407495.42342354398</v>
      </c>
      <c r="AT6" s="29">
        <f t="shared" si="7"/>
        <v>0</v>
      </c>
      <c r="AU6">
        <v>-389090</v>
      </c>
    </row>
    <row r="7" spans="1:47" x14ac:dyDescent="0.25">
      <c r="A7" s="30">
        <v>0.25497999999999998</v>
      </c>
      <c r="B7">
        <v>18000</v>
      </c>
      <c r="C7">
        <v>0</v>
      </c>
      <c r="D7">
        <v>0</v>
      </c>
      <c r="E7">
        <v>-485746.16169024498</v>
      </c>
      <c r="F7">
        <v>0</v>
      </c>
      <c r="G7">
        <v>0</v>
      </c>
      <c r="H7">
        <v>0</v>
      </c>
      <c r="I7">
        <v>0</v>
      </c>
      <c r="J7">
        <v>-450000</v>
      </c>
      <c r="K7">
        <v>0</v>
      </c>
      <c r="L7">
        <v>-315.32499999999999</v>
      </c>
      <c r="M7">
        <v>25000</v>
      </c>
      <c r="N7">
        <v>89092.975210000004</v>
      </c>
      <c r="O7">
        <v>-62750</v>
      </c>
      <c r="P7">
        <v>0</v>
      </c>
      <c r="Q7">
        <v>-2634.29752066116</v>
      </c>
      <c r="R7">
        <v>-2634.29752066116</v>
      </c>
      <c r="S7">
        <v>-2634.29752066116</v>
      </c>
      <c r="T7">
        <v>-2634.29752066116</v>
      </c>
      <c r="U7">
        <v>-2634.29752066116</v>
      </c>
      <c r="V7">
        <v>-2634.29752066116</v>
      </c>
      <c r="W7">
        <v>-2634.29752066116</v>
      </c>
      <c r="X7">
        <v>-2634.29752066116</v>
      </c>
      <c r="Y7">
        <v>-2634.29752066116</v>
      </c>
      <c r="Z7">
        <v>-2634.29752066116</v>
      </c>
      <c r="AA7">
        <v>0.87859792082934096</v>
      </c>
      <c r="AB7">
        <v>0.5</v>
      </c>
      <c r="AC7">
        <v>2.6368843034537001E-2</v>
      </c>
      <c r="AD7">
        <v>0.402900390668537</v>
      </c>
      <c r="AE7">
        <v>-935746.16169024503</v>
      </c>
      <c r="AF7">
        <v>24684.675003388402</v>
      </c>
      <c r="AG7">
        <v>0.20758394199999999</v>
      </c>
      <c r="AH7">
        <v>0.14516000000000001</v>
      </c>
      <c r="AI7">
        <v>-89092.975206611591</v>
      </c>
      <c r="AJ7" s="27">
        <f t="shared" si="0"/>
        <v>-935746.16169024503</v>
      </c>
      <c r="AK7" s="27">
        <f t="shared" si="1"/>
        <v>0</v>
      </c>
      <c r="AL7" s="27">
        <f t="shared" si="2"/>
        <v>0</v>
      </c>
      <c r="AM7" s="27">
        <f t="shared" si="3"/>
        <v>24684.675003388402</v>
      </c>
      <c r="AN7" s="29">
        <f t="shared" si="4"/>
        <v>0</v>
      </c>
      <c r="AO7" s="29">
        <f t="shared" si="5"/>
        <v>-24684.674999999988</v>
      </c>
      <c r="AP7" s="29">
        <f t="shared" si="6"/>
        <v>-24684.674999999785</v>
      </c>
      <c r="AQ7" s="29">
        <f>IF([1]Day1!A7&lt;[1]KPI!$B$15,1,0)</f>
        <v>1</v>
      </c>
      <c r="AR7" s="29">
        <f>IF([1]Day1!A7&gt;=[1]KPI!$B$15,1,0)</f>
        <v>0</v>
      </c>
      <c r="AS7" s="29">
        <f t="shared" si="7"/>
        <v>-935746.16169024503</v>
      </c>
      <c r="AT7" s="29">
        <f t="shared" si="7"/>
        <v>0</v>
      </c>
      <c r="AU7">
        <v>0</v>
      </c>
    </row>
    <row r="8" spans="1:47" x14ac:dyDescent="0.25">
      <c r="A8" s="30">
        <v>0.26271</v>
      </c>
      <c r="B8">
        <v>21600</v>
      </c>
      <c r="C8">
        <v>0</v>
      </c>
      <c r="D8">
        <v>0</v>
      </c>
      <c r="E8">
        <v>-487656.94417347398</v>
      </c>
      <c r="F8">
        <v>0</v>
      </c>
      <c r="G8">
        <v>0</v>
      </c>
      <c r="H8">
        <v>0</v>
      </c>
      <c r="I8">
        <v>0</v>
      </c>
      <c r="J8">
        <v>-450000</v>
      </c>
      <c r="K8">
        <v>0</v>
      </c>
      <c r="L8">
        <v>-6296.5249999999996</v>
      </c>
      <c r="M8">
        <v>25000</v>
      </c>
      <c r="N8">
        <v>608333.34519999998</v>
      </c>
      <c r="O8">
        <v>-188333.33333333299</v>
      </c>
      <c r="P8">
        <v>-367314.06141520798</v>
      </c>
      <c r="Q8">
        <v>-5268.59504132232</v>
      </c>
      <c r="R8">
        <v>-5268.59504132232</v>
      </c>
      <c r="S8">
        <v>-5268.59504132232</v>
      </c>
      <c r="T8">
        <v>-5268.59504132232</v>
      </c>
      <c r="U8">
        <v>-5268.59504132232</v>
      </c>
      <c r="V8">
        <v>-5268.59504132232</v>
      </c>
      <c r="W8">
        <v>-5268.59504132232</v>
      </c>
      <c r="X8">
        <v>-5268.59504132232</v>
      </c>
      <c r="Y8">
        <v>-5268.59504132232</v>
      </c>
      <c r="Z8">
        <v>-5268.59504132232</v>
      </c>
      <c r="AA8">
        <v>0.87859792082934096</v>
      </c>
      <c r="AB8">
        <v>0.5</v>
      </c>
      <c r="AC8">
        <v>0.14007146694124201</v>
      </c>
      <c r="AD8">
        <v>0.25627023004222899</v>
      </c>
      <c r="AE8">
        <v>-937656.94417347398</v>
      </c>
      <c r="AF8">
        <v>18703.475038235101</v>
      </c>
      <c r="AG8">
        <v>0.22290945400000001</v>
      </c>
      <c r="AH8">
        <v>0.15945999999999999</v>
      </c>
      <c r="AI8">
        <v>-608333.34516176383</v>
      </c>
      <c r="AJ8" s="27">
        <f t="shared" si="0"/>
        <v>-937656.94417347398</v>
      </c>
      <c r="AK8" s="27">
        <f t="shared" si="1"/>
        <v>0</v>
      </c>
      <c r="AL8" s="27">
        <f t="shared" si="2"/>
        <v>0</v>
      </c>
      <c r="AM8" s="27">
        <f t="shared" si="3"/>
        <v>18703.475038235101</v>
      </c>
      <c r="AN8" s="29">
        <f t="shared" si="4"/>
        <v>0</v>
      </c>
      <c r="AO8" s="29">
        <f t="shared" si="5"/>
        <v>-18703.474999998954</v>
      </c>
      <c r="AP8" s="29">
        <f t="shared" si="6"/>
        <v>-18703.474999998954</v>
      </c>
      <c r="AQ8" s="29">
        <f>IF([1]Day1!A8&lt;[1]KPI!$B$15,1,0)</f>
        <v>1</v>
      </c>
      <c r="AR8" s="29">
        <f>IF([1]Day1!A8&gt;=[1]KPI!$B$15,1,0)</f>
        <v>0</v>
      </c>
      <c r="AS8" s="29">
        <f t="shared" si="7"/>
        <v>-937656.94417347398</v>
      </c>
      <c r="AT8" s="29">
        <f t="shared" si="7"/>
        <v>0</v>
      </c>
      <c r="AU8">
        <v>0</v>
      </c>
    </row>
    <row r="9" spans="1:47" x14ac:dyDescent="0.25">
      <c r="A9" s="30">
        <v>0.269783</v>
      </c>
      <c r="B9">
        <v>25200</v>
      </c>
      <c r="C9">
        <v>0</v>
      </c>
      <c r="D9">
        <v>1112.5</v>
      </c>
      <c r="E9">
        <v>-515761.03260860901</v>
      </c>
      <c r="F9">
        <v>0</v>
      </c>
      <c r="G9">
        <v>0</v>
      </c>
      <c r="H9">
        <v>0</v>
      </c>
      <c r="I9">
        <v>0</v>
      </c>
      <c r="J9">
        <v>-450000</v>
      </c>
      <c r="K9">
        <v>0</v>
      </c>
      <c r="L9">
        <v>-12333.924999999999</v>
      </c>
      <c r="M9">
        <v>25000</v>
      </c>
      <c r="N9">
        <v>1032778.937</v>
      </c>
      <c r="O9">
        <v>-533750</v>
      </c>
      <c r="P9">
        <v>-367314.06141520798</v>
      </c>
      <c r="Q9">
        <v>-13171.487603305801</v>
      </c>
      <c r="R9">
        <v>-13171.487603305801</v>
      </c>
      <c r="S9">
        <v>-13171.487603305801</v>
      </c>
      <c r="T9">
        <v>-13171.487603305801</v>
      </c>
      <c r="U9">
        <v>-13171.487603305801</v>
      </c>
      <c r="V9">
        <v>-13171.487603305801</v>
      </c>
      <c r="W9">
        <v>-13171.487603305801</v>
      </c>
      <c r="X9">
        <v>-13171.487603305801</v>
      </c>
      <c r="Y9">
        <v>-13171.487603305801</v>
      </c>
      <c r="Z9">
        <v>-13171.487603305801</v>
      </c>
      <c r="AA9">
        <v>0.87859792082934096</v>
      </c>
      <c r="AB9">
        <v>0.5</v>
      </c>
      <c r="AC9">
        <v>0.253774090847948</v>
      </c>
      <c r="AD9">
        <v>0.200315439441905</v>
      </c>
      <c r="AE9">
        <v>-964648.53260860895</v>
      </c>
      <c r="AF9">
        <v>12666.074551734</v>
      </c>
      <c r="AG9">
        <v>0.23400607000000001</v>
      </c>
      <c r="AH9">
        <v>0.17157</v>
      </c>
      <c r="AI9">
        <v>-1032778.9374482664</v>
      </c>
      <c r="AJ9" s="27">
        <f t="shared" si="0"/>
        <v>-964648.53260860895</v>
      </c>
      <c r="AK9" s="27">
        <f t="shared" si="1"/>
        <v>0</v>
      </c>
      <c r="AL9" s="27">
        <f t="shared" si="2"/>
        <v>0</v>
      </c>
      <c r="AM9" s="27">
        <f t="shared" si="3"/>
        <v>12666.074551734</v>
      </c>
      <c r="AN9" s="29">
        <f t="shared" si="4"/>
        <v>0</v>
      </c>
      <c r="AO9" s="29">
        <f t="shared" si="5"/>
        <v>-12666.075000000394</v>
      </c>
      <c r="AP9" s="29">
        <f t="shared" si="6"/>
        <v>-12666.075000000394</v>
      </c>
      <c r="AQ9" s="29">
        <f>IF([1]Day1!A9&lt;[1]KPI!$B$15,1,0)</f>
        <v>0</v>
      </c>
      <c r="AR9" s="29">
        <f>IF([1]Day1!A9&gt;=[1]KPI!$B$15,1,0)</f>
        <v>1</v>
      </c>
      <c r="AS9" s="29">
        <f t="shared" si="7"/>
        <v>0</v>
      </c>
      <c r="AT9" s="29">
        <f t="shared" si="7"/>
        <v>0</v>
      </c>
      <c r="AU9">
        <v>0</v>
      </c>
    </row>
    <row r="10" spans="1:47" x14ac:dyDescent="0.25">
      <c r="A10" s="30">
        <v>0.27707500000000002</v>
      </c>
      <c r="B10">
        <v>28800</v>
      </c>
      <c r="C10">
        <v>0</v>
      </c>
      <c r="D10">
        <v>287081.25</v>
      </c>
      <c r="E10">
        <v>-559945.91599036905</v>
      </c>
      <c r="F10">
        <v>0</v>
      </c>
      <c r="G10">
        <v>0</v>
      </c>
      <c r="H10">
        <v>0</v>
      </c>
      <c r="I10">
        <v>0</v>
      </c>
      <c r="J10">
        <v>-272920.66600000003</v>
      </c>
      <c r="K10">
        <v>0</v>
      </c>
      <c r="L10">
        <v>-12021.05</v>
      </c>
      <c r="M10">
        <v>68376.7422643873</v>
      </c>
      <c r="N10">
        <v>0</v>
      </c>
      <c r="O10">
        <v>-627916.66666666698</v>
      </c>
      <c r="P10">
        <v>-367314.06141520798</v>
      </c>
      <c r="Q10">
        <v>-5268.59504132232</v>
      </c>
      <c r="R10">
        <v>-5268.59504132232</v>
      </c>
      <c r="S10">
        <v>-5268.59504132232</v>
      </c>
      <c r="T10">
        <v>-5268.59504132232</v>
      </c>
      <c r="U10">
        <v>-5268.59504132232</v>
      </c>
      <c r="V10">
        <v>-5268.59504132232</v>
      </c>
      <c r="W10">
        <v>-5268.59504132232</v>
      </c>
      <c r="X10">
        <v>-5268.59504132232</v>
      </c>
      <c r="Y10">
        <v>-5268.59504132232</v>
      </c>
      <c r="Z10">
        <v>-5268.59504132232</v>
      </c>
      <c r="AA10">
        <v>0.87859792082934096</v>
      </c>
      <c r="AB10">
        <v>0.5</v>
      </c>
      <c r="AC10">
        <v>0.34964264990312599</v>
      </c>
      <c r="AD10">
        <v>0</v>
      </c>
      <c r="AE10">
        <v>-545785.33199036901</v>
      </c>
      <c r="AF10">
        <v>-991560.98623071099</v>
      </c>
      <c r="AG10">
        <v>0.20459496199999999</v>
      </c>
      <c r="AH10">
        <v>0.14926</v>
      </c>
      <c r="AI10">
        <v>-1047916.6784950979</v>
      </c>
      <c r="AJ10" s="27">
        <f t="shared" si="0"/>
        <v>-545785.33199036901</v>
      </c>
      <c r="AK10" s="27">
        <f t="shared" si="1"/>
        <v>0</v>
      </c>
      <c r="AL10" s="27">
        <f t="shared" si="2"/>
        <v>-991560.98623071099</v>
      </c>
      <c r="AM10" s="27">
        <f t="shared" si="3"/>
        <v>0</v>
      </c>
      <c r="AN10" s="29">
        <f t="shared" si="4"/>
        <v>0</v>
      </c>
      <c r="AO10" s="29">
        <f t="shared" si="5"/>
        <v>-56355.692264386918</v>
      </c>
      <c r="AP10" s="29">
        <f t="shared" si="6"/>
        <v>-56355.692264387035</v>
      </c>
      <c r="AQ10" s="29">
        <f>IF([1]Day1!A10&lt;[1]KPI!$B$15,1,0)</f>
        <v>0</v>
      </c>
      <c r="AR10" s="29">
        <f>IF([1]Day1!A10&gt;=[1]KPI!$B$15,1,0)</f>
        <v>1</v>
      </c>
      <c r="AS10" s="29">
        <f t="shared" si="7"/>
        <v>0</v>
      </c>
      <c r="AT10" s="29">
        <f t="shared" si="7"/>
        <v>0</v>
      </c>
      <c r="AU10">
        <v>0</v>
      </c>
    </row>
    <row r="11" spans="1:47" x14ac:dyDescent="0.25">
      <c r="A11" s="30">
        <v>0.27672799999999997</v>
      </c>
      <c r="B11">
        <v>32400</v>
      </c>
      <c r="C11">
        <v>0</v>
      </c>
      <c r="D11">
        <v>1049418.75</v>
      </c>
      <c r="E11">
        <v>-571927.48888726695</v>
      </c>
      <c r="F11">
        <v>0</v>
      </c>
      <c r="G11">
        <v>0</v>
      </c>
      <c r="H11">
        <v>477491.2611</v>
      </c>
      <c r="I11">
        <v>0</v>
      </c>
      <c r="J11">
        <v>0</v>
      </c>
      <c r="K11">
        <v>0</v>
      </c>
      <c r="L11">
        <v>982.10749999999996</v>
      </c>
      <c r="M11">
        <v>47162.329379667302</v>
      </c>
      <c r="N11">
        <v>0</v>
      </c>
      <c r="O11">
        <v>-477250</v>
      </c>
      <c r="P11">
        <v>-367314.06141520798</v>
      </c>
      <c r="Q11">
        <v>-1317.14876033057</v>
      </c>
      <c r="R11">
        <v>-1317.14876033057</v>
      </c>
      <c r="S11">
        <v>-1317.14876033057</v>
      </c>
      <c r="T11">
        <v>-1317.14876033057</v>
      </c>
      <c r="U11">
        <v>-1317.14876033057</v>
      </c>
      <c r="V11">
        <v>-1317.14876033057</v>
      </c>
      <c r="W11">
        <v>-1317.14876033057</v>
      </c>
      <c r="X11">
        <v>-1317.14876033057</v>
      </c>
      <c r="Y11">
        <v>-1317.14876033057</v>
      </c>
      <c r="Z11">
        <v>-1317.14876033057</v>
      </c>
      <c r="AA11">
        <v>0.87859792082934096</v>
      </c>
      <c r="AB11">
        <v>0.5</v>
      </c>
      <c r="AC11">
        <v>0.38412242306153199</v>
      </c>
      <c r="AD11">
        <v>0</v>
      </c>
      <c r="AE11">
        <v>954982.52221273305</v>
      </c>
      <c r="AF11">
        <v>-809591.11213884701</v>
      </c>
      <c r="AG11">
        <v>0.19017879100000001</v>
      </c>
      <c r="AH11">
        <v>0.14055999999999999</v>
      </c>
      <c r="AI11">
        <v>-857735.54901851318</v>
      </c>
      <c r="AJ11" s="27">
        <f t="shared" si="0"/>
        <v>0</v>
      </c>
      <c r="AK11" s="27">
        <f t="shared" si="1"/>
        <v>954982.52221273305</v>
      </c>
      <c r="AL11" s="27">
        <f t="shared" si="2"/>
        <v>-809591.11213884701</v>
      </c>
      <c r="AM11" s="27">
        <f t="shared" si="3"/>
        <v>0</v>
      </c>
      <c r="AN11" s="29">
        <f t="shared" si="4"/>
        <v>0</v>
      </c>
      <c r="AO11" s="29">
        <f t="shared" si="5"/>
        <v>-48144.436879666173</v>
      </c>
      <c r="AP11" s="29">
        <f t="shared" si="6"/>
        <v>-48144.436879666173</v>
      </c>
      <c r="AQ11" s="29">
        <f>IF([1]Day1!A11&lt;[1]KPI!$B$15,1,0)</f>
        <v>0</v>
      </c>
      <c r="AR11" s="29">
        <f>IF([1]Day1!A11&gt;=[1]KPI!$B$15,1,0)</f>
        <v>1</v>
      </c>
      <c r="AS11" s="29">
        <f t="shared" si="7"/>
        <v>0</v>
      </c>
      <c r="AT11" s="29">
        <f t="shared" si="7"/>
        <v>954982.52221273305</v>
      </c>
      <c r="AU11">
        <v>0</v>
      </c>
    </row>
    <row r="12" spans="1:47" x14ac:dyDescent="0.25">
      <c r="A12" s="30">
        <v>0.27678199999999997</v>
      </c>
      <c r="B12">
        <v>36000</v>
      </c>
      <c r="C12">
        <v>0</v>
      </c>
      <c r="D12">
        <v>1648937.5</v>
      </c>
      <c r="E12">
        <v>-544977.19768498605</v>
      </c>
      <c r="F12">
        <v>0</v>
      </c>
      <c r="G12">
        <v>0</v>
      </c>
      <c r="H12">
        <v>1103960.3019999999</v>
      </c>
      <c r="I12">
        <v>0</v>
      </c>
      <c r="J12">
        <v>0</v>
      </c>
      <c r="K12">
        <v>0</v>
      </c>
      <c r="L12">
        <v>3175.1750000000002</v>
      </c>
      <c r="M12">
        <v>66878.714289246796</v>
      </c>
      <c r="N12">
        <v>0</v>
      </c>
      <c r="O12">
        <v>-376750</v>
      </c>
      <c r="P12">
        <v>-367314.06141520798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0.814315943268489</v>
      </c>
      <c r="AB12">
        <v>0.5</v>
      </c>
      <c r="AC12">
        <v>0.38412242306153199</v>
      </c>
      <c r="AD12">
        <v>0</v>
      </c>
      <c r="AE12">
        <v>2207920.6043150099</v>
      </c>
      <c r="AF12">
        <v>-674010.17212596198</v>
      </c>
      <c r="AG12">
        <v>0.178113509</v>
      </c>
      <c r="AH12">
        <v>0.13582</v>
      </c>
      <c r="AI12">
        <v>-744064.06141520804</v>
      </c>
      <c r="AJ12" s="27">
        <f t="shared" si="0"/>
        <v>0</v>
      </c>
      <c r="AK12" s="27">
        <f t="shared" si="1"/>
        <v>2207920.6043150099</v>
      </c>
      <c r="AL12" s="27">
        <f t="shared" si="2"/>
        <v>-674010.17212596198</v>
      </c>
      <c r="AM12" s="27">
        <f t="shared" si="3"/>
        <v>0</v>
      </c>
      <c r="AN12" s="29">
        <f t="shared" si="4"/>
        <v>3.7252902984619141E-9</v>
      </c>
      <c r="AO12" s="29">
        <f t="shared" si="5"/>
        <v>-70053.889289246057</v>
      </c>
      <c r="AP12" s="29">
        <f t="shared" si="6"/>
        <v>-70053.889289242332</v>
      </c>
      <c r="AQ12" s="29">
        <f>IF([1]Day1!A12&lt;[1]KPI!$B$15,1,0)</f>
        <v>0</v>
      </c>
      <c r="AR12" s="29">
        <f>IF([1]Day1!A12&gt;=[1]KPI!$B$15,1,0)</f>
        <v>1</v>
      </c>
      <c r="AS12" s="29">
        <f t="shared" si="7"/>
        <v>0</v>
      </c>
      <c r="AT12" s="29">
        <f t="shared" si="7"/>
        <v>2207920.6043150099</v>
      </c>
      <c r="AU12">
        <v>0</v>
      </c>
    </row>
    <row r="13" spans="1:47" x14ac:dyDescent="0.25">
      <c r="A13" s="30">
        <v>0.270368</v>
      </c>
      <c r="B13">
        <v>39600</v>
      </c>
      <c r="C13">
        <v>0</v>
      </c>
      <c r="D13">
        <v>1230287.5</v>
      </c>
      <c r="E13">
        <v>-505042.41234859498</v>
      </c>
      <c r="F13">
        <v>0</v>
      </c>
      <c r="G13">
        <v>0</v>
      </c>
      <c r="H13">
        <v>725245.08770000003</v>
      </c>
      <c r="I13">
        <v>0</v>
      </c>
      <c r="J13">
        <v>0</v>
      </c>
      <c r="K13">
        <v>0</v>
      </c>
      <c r="L13">
        <v>13071.975</v>
      </c>
      <c r="M13">
        <v>70833.118684162706</v>
      </c>
      <c r="N13">
        <v>0</v>
      </c>
      <c r="O13">
        <v>-364166.66666666698</v>
      </c>
      <c r="P13">
        <v>-399809.10313458298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0.66578488623083698</v>
      </c>
      <c r="AB13">
        <v>0.5</v>
      </c>
      <c r="AC13">
        <v>0.38412242306153199</v>
      </c>
      <c r="AD13">
        <v>0</v>
      </c>
      <c r="AE13">
        <v>1450490.1753514099</v>
      </c>
      <c r="AF13">
        <v>-680070.67611708702</v>
      </c>
      <c r="AG13">
        <v>0.171302914</v>
      </c>
      <c r="AH13">
        <v>0.13022</v>
      </c>
      <c r="AI13">
        <v>-763975.76980124996</v>
      </c>
      <c r="AJ13" s="27">
        <f t="shared" si="0"/>
        <v>0</v>
      </c>
      <c r="AK13" s="27">
        <f t="shared" si="1"/>
        <v>1450490.1753514099</v>
      </c>
      <c r="AL13" s="27">
        <f t="shared" si="2"/>
        <v>-680070.67611708702</v>
      </c>
      <c r="AM13" s="27">
        <f t="shared" si="3"/>
        <v>0</v>
      </c>
      <c r="AN13" s="29">
        <f t="shared" si="4"/>
        <v>-4.8894435167312622E-9</v>
      </c>
      <c r="AO13" s="29">
        <f t="shared" si="5"/>
        <v>-83905.093684162945</v>
      </c>
      <c r="AP13" s="29">
        <f t="shared" si="6"/>
        <v>-83905.093684167834</v>
      </c>
      <c r="AQ13" s="29">
        <f>IF([1]Day1!A13&lt;[1]KPI!$B$15,1,0)</f>
        <v>0</v>
      </c>
      <c r="AR13" s="29">
        <f>IF([1]Day1!A13&gt;=[1]KPI!$B$15,1,0)</f>
        <v>1</v>
      </c>
      <c r="AS13" s="29">
        <f t="shared" si="7"/>
        <v>0</v>
      </c>
      <c r="AT13" s="29">
        <f t="shared" si="7"/>
        <v>1450490.1753514099</v>
      </c>
      <c r="AU13">
        <v>0</v>
      </c>
    </row>
    <row r="14" spans="1:47" x14ac:dyDescent="0.25">
      <c r="A14" s="30">
        <v>0.266897</v>
      </c>
      <c r="B14">
        <v>43200</v>
      </c>
      <c r="C14">
        <v>0</v>
      </c>
      <c r="D14">
        <v>1358200</v>
      </c>
      <c r="E14">
        <v>-497512.84905450698</v>
      </c>
      <c r="F14">
        <v>0</v>
      </c>
      <c r="G14">
        <v>0</v>
      </c>
      <c r="H14">
        <v>860687.15090000001</v>
      </c>
      <c r="I14">
        <v>0</v>
      </c>
      <c r="J14">
        <v>0</v>
      </c>
      <c r="K14">
        <v>0</v>
      </c>
      <c r="L14">
        <v>15175.225</v>
      </c>
      <c r="M14">
        <v>66931.569500997299</v>
      </c>
      <c r="N14">
        <v>0</v>
      </c>
      <c r="O14">
        <v>-351666.66666666698</v>
      </c>
      <c r="P14">
        <v>-367314.06141520798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0.566382826339765</v>
      </c>
      <c r="AB14">
        <v>0.5</v>
      </c>
      <c r="AC14">
        <v>0.38412242306153199</v>
      </c>
      <c r="AD14">
        <v>0</v>
      </c>
      <c r="AE14">
        <v>1721374.30184549</v>
      </c>
      <c r="AF14">
        <v>-636873.93358087796</v>
      </c>
      <c r="AG14">
        <v>0.17035473900000001</v>
      </c>
      <c r="AH14">
        <v>0.12872</v>
      </c>
      <c r="AI14">
        <v>-718980.72808187502</v>
      </c>
      <c r="AJ14" s="27">
        <f t="shared" si="0"/>
        <v>0</v>
      </c>
      <c r="AK14" s="27">
        <f t="shared" si="1"/>
        <v>1721374.30184549</v>
      </c>
      <c r="AL14" s="27">
        <f t="shared" si="2"/>
        <v>-636873.93358087796</v>
      </c>
      <c r="AM14" s="27">
        <f t="shared" si="3"/>
        <v>0</v>
      </c>
      <c r="AN14" s="29">
        <f t="shared" si="4"/>
        <v>3.0267983675003052E-9</v>
      </c>
      <c r="AO14" s="29">
        <f t="shared" si="5"/>
        <v>-82106.794500997057</v>
      </c>
      <c r="AP14" s="29">
        <f t="shared" si="6"/>
        <v>-82106.79450099403</v>
      </c>
      <c r="AQ14" s="29">
        <f>IF([1]Day1!A14&lt;[1]KPI!$B$15,1,0)</f>
        <v>1</v>
      </c>
      <c r="AR14" s="29">
        <f>IF([1]Day1!A14&gt;=[1]KPI!$B$15,1,0)</f>
        <v>0</v>
      </c>
      <c r="AS14" s="29">
        <f t="shared" si="7"/>
        <v>0</v>
      </c>
      <c r="AT14" s="29">
        <f t="shared" si="7"/>
        <v>0</v>
      </c>
      <c r="AU14">
        <v>0</v>
      </c>
    </row>
    <row r="15" spans="1:47" x14ac:dyDescent="0.25">
      <c r="A15" s="30">
        <v>0.26474700000000001</v>
      </c>
      <c r="B15">
        <v>46800</v>
      </c>
      <c r="C15">
        <v>0</v>
      </c>
      <c r="D15">
        <v>931306.25</v>
      </c>
      <c r="E15">
        <v>-507461.41817917099</v>
      </c>
      <c r="F15">
        <v>0</v>
      </c>
      <c r="G15">
        <v>0</v>
      </c>
      <c r="H15">
        <v>423844.83179999999</v>
      </c>
      <c r="I15">
        <v>0</v>
      </c>
      <c r="J15">
        <v>0</v>
      </c>
      <c r="K15">
        <v>0</v>
      </c>
      <c r="L15">
        <v>37224.5</v>
      </c>
      <c r="M15">
        <v>38356.372916701002</v>
      </c>
      <c r="N15">
        <v>0</v>
      </c>
      <c r="O15">
        <v>-339083.33333333302</v>
      </c>
      <c r="P15">
        <v>-367314.06141520798</v>
      </c>
      <c r="Q15">
        <v>-1317.14876033057</v>
      </c>
      <c r="R15">
        <v>-1317.14876033057</v>
      </c>
      <c r="S15">
        <v>-1317.14876033057</v>
      </c>
      <c r="T15">
        <v>-1317.14876033057</v>
      </c>
      <c r="U15">
        <v>-1317.14876033057</v>
      </c>
      <c r="V15">
        <v>-1317.14876033057</v>
      </c>
      <c r="W15">
        <v>-1317.14876033057</v>
      </c>
      <c r="X15">
        <v>-1317.14876033057</v>
      </c>
      <c r="Y15">
        <v>-1317.14876033057</v>
      </c>
      <c r="Z15">
        <v>-1317.14876033057</v>
      </c>
      <c r="AA15">
        <v>0.44319637233779102</v>
      </c>
      <c r="AB15">
        <v>0.5</v>
      </c>
      <c r="AC15">
        <v>0.38412242306153199</v>
      </c>
      <c r="AD15">
        <v>0</v>
      </c>
      <c r="AE15">
        <v>847689.663620829</v>
      </c>
      <c r="AF15">
        <v>-643988.00943514705</v>
      </c>
      <c r="AG15">
        <v>0.171294636</v>
      </c>
      <c r="AH15">
        <v>0.12992999999999999</v>
      </c>
      <c r="AI15">
        <v>-719568.8823518462</v>
      </c>
      <c r="AJ15" s="27">
        <f t="shared" si="0"/>
        <v>0</v>
      </c>
      <c r="AK15" s="27">
        <f t="shared" si="1"/>
        <v>847689.663620829</v>
      </c>
      <c r="AL15" s="27">
        <f t="shared" si="2"/>
        <v>-643988.00943514705</v>
      </c>
      <c r="AM15" s="27">
        <f t="shared" si="3"/>
        <v>0</v>
      </c>
      <c r="AN15" s="29">
        <f t="shared" si="4"/>
        <v>0</v>
      </c>
      <c r="AO15" s="29">
        <f t="shared" si="5"/>
        <v>-75580.872916699154</v>
      </c>
      <c r="AP15" s="29">
        <f t="shared" si="6"/>
        <v>-75580.872916699154</v>
      </c>
      <c r="AQ15" s="29">
        <f>IF([1]Day1!A15&lt;[1]KPI!$B$15,1,0)</f>
        <v>1</v>
      </c>
      <c r="AR15" s="29">
        <f>IF([1]Day1!A15&gt;=[1]KPI!$B$15,1,0)</f>
        <v>0</v>
      </c>
      <c r="AS15" s="29">
        <f t="shared" si="7"/>
        <v>0</v>
      </c>
      <c r="AT15" s="29">
        <f t="shared" si="7"/>
        <v>0</v>
      </c>
      <c r="AU15">
        <v>0</v>
      </c>
    </row>
    <row r="16" spans="1:47" x14ac:dyDescent="0.25">
      <c r="A16" s="30">
        <v>0.26649400000000001</v>
      </c>
      <c r="B16">
        <v>50400</v>
      </c>
      <c r="C16">
        <v>0</v>
      </c>
      <c r="D16">
        <v>1449737.5</v>
      </c>
      <c r="E16">
        <v>-539057.18036732206</v>
      </c>
      <c r="F16">
        <v>0</v>
      </c>
      <c r="G16">
        <v>0</v>
      </c>
      <c r="H16">
        <v>910680.31960000005</v>
      </c>
      <c r="I16">
        <v>0</v>
      </c>
      <c r="J16">
        <v>-0.69553730300000005</v>
      </c>
      <c r="K16">
        <v>0</v>
      </c>
      <c r="L16">
        <v>27042</v>
      </c>
      <c r="M16">
        <v>59436.561382107</v>
      </c>
      <c r="N16">
        <v>0</v>
      </c>
      <c r="O16">
        <v>-313916.66666666698</v>
      </c>
      <c r="P16">
        <v>-367314.06141520798</v>
      </c>
      <c r="Q16">
        <v>-1317.14876033057</v>
      </c>
      <c r="R16">
        <v>-1317.14876033057</v>
      </c>
      <c r="S16">
        <v>-1317.14876033057</v>
      </c>
      <c r="T16">
        <v>-1317.14876033057</v>
      </c>
      <c r="U16">
        <v>-1317.14876033057</v>
      </c>
      <c r="V16">
        <v>-1317.14876033057</v>
      </c>
      <c r="W16">
        <v>-1317.14876033057</v>
      </c>
      <c r="X16">
        <v>-1317.14876033057</v>
      </c>
      <c r="Y16">
        <v>-1317.14876033057</v>
      </c>
      <c r="Z16">
        <v>-1317.14876033057</v>
      </c>
      <c r="AA16">
        <v>0.381255387094938</v>
      </c>
      <c r="AB16">
        <v>0.5</v>
      </c>
      <c r="AC16">
        <v>0.38412251093310601</v>
      </c>
      <c r="AD16">
        <v>0</v>
      </c>
      <c r="AE16">
        <v>1821359.9436953799</v>
      </c>
      <c r="AF16">
        <v>-607923.654303074</v>
      </c>
      <c r="AG16">
        <v>0.170437012</v>
      </c>
      <c r="AH16">
        <v>0.12889999999999999</v>
      </c>
      <c r="AI16">
        <v>-694402.21568518016</v>
      </c>
      <c r="AJ16" s="27">
        <f t="shared" si="0"/>
        <v>0</v>
      </c>
      <c r="AK16" s="27">
        <f t="shared" si="1"/>
        <v>1821359.9436953799</v>
      </c>
      <c r="AL16" s="27">
        <f t="shared" si="2"/>
        <v>-607923.654303074</v>
      </c>
      <c r="AM16" s="27">
        <f t="shared" si="3"/>
        <v>0</v>
      </c>
      <c r="AN16" s="29">
        <f t="shared" si="4"/>
        <v>-5.1222741603851318E-9</v>
      </c>
      <c r="AO16" s="29">
        <f t="shared" si="5"/>
        <v>-86478.561382106156</v>
      </c>
      <c r="AP16" s="29">
        <f t="shared" si="6"/>
        <v>-86478.561382111278</v>
      </c>
      <c r="AQ16" s="29">
        <f>IF([1]Day1!A16&lt;[1]KPI!$B$15,1,0)</f>
        <v>1</v>
      </c>
      <c r="AR16" s="29">
        <f>IF([1]Day1!A16&gt;=[1]KPI!$B$15,1,0)</f>
        <v>0</v>
      </c>
      <c r="AS16" s="29">
        <f t="shared" si="7"/>
        <v>0</v>
      </c>
      <c r="AT16" s="29">
        <f t="shared" si="7"/>
        <v>0</v>
      </c>
      <c r="AU16">
        <v>0</v>
      </c>
    </row>
    <row r="17" spans="1:47" x14ac:dyDescent="0.25">
      <c r="A17" s="30">
        <v>0.270067</v>
      </c>
      <c r="B17">
        <v>54000</v>
      </c>
      <c r="C17">
        <v>0</v>
      </c>
      <c r="D17">
        <v>1487075</v>
      </c>
      <c r="E17">
        <v>-556814.99787919899</v>
      </c>
      <c r="F17">
        <v>0</v>
      </c>
      <c r="G17">
        <v>0</v>
      </c>
      <c r="H17">
        <v>-8.9534781540000008</v>
      </c>
      <c r="I17">
        <v>0</v>
      </c>
      <c r="J17">
        <v>450000</v>
      </c>
      <c r="K17">
        <v>0</v>
      </c>
      <c r="L17">
        <v>23119.674999999999</v>
      </c>
      <c r="M17">
        <v>40093.640271343997</v>
      </c>
      <c r="N17">
        <v>0</v>
      </c>
      <c r="O17">
        <v>-326500</v>
      </c>
      <c r="P17">
        <v>-367314.06141520798</v>
      </c>
      <c r="Q17">
        <v>-2634.29752066116</v>
      </c>
      <c r="R17">
        <v>-2634.29752066116</v>
      </c>
      <c r="S17">
        <v>-2634.29752066116</v>
      </c>
      <c r="T17">
        <v>-2634.29752066116</v>
      </c>
      <c r="U17">
        <v>-2634.29752066116</v>
      </c>
      <c r="V17">
        <v>-2634.29752066116</v>
      </c>
      <c r="W17">
        <v>-2634.29752066116</v>
      </c>
      <c r="X17">
        <v>-2634.29752066116</v>
      </c>
      <c r="Y17">
        <v>-2634.29752066116</v>
      </c>
      <c r="Z17">
        <v>-2634.29752066116</v>
      </c>
      <c r="AA17">
        <v>0.24564784586524899</v>
      </c>
      <c r="AB17">
        <v>0.5</v>
      </c>
      <c r="AC17">
        <v>0.17480805495835799</v>
      </c>
      <c r="AD17">
        <v>0</v>
      </c>
      <c r="AE17">
        <v>1380251.04864265</v>
      </c>
      <c r="AF17">
        <v>-656943.72135047603</v>
      </c>
      <c r="AG17">
        <v>0.167840183</v>
      </c>
      <c r="AH17">
        <v>0.12529000000000001</v>
      </c>
      <c r="AI17">
        <v>-720157.03662181948</v>
      </c>
      <c r="AJ17" s="27">
        <f t="shared" si="0"/>
        <v>0</v>
      </c>
      <c r="AK17" s="27">
        <f t="shared" si="1"/>
        <v>1380251.04864265</v>
      </c>
      <c r="AL17" s="27">
        <f t="shared" si="2"/>
        <v>-656943.72135047603</v>
      </c>
      <c r="AM17" s="27">
        <f t="shared" si="3"/>
        <v>0</v>
      </c>
      <c r="AN17" s="29">
        <f t="shared" si="4"/>
        <v>-3.0267983675003052E-9</v>
      </c>
      <c r="AO17" s="29">
        <f t="shared" si="5"/>
        <v>-63213.315271343454</v>
      </c>
      <c r="AP17" s="29">
        <f t="shared" si="6"/>
        <v>-63213.315271346481</v>
      </c>
      <c r="AQ17" s="29">
        <f>IF([1]Day1!A17&lt;[1]KPI!$B$15,1,0)</f>
        <v>0</v>
      </c>
      <c r="AR17" s="29">
        <f>IF([1]Day1!A17&gt;=[1]KPI!$B$15,1,0)</f>
        <v>1</v>
      </c>
      <c r="AS17" s="29">
        <f t="shared" si="7"/>
        <v>0</v>
      </c>
      <c r="AT17" s="29">
        <f t="shared" si="7"/>
        <v>1380251.04864265</v>
      </c>
      <c r="AU17">
        <v>0</v>
      </c>
    </row>
    <row r="18" spans="1:47" x14ac:dyDescent="0.25">
      <c r="A18" s="30">
        <v>0.27431899999999998</v>
      </c>
      <c r="B18">
        <v>57600</v>
      </c>
      <c r="C18">
        <v>0</v>
      </c>
      <c r="D18">
        <v>1547712.5</v>
      </c>
      <c r="E18">
        <v>-548009.32167300896</v>
      </c>
      <c r="F18">
        <v>0</v>
      </c>
      <c r="G18">
        <v>0</v>
      </c>
      <c r="H18">
        <v>40</v>
      </c>
      <c r="I18">
        <v>0</v>
      </c>
      <c r="J18">
        <v>450000</v>
      </c>
      <c r="K18">
        <v>0</v>
      </c>
      <c r="L18">
        <v>35534.5</v>
      </c>
      <c r="M18">
        <v>29732.627841611498</v>
      </c>
      <c r="N18">
        <v>0</v>
      </c>
      <c r="O18">
        <v>-339083.33333333302</v>
      </c>
      <c r="P18">
        <v>-399809.10313458298</v>
      </c>
      <c r="Q18">
        <v>-2634.29752066116</v>
      </c>
      <c r="R18">
        <v>-2634.29752066116</v>
      </c>
      <c r="S18">
        <v>-2634.29752066116</v>
      </c>
      <c r="T18">
        <v>-2634.29752066116</v>
      </c>
      <c r="U18">
        <v>-2634.29752066116</v>
      </c>
      <c r="V18">
        <v>-2634.29752066116</v>
      </c>
      <c r="W18">
        <v>-2634.29752066116</v>
      </c>
      <c r="X18">
        <v>-2634.29752066116</v>
      </c>
      <c r="Y18">
        <v>-2634.29752066116</v>
      </c>
      <c r="Z18">
        <v>-2634.29752066116</v>
      </c>
      <c r="AA18">
        <v>0.24564918881989101</v>
      </c>
      <c r="AB18">
        <v>0.5</v>
      </c>
      <c r="AC18">
        <v>2.5297701366371401E-2</v>
      </c>
      <c r="AD18">
        <v>0</v>
      </c>
      <c r="AE18">
        <v>1449743.17832699</v>
      </c>
      <c r="AF18">
        <v>-699968.28383291699</v>
      </c>
      <c r="AG18">
        <v>0.17468782299999999</v>
      </c>
      <c r="AH18">
        <v>0.12831999999999999</v>
      </c>
      <c r="AI18">
        <v>-765235.41167452745</v>
      </c>
      <c r="AJ18" s="27">
        <f t="shared" si="0"/>
        <v>0</v>
      </c>
      <c r="AK18" s="27">
        <f t="shared" si="1"/>
        <v>1449743.17832699</v>
      </c>
      <c r="AL18" s="27">
        <f t="shared" si="2"/>
        <v>-699968.28383291699</v>
      </c>
      <c r="AM18" s="27">
        <f t="shared" si="3"/>
        <v>0</v>
      </c>
      <c r="AN18" s="29">
        <f t="shared" si="4"/>
        <v>0</v>
      </c>
      <c r="AO18" s="29">
        <f t="shared" si="5"/>
        <v>-65267.127841610461</v>
      </c>
      <c r="AP18" s="29">
        <f t="shared" si="6"/>
        <v>-65267.12784160953</v>
      </c>
      <c r="AQ18" s="29">
        <f>IF([1]Day1!A18&lt;[1]KPI!$B$15,1,0)</f>
        <v>0</v>
      </c>
      <c r="AR18" s="29">
        <f>IF([1]Day1!A18&gt;=[1]KPI!$B$15,1,0)</f>
        <v>1</v>
      </c>
      <c r="AS18" s="29">
        <f t="shared" si="7"/>
        <v>0</v>
      </c>
      <c r="AT18" s="29">
        <f t="shared" si="7"/>
        <v>1449743.17832699</v>
      </c>
      <c r="AU18">
        <v>0</v>
      </c>
    </row>
    <row r="19" spans="1:47" x14ac:dyDescent="0.25">
      <c r="A19" s="30">
        <v>0.27111299999999999</v>
      </c>
      <c r="B19">
        <v>61200</v>
      </c>
      <c r="C19">
        <v>0</v>
      </c>
      <c r="D19">
        <v>612237.5</v>
      </c>
      <c r="E19">
        <v>-497718.72584464902</v>
      </c>
      <c r="F19">
        <v>0</v>
      </c>
      <c r="G19">
        <v>0</v>
      </c>
      <c r="H19">
        <v>114518.7742</v>
      </c>
      <c r="I19">
        <v>0</v>
      </c>
      <c r="J19">
        <v>-0.180447792</v>
      </c>
      <c r="K19">
        <v>0</v>
      </c>
      <c r="L19">
        <v>-994.79499999999996</v>
      </c>
      <c r="M19">
        <v>39311.939508085998</v>
      </c>
      <c r="N19">
        <v>0</v>
      </c>
      <c r="O19">
        <v>-351666.66666666698</v>
      </c>
      <c r="P19">
        <v>-367314.06141520798</v>
      </c>
      <c r="Q19">
        <v>-2634.29752066116</v>
      </c>
      <c r="R19">
        <v>-2634.29752066116</v>
      </c>
      <c r="S19">
        <v>-2634.29752066116</v>
      </c>
      <c r="T19">
        <v>-2634.29752066116</v>
      </c>
      <c r="U19">
        <v>-2634.29752066116</v>
      </c>
      <c r="V19">
        <v>-2634.29752066116</v>
      </c>
      <c r="W19">
        <v>-2634.29752066116</v>
      </c>
      <c r="X19">
        <v>-2634.29752066116</v>
      </c>
      <c r="Y19">
        <v>-2634.29752066116</v>
      </c>
      <c r="Z19">
        <v>-2634.29752066116</v>
      </c>
      <c r="AA19">
        <v>0.24564306303054101</v>
      </c>
      <c r="AB19">
        <v>0.5</v>
      </c>
      <c r="AC19">
        <v>0</v>
      </c>
      <c r="AD19">
        <v>0</v>
      </c>
      <c r="AE19">
        <v>229037.367907559</v>
      </c>
      <c r="AF19">
        <v>-707006.55878040101</v>
      </c>
      <c r="AG19">
        <v>0.185012962</v>
      </c>
      <c r="AH19">
        <v>0.13632</v>
      </c>
      <c r="AI19">
        <v>-745323.70328848646</v>
      </c>
      <c r="AJ19" s="27">
        <f t="shared" si="0"/>
        <v>0</v>
      </c>
      <c r="AK19" s="27">
        <f t="shared" si="1"/>
        <v>229037.367907559</v>
      </c>
      <c r="AL19" s="27">
        <f t="shared" si="2"/>
        <v>-707006.55878040101</v>
      </c>
      <c r="AM19" s="27">
        <f t="shared" si="3"/>
        <v>0</v>
      </c>
      <c r="AN19" s="29">
        <f t="shared" si="4"/>
        <v>0</v>
      </c>
      <c r="AO19" s="29">
        <f t="shared" si="5"/>
        <v>-38317.144508085446</v>
      </c>
      <c r="AP19" s="29">
        <f t="shared" si="6"/>
        <v>-38317.144508085446</v>
      </c>
      <c r="AQ19" s="29">
        <f>IF([1]Day1!A19&lt;[1]KPI!$B$15,1,0)</f>
        <v>0</v>
      </c>
      <c r="AR19" s="29">
        <f>IF([1]Day1!A19&gt;=[1]KPI!$B$15,1,0)</f>
        <v>1</v>
      </c>
      <c r="AS19" s="29">
        <f t="shared" si="7"/>
        <v>0</v>
      </c>
      <c r="AT19" s="29">
        <f t="shared" si="7"/>
        <v>229037.367907559</v>
      </c>
      <c r="AU19">
        <v>0</v>
      </c>
    </row>
    <row r="20" spans="1:47" x14ac:dyDescent="0.25">
      <c r="A20" s="30">
        <v>0.28212799999999999</v>
      </c>
      <c r="B20">
        <v>64800</v>
      </c>
      <c r="C20">
        <v>0</v>
      </c>
      <c r="D20">
        <v>79631.25</v>
      </c>
      <c r="E20">
        <v>-417148.00624470599</v>
      </c>
      <c r="F20">
        <v>0</v>
      </c>
      <c r="G20">
        <v>0</v>
      </c>
      <c r="H20">
        <v>-499458.77419999999</v>
      </c>
      <c r="I20">
        <v>0</v>
      </c>
      <c r="J20">
        <v>-337516.7562</v>
      </c>
      <c r="K20">
        <v>0</v>
      </c>
      <c r="L20">
        <v>-909.05250000000001</v>
      </c>
      <c r="M20">
        <v>25000</v>
      </c>
      <c r="N20">
        <v>0</v>
      </c>
      <c r="O20">
        <v>-370500</v>
      </c>
      <c r="P20">
        <v>0</v>
      </c>
      <c r="Q20">
        <v>-10537.1900826447</v>
      </c>
      <c r="R20">
        <v>-10537.1900826447</v>
      </c>
      <c r="S20">
        <v>-10537.1900826447</v>
      </c>
      <c r="T20">
        <v>-10537.1900826447</v>
      </c>
      <c r="U20">
        <v>-10537.1900826447</v>
      </c>
      <c r="V20">
        <v>-10537.1900826447</v>
      </c>
      <c r="W20">
        <v>-10537.1900826447</v>
      </c>
      <c r="X20">
        <v>-10537.1900826447</v>
      </c>
      <c r="Y20">
        <v>-10537.1900826447</v>
      </c>
      <c r="Z20">
        <v>-10537.1900826447</v>
      </c>
      <c r="AA20">
        <v>0.228105120843448</v>
      </c>
      <c r="AB20">
        <v>0.5</v>
      </c>
      <c r="AC20">
        <v>0</v>
      </c>
      <c r="AD20">
        <v>0</v>
      </c>
      <c r="AE20">
        <v>-1174492.28664471</v>
      </c>
      <c r="AF20">
        <v>-451780.95332644699</v>
      </c>
      <c r="AG20">
        <v>0.25895084000000002</v>
      </c>
      <c r="AH20">
        <v>0.19972000000000001</v>
      </c>
      <c r="AI20">
        <v>-475871.90082644694</v>
      </c>
      <c r="AJ20" s="27">
        <f t="shared" si="0"/>
        <v>-1174492.28664471</v>
      </c>
      <c r="AK20" s="27">
        <f t="shared" si="1"/>
        <v>0</v>
      </c>
      <c r="AL20" s="27">
        <f t="shared" si="2"/>
        <v>-451780.95332644699</v>
      </c>
      <c r="AM20" s="27">
        <f t="shared" si="3"/>
        <v>0</v>
      </c>
      <c r="AN20" s="29">
        <f t="shared" si="4"/>
        <v>3.9581209421157837E-9</v>
      </c>
      <c r="AO20" s="29">
        <f t="shared" si="5"/>
        <v>-24090.947499999951</v>
      </c>
      <c r="AP20" s="29">
        <f t="shared" si="6"/>
        <v>-24090.947499995993</v>
      </c>
      <c r="AQ20" s="29">
        <f>IF([1]Day1!A20&lt;[1]KPI!$B$15,1,0)</f>
        <v>0</v>
      </c>
      <c r="AR20" s="29">
        <f>IF([1]Day1!A20&gt;=[1]KPI!$B$15,1,0)</f>
        <v>1</v>
      </c>
      <c r="AS20" s="29">
        <f t="shared" si="7"/>
        <v>0</v>
      </c>
      <c r="AT20" s="29">
        <f t="shared" si="7"/>
        <v>0</v>
      </c>
      <c r="AU20">
        <v>0</v>
      </c>
    </row>
    <row r="21" spans="1:47" x14ac:dyDescent="0.25">
      <c r="A21" s="30">
        <v>0.28089700000000001</v>
      </c>
      <c r="B21">
        <v>68400</v>
      </c>
      <c r="C21">
        <v>0</v>
      </c>
      <c r="D21">
        <v>31.25</v>
      </c>
      <c r="E21">
        <v>-465631.27859207703</v>
      </c>
      <c r="F21">
        <v>0</v>
      </c>
      <c r="G21">
        <v>0</v>
      </c>
      <c r="H21">
        <v>-677600.02859999996</v>
      </c>
      <c r="I21">
        <v>0</v>
      </c>
      <c r="J21">
        <v>-0.24375529400000001</v>
      </c>
      <c r="K21">
        <v>0</v>
      </c>
      <c r="L21">
        <v>-841.55250000000001</v>
      </c>
      <c r="M21">
        <v>25000</v>
      </c>
      <c r="N21">
        <v>0</v>
      </c>
      <c r="O21">
        <v>-496083.33333333302</v>
      </c>
      <c r="P21">
        <v>0</v>
      </c>
      <c r="Q21">
        <v>-10537.1900826447</v>
      </c>
      <c r="R21">
        <v>-10537.1900826447</v>
      </c>
      <c r="S21">
        <v>-10537.1900826447</v>
      </c>
      <c r="T21">
        <v>-10537.1900826447</v>
      </c>
      <c r="U21">
        <v>-10537.1900826447</v>
      </c>
      <c r="V21">
        <v>-10537.1900826447</v>
      </c>
      <c r="W21">
        <v>-10537.1900826447</v>
      </c>
      <c r="X21">
        <v>-10537.1900826447</v>
      </c>
      <c r="Y21">
        <v>-10537.1900826447</v>
      </c>
      <c r="Z21">
        <v>-10537.1900826447</v>
      </c>
      <c r="AA21">
        <v>0.30458044379201599</v>
      </c>
      <c r="AB21">
        <v>0.5</v>
      </c>
      <c r="AC21">
        <v>0</v>
      </c>
      <c r="AD21">
        <v>0</v>
      </c>
      <c r="AE21">
        <v>-1143200.30094737</v>
      </c>
      <c r="AF21">
        <v>-577296.78665977996</v>
      </c>
      <c r="AG21">
        <v>0.27743423</v>
      </c>
      <c r="AH21">
        <v>0.21782000000000001</v>
      </c>
      <c r="AI21">
        <v>-601455.23415977997</v>
      </c>
      <c r="AJ21" s="27">
        <f t="shared" si="0"/>
        <v>-1143200.30094737</v>
      </c>
      <c r="AK21" s="27">
        <f t="shared" si="1"/>
        <v>0</v>
      </c>
      <c r="AL21" s="27">
        <f t="shared" si="2"/>
        <v>-577296.78665977996</v>
      </c>
      <c r="AM21" s="27">
        <f t="shared" si="3"/>
        <v>0</v>
      </c>
      <c r="AN21" s="29">
        <f t="shared" si="4"/>
        <v>0</v>
      </c>
      <c r="AO21" s="29">
        <f t="shared" si="5"/>
        <v>-24158.447500000009</v>
      </c>
      <c r="AP21" s="29">
        <f t="shared" si="6"/>
        <v>-24158.447500000941</v>
      </c>
      <c r="AQ21" s="29">
        <f>IF([1]Day1!A21&lt;[1]KPI!$B$15,1,0)</f>
        <v>0</v>
      </c>
      <c r="AR21" s="29">
        <f>IF([1]Day1!A21&gt;=[1]KPI!$B$15,1,0)</f>
        <v>1</v>
      </c>
      <c r="AS21" s="29">
        <f t="shared" si="7"/>
        <v>0</v>
      </c>
      <c r="AT21" s="29">
        <f t="shared" si="7"/>
        <v>0</v>
      </c>
      <c r="AU21">
        <v>0</v>
      </c>
    </row>
    <row r="22" spans="1:47" x14ac:dyDescent="0.25">
      <c r="A22" s="30">
        <v>0.27615600000000001</v>
      </c>
      <c r="B22">
        <v>72000</v>
      </c>
      <c r="C22">
        <v>0</v>
      </c>
      <c r="D22">
        <v>0</v>
      </c>
      <c r="E22">
        <v>-512742.02974724898</v>
      </c>
      <c r="F22">
        <v>0</v>
      </c>
      <c r="G22">
        <v>0</v>
      </c>
      <c r="H22">
        <v>31600.028590000002</v>
      </c>
      <c r="I22">
        <v>0</v>
      </c>
      <c r="J22">
        <v>-450000</v>
      </c>
      <c r="K22">
        <v>0</v>
      </c>
      <c r="L22">
        <v>-601.41</v>
      </c>
      <c r="M22">
        <v>25000</v>
      </c>
      <c r="N22">
        <v>0</v>
      </c>
      <c r="O22">
        <v>-464666.66666666698</v>
      </c>
      <c r="P22">
        <v>0</v>
      </c>
      <c r="Q22">
        <v>-2634.29752066116</v>
      </c>
      <c r="R22">
        <v>-2634.29752066116</v>
      </c>
      <c r="S22">
        <v>-2634.29752066116</v>
      </c>
      <c r="T22">
        <v>-2634.29752066116</v>
      </c>
      <c r="U22">
        <v>-2634.29752066116</v>
      </c>
      <c r="V22">
        <v>-2634.29752066116</v>
      </c>
      <c r="W22">
        <v>-2634.29752066116</v>
      </c>
      <c r="X22">
        <v>-2634.29752066116</v>
      </c>
      <c r="Y22">
        <v>-2634.29752066116</v>
      </c>
      <c r="Z22">
        <v>-2634.29752066116</v>
      </c>
      <c r="AA22">
        <v>0.40874046878689602</v>
      </c>
      <c r="AB22">
        <v>0.5</v>
      </c>
      <c r="AC22">
        <v>4.9123464154365498E-2</v>
      </c>
      <c r="AD22">
        <v>0</v>
      </c>
      <c r="AE22">
        <v>-931142.00115724897</v>
      </c>
      <c r="AF22">
        <v>-466611.05187327799</v>
      </c>
      <c r="AG22">
        <v>0.28452875100000002</v>
      </c>
      <c r="AH22">
        <v>0.22478999999999999</v>
      </c>
      <c r="AI22">
        <v>-491009.64187327842</v>
      </c>
      <c r="AJ22" s="27">
        <f t="shared" si="0"/>
        <v>-931142.00115724897</v>
      </c>
      <c r="AK22" s="27">
        <f t="shared" si="1"/>
        <v>0</v>
      </c>
      <c r="AL22" s="27">
        <f t="shared" si="2"/>
        <v>-466611.05187327799</v>
      </c>
      <c r="AM22" s="27">
        <f t="shared" si="3"/>
        <v>0</v>
      </c>
      <c r="AN22" s="29">
        <f t="shared" si="4"/>
        <v>0</v>
      </c>
      <c r="AO22" s="29">
        <f t="shared" si="5"/>
        <v>-24398.590000000433</v>
      </c>
      <c r="AP22" s="29">
        <f t="shared" si="6"/>
        <v>-24398.590000000549</v>
      </c>
      <c r="AQ22" s="29">
        <f>IF([1]Day1!A22&lt;[1]KPI!$B$15,1,0)</f>
        <v>0</v>
      </c>
      <c r="AR22" s="29">
        <f>IF([1]Day1!A22&gt;=[1]KPI!$B$15,1,0)</f>
        <v>1</v>
      </c>
      <c r="AS22" s="29">
        <f t="shared" si="7"/>
        <v>0</v>
      </c>
      <c r="AT22" s="29">
        <f t="shared" si="7"/>
        <v>0</v>
      </c>
      <c r="AU22">
        <v>0</v>
      </c>
    </row>
    <row r="23" spans="1:47" x14ac:dyDescent="0.25">
      <c r="A23" s="30">
        <v>0.27117200000000002</v>
      </c>
      <c r="B23">
        <v>75600</v>
      </c>
      <c r="C23">
        <v>0</v>
      </c>
      <c r="D23">
        <v>0</v>
      </c>
      <c r="E23">
        <v>-508746.04423543898</v>
      </c>
      <c r="F23">
        <v>0</v>
      </c>
      <c r="G23">
        <v>0</v>
      </c>
      <c r="H23">
        <v>-508746.0442</v>
      </c>
      <c r="I23">
        <v>0</v>
      </c>
      <c r="J23">
        <v>2.9747249999999999E-2</v>
      </c>
      <c r="K23">
        <v>0</v>
      </c>
      <c r="L23">
        <v>-506.82499999999999</v>
      </c>
      <c r="M23">
        <v>25000</v>
      </c>
      <c r="N23">
        <v>0</v>
      </c>
      <c r="O23">
        <v>-270000</v>
      </c>
      <c r="P23">
        <v>0</v>
      </c>
      <c r="Q23">
        <v>-2634.29752066116</v>
      </c>
      <c r="R23">
        <v>-2634.29752066116</v>
      </c>
      <c r="S23">
        <v>-2634.29752066116</v>
      </c>
      <c r="T23">
        <v>-2634.29752066116</v>
      </c>
      <c r="U23">
        <v>-2634.29752066116</v>
      </c>
      <c r="V23">
        <v>-2634.29752066116</v>
      </c>
      <c r="W23">
        <v>-2634.29752066116</v>
      </c>
      <c r="X23">
        <v>-2634.29752066116</v>
      </c>
      <c r="Y23">
        <v>-2634.29752066116</v>
      </c>
      <c r="Z23">
        <v>-2634.29752066116</v>
      </c>
      <c r="AA23">
        <v>0.40393823142887902</v>
      </c>
      <c r="AB23">
        <v>0.5</v>
      </c>
      <c r="AC23">
        <v>0.110378434945934</v>
      </c>
      <c r="AD23">
        <v>0</v>
      </c>
      <c r="AE23">
        <v>-1017492.05868819</v>
      </c>
      <c r="AF23">
        <v>-271849.80020661099</v>
      </c>
      <c r="AG23">
        <v>0.28195294799999998</v>
      </c>
      <c r="AH23">
        <v>0.22303000000000001</v>
      </c>
      <c r="AI23">
        <v>-296342.97520661145</v>
      </c>
      <c r="AJ23" s="27">
        <f t="shared" si="0"/>
        <v>-1017492.05868819</v>
      </c>
      <c r="AK23" s="27">
        <f t="shared" si="1"/>
        <v>0</v>
      </c>
      <c r="AL23" s="27">
        <f t="shared" si="2"/>
        <v>-271849.80020661099</v>
      </c>
      <c r="AM23" s="27">
        <f t="shared" si="3"/>
        <v>0</v>
      </c>
      <c r="AN23" s="29">
        <f t="shared" si="4"/>
        <v>1.0477378964424133E-9</v>
      </c>
      <c r="AO23" s="29">
        <f t="shared" si="5"/>
        <v>-24493.175000000454</v>
      </c>
      <c r="AP23" s="29">
        <f t="shared" si="6"/>
        <v>-24493.174999999406</v>
      </c>
      <c r="AQ23" s="29">
        <f>IF([1]Day1!A23&lt;[1]KPI!$B$15,1,0)</f>
        <v>0</v>
      </c>
      <c r="AR23" s="29">
        <f>IF([1]Day1!A23&gt;=[1]KPI!$B$15,1,0)</f>
        <v>1</v>
      </c>
      <c r="AS23" s="29">
        <f t="shared" si="7"/>
        <v>0</v>
      </c>
      <c r="AT23" s="29">
        <f t="shared" si="7"/>
        <v>0</v>
      </c>
      <c r="AU23">
        <v>0</v>
      </c>
    </row>
    <row r="24" spans="1:47" x14ac:dyDescent="0.25">
      <c r="A24" s="30">
        <v>0.26649</v>
      </c>
      <c r="B24">
        <v>79200</v>
      </c>
      <c r="C24">
        <v>0</v>
      </c>
      <c r="D24">
        <v>0</v>
      </c>
      <c r="E24">
        <v>-510549.19361575902</v>
      </c>
      <c r="F24">
        <v>0</v>
      </c>
      <c r="G24">
        <v>0</v>
      </c>
      <c r="H24">
        <v>-510549.1936</v>
      </c>
      <c r="I24">
        <v>0</v>
      </c>
      <c r="J24">
        <v>0</v>
      </c>
      <c r="K24">
        <v>0</v>
      </c>
      <c r="L24">
        <v>-495.65249999999997</v>
      </c>
      <c r="M24">
        <v>25000</v>
      </c>
      <c r="N24">
        <v>0</v>
      </c>
      <c r="O24">
        <v>-125583.33333333299</v>
      </c>
      <c r="P24">
        <v>0</v>
      </c>
      <c r="Q24">
        <v>-2634.29752066116</v>
      </c>
      <c r="R24">
        <v>-2634.29752066116</v>
      </c>
      <c r="S24">
        <v>-2634.29752066116</v>
      </c>
      <c r="T24">
        <v>-2634.29752066116</v>
      </c>
      <c r="U24">
        <v>-2634.29752066116</v>
      </c>
      <c r="V24">
        <v>-2634.29752066116</v>
      </c>
      <c r="W24">
        <v>-2634.29752066116</v>
      </c>
      <c r="X24">
        <v>-2634.29752066116</v>
      </c>
      <c r="Y24">
        <v>-2634.29752066116</v>
      </c>
      <c r="Z24">
        <v>-2634.29752066116</v>
      </c>
      <c r="AA24">
        <v>0.48007775418875798</v>
      </c>
      <c r="AB24">
        <v>0.5</v>
      </c>
      <c r="AC24">
        <v>0.11037842605089</v>
      </c>
      <c r="AD24">
        <v>0</v>
      </c>
      <c r="AE24">
        <v>-1021098.38721576</v>
      </c>
      <c r="AF24">
        <v>-127421.961039945</v>
      </c>
      <c r="AG24">
        <v>0.27047363200000002</v>
      </c>
      <c r="AH24">
        <v>0.21471999999999999</v>
      </c>
      <c r="AI24">
        <v>-151926.3085399447</v>
      </c>
      <c r="AJ24" s="27">
        <f t="shared" si="0"/>
        <v>-1021098.38721576</v>
      </c>
      <c r="AK24" s="27">
        <f t="shared" si="1"/>
        <v>0</v>
      </c>
      <c r="AL24" s="27">
        <f t="shared" si="2"/>
        <v>-127421.961039945</v>
      </c>
      <c r="AM24" s="27">
        <f t="shared" si="3"/>
        <v>0</v>
      </c>
      <c r="AN24" s="29">
        <f t="shared" si="4"/>
        <v>9.3132257461547852E-10</v>
      </c>
      <c r="AO24" s="29">
        <f t="shared" si="5"/>
        <v>-24504.347499999698</v>
      </c>
      <c r="AP24" s="29">
        <f t="shared" si="6"/>
        <v>-24504.347499998883</v>
      </c>
      <c r="AQ24" s="29">
        <f>IF([1]Day1!A24&lt;[1]KPI!$B$15,1,0)</f>
        <v>1</v>
      </c>
      <c r="AR24" s="29">
        <f>IF([1]Day1!A24&gt;=[1]KPI!$B$15,1,0)</f>
        <v>0</v>
      </c>
      <c r="AS24" s="29">
        <f t="shared" si="7"/>
        <v>-1021098.38721576</v>
      </c>
      <c r="AT24" s="29">
        <f t="shared" si="7"/>
        <v>0</v>
      </c>
      <c r="AU24">
        <v>0</v>
      </c>
    </row>
    <row r="25" spans="1:47" x14ac:dyDescent="0.25">
      <c r="A25" s="30">
        <v>0.26110800000000001</v>
      </c>
      <c r="B25">
        <v>82800</v>
      </c>
      <c r="C25">
        <v>0</v>
      </c>
      <c r="D25">
        <v>0</v>
      </c>
      <c r="E25">
        <v>-500701.48059989797</v>
      </c>
      <c r="F25">
        <v>0</v>
      </c>
      <c r="G25">
        <v>0</v>
      </c>
      <c r="H25">
        <v>-139704.76209999999</v>
      </c>
      <c r="I25">
        <v>0</v>
      </c>
      <c r="J25">
        <v>-439231</v>
      </c>
      <c r="K25">
        <v>0</v>
      </c>
      <c r="L25">
        <v>-465.79750000000001</v>
      </c>
      <c r="M25">
        <v>25000</v>
      </c>
      <c r="N25">
        <v>0</v>
      </c>
      <c r="O25">
        <v>-18833.333333333299</v>
      </c>
      <c r="P25">
        <v>0</v>
      </c>
      <c r="Q25">
        <v>-1317.14876033057</v>
      </c>
      <c r="R25">
        <v>-1317.14876033057</v>
      </c>
      <c r="S25">
        <v>-1317.14876033057</v>
      </c>
      <c r="T25">
        <v>-1317.14876033057</v>
      </c>
      <c r="U25">
        <v>-1317.14876033057</v>
      </c>
      <c r="V25">
        <v>-1317.14876033057</v>
      </c>
      <c r="W25">
        <v>-1317.14876033057</v>
      </c>
      <c r="X25">
        <v>-1317.14876033057</v>
      </c>
      <c r="Y25">
        <v>-1317.14876033057</v>
      </c>
      <c r="Z25">
        <v>-1317.14876033057</v>
      </c>
      <c r="AA25">
        <v>0.55659892131267596</v>
      </c>
      <c r="AB25">
        <v>0.5</v>
      </c>
      <c r="AC25">
        <v>0.16586922294107501</v>
      </c>
      <c r="AD25">
        <v>0</v>
      </c>
      <c r="AE25">
        <v>-1079637.2426998999</v>
      </c>
      <c r="AF25">
        <v>-7470.6184366390899</v>
      </c>
      <c r="AG25">
        <v>0.26045217100000001</v>
      </c>
      <c r="AH25">
        <v>0.20463000000000001</v>
      </c>
      <c r="AI25">
        <v>-32004.820936638986</v>
      </c>
      <c r="AJ25" s="27">
        <f t="shared" si="0"/>
        <v>-1079637.2426998999</v>
      </c>
      <c r="AK25" s="27">
        <f t="shared" si="1"/>
        <v>0</v>
      </c>
      <c r="AL25" s="27">
        <f t="shared" si="2"/>
        <v>-7470.6184366390899</v>
      </c>
      <c r="AM25" s="27">
        <f t="shared" si="3"/>
        <v>0</v>
      </c>
      <c r="AN25" s="29">
        <f t="shared" si="4"/>
        <v>2.0954757928848267E-9</v>
      </c>
      <c r="AO25" s="29">
        <f t="shared" si="5"/>
        <v>-24534.202499999898</v>
      </c>
      <c r="AP25" s="29">
        <f t="shared" si="6"/>
        <v>-24534.202499997911</v>
      </c>
      <c r="AQ25" s="29">
        <f>IF([1]Day1!A25&lt;[1]KPI!$B$15,1,0)</f>
        <v>1</v>
      </c>
      <c r="AR25" s="29">
        <f>IF([1]Day1!A25&gt;=[1]KPI!$B$15,1,0)</f>
        <v>0</v>
      </c>
      <c r="AS25" s="29">
        <f t="shared" si="7"/>
        <v>-1079637.2426998999</v>
      </c>
      <c r="AT25" s="29">
        <f t="shared" si="7"/>
        <v>0</v>
      </c>
      <c r="AU25">
        <v>0</v>
      </c>
    </row>
    <row r="26" spans="1:47" x14ac:dyDescent="0.25">
      <c r="S26" s="5">
        <f>SUM(T2:T25)</f>
        <v>-68491.735537190238</v>
      </c>
      <c r="T26" s="5">
        <f>SUM(U2:U25)</f>
        <v>-68491.735537190238</v>
      </c>
      <c r="W26" s="5"/>
      <c r="X26" s="5"/>
      <c r="Y26" s="5"/>
      <c r="Z26" s="5"/>
      <c r="AA26" s="5"/>
    </row>
  </sheetData>
  <sortState xmlns:xlrd2="http://schemas.microsoft.com/office/spreadsheetml/2017/richdata2" ref="Z2:Z25">
    <sortCondition ref="Z25"/>
  </sortState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CBF49C-3AE9-4D2B-8866-47D0F2F6DD84}">
  <dimension ref="A1:G25"/>
  <sheetViews>
    <sheetView workbookViewId="0">
      <selection activeCell="D11" sqref="D11"/>
    </sheetView>
  </sheetViews>
  <sheetFormatPr defaultRowHeight="15" x14ac:dyDescent="0.25"/>
  <cols>
    <col min="1" max="1" width="31.28515625" bestFit="1" customWidth="1"/>
    <col min="2" max="2" width="12" bestFit="1" customWidth="1"/>
    <col min="3" max="3" width="14.5703125" bestFit="1" customWidth="1"/>
    <col min="4" max="4" width="12.7109375" bestFit="1" customWidth="1"/>
    <col min="5" max="5" width="23.28515625" bestFit="1" customWidth="1"/>
  </cols>
  <sheetData>
    <row r="1" spans="1:7" x14ac:dyDescent="0.25">
      <c r="A1" t="s">
        <v>99</v>
      </c>
      <c r="B1">
        <f>(B10+B12)/(B9+B11)</f>
        <v>0.92894657018094884</v>
      </c>
      <c r="C1" t="s">
        <v>100</v>
      </c>
      <c r="D1">
        <f>(D10+D12)/(D9+D11)</f>
        <v>0.99412679049808284</v>
      </c>
      <c r="E1" t="s">
        <v>7</v>
      </c>
      <c r="G1">
        <f>(B10+D10+B12+D12)/(B9+D9+D11+B11)</f>
        <v>0.95074451890759415</v>
      </c>
    </row>
    <row r="2" spans="1:7" x14ac:dyDescent="0.25">
      <c r="A2" t="s">
        <v>9</v>
      </c>
    </row>
    <row r="3" spans="1:7" x14ac:dyDescent="0.25">
      <c r="A3" t="s">
        <v>13</v>
      </c>
      <c r="B3" cm="1">
        <f t="array" ref="B3">(SUM(-'Day1'!AS2:AS25)+SUM('Day1'!AT2:AT25))/(KPI!B11+KPI!B12)</f>
        <v>0.59630908395913318</v>
      </c>
    </row>
    <row r="4" spans="1:7" x14ac:dyDescent="0.25">
      <c r="A4" t="s">
        <v>15</v>
      </c>
    </row>
    <row r="5" spans="1:7" x14ac:dyDescent="0.25">
      <c r="A5" t="s">
        <v>17</v>
      </c>
    </row>
    <row r="6" spans="1:7" x14ac:dyDescent="0.25">
      <c r="A6" t="s">
        <v>19</v>
      </c>
    </row>
    <row r="7" spans="1:7" x14ac:dyDescent="0.25">
      <c r="A7" t="s">
        <v>21</v>
      </c>
    </row>
    <row r="8" spans="1:7" x14ac:dyDescent="0.25">
      <c r="A8" s="29" t="s">
        <v>101</v>
      </c>
      <c r="B8" s="29"/>
      <c r="C8" s="29"/>
      <c r="D8" s="29" t="s">
        <v>102</v>
      </c>
      <c r="E8" s="29"/>
      <c r="F8" s="29"/>
    </row>
    <row r="9" spans="1:7" x14ac:dyDescent="0.25">
      <c r="A9" t="s">
        <v>73</v>
      </c>
      <c r="B9">
        <f>SUM('Day1'!C2:D25)-SUM('Day1'!K2:K25)</f>
        <v>12463594.475299999</v>
      </c>
      <c r="C9" t="s">
        <v>73</v>
      </c>
      <c r="D9" cm="1">
        <f t="array" ref="D9">SUM(ABS('Day1'!L2:M25))+SUM('Day1'!N2:N25)</f>
        <v>3114147.4709483106</v>
      </c>
    </row>
    <row r="10" spans="1:7" x14ac:dyDescent="0.25">
      <c r="A10" t="s">
        <v>74</v>
      </c>
      <c r="B10" cm="1">
        <f t="array" ref="B10">SUM(-'Day1'!E2:E25)</f>
        <v>11705468.14997106</v>
      </c>
      <c r="C10" t="s">
        <v>74</v>
      </c>
      <c r="D10">
        <f>-SUM('Day1'!AI2:AI25)-SUM('Day1'!AU2:AU25)</f>
        <v>12650751.901102053</v>
      </c>
    </row>
    <row r="11" spans="1:7" x14ac:dyDescent="0.25">
      <c r="A11" t="s">
        <v>75</v>
      </c>
      <c r="B11" cm="1">
        <f t="array" ref="B11">SUM(-'Day1'!AJ2:AJ25)</f>
        <v>13122717.718370408</v>
      </c>
      <c r="C11" t="s">
        <v>77</v>
      </c>
      <c r="D11" cm="1">
        <f t="array" ref="D11">SUM(-'Day1'!AL2:AL25)</f>
        <v>9742005.5347381998</v>
      </c>
    </row>
    <row r="12" spans="1:7" x14ac:dyDescent="0.25">
      <c r="A12" t="s">
        <v>76</v>
      </c>
      <c r="B12">
        <f>SUM('Day1'!AK2:AK25)</f>
        <v>12062848.805918051</v>
      </c>
      <c r="C12" t="s">
        <v>78</v>
      </c>
      <c r="D12">
        <f>SUM('Day1'!AM2:AM25)</f>
        <v>129894.2245933575</v>
      </c>
    </row>
    <row r="15" spans="1:7" x14ac:dyDescent="0.25">
      <c r="A15" t="s">
        <v>80</v>
      </c>
      <c r="B15">
        <f>MEDIAN('Day1'!A2:A25)</f>
        <v>0.26834000000000002</v>
      </c>
    </row>
    <row r="21" spans="1:1" x14ac:dyDescent="0.25">
      <c r="A21" s="12" t="s">
        <v>23</v>
      </c>
    </row>
    <row r="22" spans="1:1" x14ac:dyDescent="0.25">
      <c r="A22" s="12" t="s">
        <v>27</v>
      </c>
    </row>
    <row r="23" spans="1:1" x14ac:dyDescent="0.25">
      <c r="A23" s="12" t="s">
        <v>29</v>
      </c>
    </row>
    <row r="24" spans="1:1" x14ac:dyDescent="0.25">
      <c r="A24" s="12" t="s">
        <v>31</v>
      </c>
    </row>
    <row r="25" spans="1:1" x14ac:dyDescent="0.25">
      <c r="A25" s="12" t="s">
        <v>33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BF6EBA3D7368C049AAD42D1CECE7D3BA" ma:contentTypeVersion="4" ma:contentTypeDescription="Opret et nyt dokument." ma:contentTypeScope="" ma:versionID="55df3269a44a87b93b3c8cabd5d52c66">
  <xsd:schema xmlns:xsd="http://www.w3.org/2001/XMLSchema" xmlns:xs="http://www.w3.org/2001/XMLSchema" xmlns:p="http://schemas.microsoft.com/office/2006/metadata/properties" xmlns:ns2="32e2fcb7-33f7-4889-999c-af43743a67a2" targetNamespace="http://schemas.microsoft.com/office/2006/metadata/properties" ma:root="true" ma:fieldsID="929a43c2c81d3da00c223a92461e254a" ns2:_="">
    <xsd:import namespace="32e2fcb7-33f7-4889-999c-af43743a67a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e2fcb7-33f7-4889-999c-af43743a67a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dhol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7C2825C-2C50-47B6-AA06-EF31EDD653E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2e2fcb7-33f7-4889-999c-af43743a67a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BD18A33-B229-4418-B69D-310A1D0DAB4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E670AA9-F151-4010-B386-EB5DE9535379}">
  <ds:schemaRefs>
    <ds:schemaRef ds:uri="32e2fcb7-33f7-4889-999c-af43743a67a2"/>
    <ds:schemaRef ds:uri="http://purl.org/dc/dcmitype/"/>
    <ds:schemaRef ds:uri="http://schemas.openxmlformats.org/package/2006/metadata/core-properties"/>
    <ds:schemaRef ds:uri="http://schemas.microsoft.com/office/infopath/2007/PartnerControls"/>
    <ds:schemaRef ds:uri="http://www.w3.org/XML/1998/namespace"/>
    <ds:schemaRef ds:uri="http://schemas.microsoft.com/office/2006/metadata/properties"/>
    <ds:schemaRef ds:uri="http://schemas.microsoft.com/office/2006/documentManagement/types"/>
    <ds:schemaRef ds:uri="http://purl.org/dc/terms/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Configuration</vt:lpstr>
      <vt:lpstr>Day1</vt:lpstr>
      <vt:lpstr>KPI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Seyede Zahra Tajalli</dc:creator>
  <cp:keywords/>
  <dc:description/>
  <cp:lastModifiedBy>Seyede Zahra Tajalli</cp:lastModifiedBy>
  <cp:revision/>
  <dcterms:created xsi:type="dcterms:W3CDTF">2015-06-05T18:19:34Z</dcterms:created>
  <dcterms:modified xsi:type="dcterms:W3CDTF">2025-03-24T16:16:11Z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0x010100BF6EBA3D7368C049AAD42D1CECE7D3BA</vt:lpwstr>
  </property>
</Properties>
</file>