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Book chapter 13-3-2025\"/>
    </mc:Choice>
  </mc:AlternateContent>
  <xr:revisionPtr revIDLastSave="0" documentId="13_ncr:1_{5F7A8A5D-4985-45E7-937D-676EDD6F17E0}" xr6:coauthVersionLast="47" xr6:coauthVersionMax="47" xr10:uidLastSave="{00000000-0000-0000-0000-000000000000}"/>
  <bookViews>
    <workbookView xWindow="28395" yWindow="0" windowWidth="21600" windowHeight="12645" tabRatio="566" firstSheet="2" activeTab="2" xr2:uid="{41126000-0168-4B69-BFA5-275527D199D9}"/>
  </bookViews>
  <sheets>
    <sheet name="Technology Parameters " sheetId="1" r:id="rId1"/>
    <sheet name="Scenario" sheetId="6" r:id="rId2"/>
    <sheet name="DAY 51th_Scenario base_1 SELF" sheetId="20" r:id="rId3"/>
    <sheet name="DAY 51th_Scenario base_1" sheetId="13" r:id="rId4"/>
    <sheet name="DAY 51th_Scenario base_2" sheetId="16" r:id="rId5"/>
    <sheet name="DAY 51th_Scenario base_2SELF" sheetId="27" r:id="rId6"/>
    <sheet name="DAY 51th_Scenario base_3" sheetId="28" r:id="rId7"/>
    <sheet name="DAY 51th_Scenario base_3 SE " sheetId="2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0" l="1"/>
  <c r="W2" i="13"/>
  <c r="X25" i="24"/>
  <c r="W25" i="24"/>
  <c r="V25" i="24"/>
  <c r="U25" i="24"/>
  <c r="X24" i="24"/>
  <c r="W24" i="24"/>
  <c r="V24" i="24"/>
  <c r="U24" i="24"/>
  <c r="X23" i="24"/>
  <c r="W23" i="24"/>
  <c r="V23" i="24"/>
  <c r="U23" i="24"/>
  <c r="X22" i="24"/>
  <c r="W22" i="24"/>
  <c r="V22" i="24"/>
  <c r="U22" i="24"/>
  <c r="X21" i="24"/>
  <c r="W21" i="24"/>
  <c r="V21" i="24"/>
  <c r="U21" i="24"/>
  <c r="X20" i="24"/>
  <c r="W20" i="24"/>
  <c r="V20" i="24"/>
  <c r="U20" i="24"/>
  <c r="X19" i="24"/>
  <c r="W19" i="24"/>
  <c r="V19" i="24"/>
  <c r="U19" i="24"/>
  <c r="X18" i="24"/>
  <c r="W18" i="24"/>
  <c r="V18" i="24"/>
  <c r="U18" i="24"/>
  <c r="X17" i="24"/>
  <c r="W17" i="24"/>
  <c r="V17" i="24"/>
  <c r="U17" i="24"/>
  <c r="X16" i="24"/>
  <c r="W16" i="24"/>
  <c r="V16" i="24"/>
  <c r="U16" i="24"/>
  <c r="X15" i="24"/>
  <c r="W15" i="24"/>
  <c r="V15" i="24"/>
  <c r="U15" i="24"/>
  <c r="X14" i="24"/>
  <c r="W14" i="24"/>
  <c r="V14" i="24"/>
  <c r="U14" i="24"/>
  <c r="X13" i="24"/>
  <c r="W13" i="24"/>
  <c r="V13" i="24"/>
  <c r="U13" i="24"/>
  <c r="X12" i="24"/>
  <c r="W12" i="24"/>
  <c r="V12" i="24"/>
  <c r="U12" i="24"/>
  <c r="X11" i="24"/>
  <c r="W11" i="24"/>
  <c r="V11" i="24"/>
  <c r="U11" i="24"/>
  <c r="X10" i="24"/>
  <c r="W10" i="24"/>
  <c r="V10" i="24"/>
  <c r="U10" i="24"/>
  <c r="X9" i="24"/>
  <c r="W9" i="24"/>
  <c r="V9" i="24"/>
  <c r="U9" i="24"/>
  <c r="X8" i="24"/>
  <c r="W8" i="24"/>
  <c r="V8" i="24"/>
  <c r="U8" i="24"/>
  <c r="X7" i="24"/>
  <c r="W7" i="24"/>
  <c r="V7" i="24"/>
  <c r="U7" i="24"/>
  <c r="X6" i="24"/>
  <c r="W6" i="24"/>
  <c r="V6" i="24"/>
  <c r="U6" i="24"/>
  <c r="X5" i="24"/>
  <c r="W5" i="24"/>
  <c r="V5" i="24"/>
  <c r="U5" i="24"/>
  <c r="X4" i="24"/>
  <c r="W4" i="24"/>
  <c r="V4" i="24"/>
  <c r="U4" i="24"/>
  <c r="X3" i="24"/>
  <c r="W3" i="24"/>
  <c r="V3" i="24"/>
  <c r="U3" i="24"/>
  <c r="X2" i="24"/>
  <c r="W2" i="24"/>
  <c r="V2" i="24"/>
  <c r="U2" i="24"/>
  <c r="X25" i="28"/>
  <c r="W25" i="28"/>
  <c r="V25" i="28"/>
  <c r="U25" i="28"/>
  <c r="X24" i="28"/>
  <c r="W24" i="28"/>
  <c r="V24" i="28"/>
  <c r="U24" i="28"/>
  <c r="X23" i="28"/>
  <c r="W23" i="28"/>
  <c r="V23" i="28"/>
  <c r="U23" i="28"/>
  <c r="X22" i="28"/>
  <c r="W22" i="28"/>
  <c r="V22" i="28"/>
  <c r="U22" i="28"/>
  <c r="X21" i="28"/>
  <c r="W21" i="28"/>
  <c r="V21" i="28"/>
  <c r="U21" i="28"/>
  <c r="X20" i="28"/>
  <c r="W20" i="28"/>
  <c r="V20" i="28"/>
  <c r="U20" i="28"/>
  <c r="X19" i="28"/>
  <c r="W19" i="28"/>
  <c r="V19" i="28"/>
  <c r="U19" i="28"/>
  <c r="X18" i="28"/>
  <c r="W18" i="28"/>
  <c r="V18" i="28"/>
  <c r="U18" i="28"/>
  <c r="X17" i="28"/>
  <c r="W17" i="28"/>
  <c r="V17" i="28"/>
  <c r="U17" i="28"/>
  <c r="X16" i="28"/>
  <c r="W16" i="28"/>
  <c r="V16" i="28"/>
  <c r="U16" i="28"/>
  <c r="X15" i="28"/>
  <c r="W15" i="28"/>
  <c r="V15" i="28"/>
  <c r="U15" i="28"/>
  <c r="X14" i="28"/>
  <c r="W14" i="28"/>
  <c r="V14" i="28"/>
  <c r="U14" i="28"/>
  <c r="X13" i="28"/>
  <c r="W13" i="28"/>
  <c r="V13" i="28"/>
  <c r="U13" i="28"/>
  <c r="X12" i="28"/>
  <c r="W12" i="28"/>
  <c r="V12" i="28"/>
  <c r="U12" i="28"/>
  <c r="X11" i="28"/>
  <c r="W11" i="28"/>
  <c r="V11" i="28"/>
  <c r="U11" i="28"/>
  <c r="X10" i="28"/>
  <c r="W10" i="28"/>
  <c r="V10" i="28"/>
  <c r="U10" i="28"/>
  <c r="X9" i="28"/>
  <c r="W9" i="28"/>
  <c r="V9" i="28"/>
  <c r="U9" i="28"/>
  <c r="X8" i="28"/>
  <c r="W8" i="28"/>
  <c r="V8" i="28"/>
  <c r="U8" i="28"/>
  <c r="X7" i="28"/>
  <c r="W7" i="28"/>
  <c r="V7" i="28"/>
  <c r="U7" i="28"/>
  <c r="X6" i="28"/>
  <c r="W6" i="28"/>
  <c r="V6" i="28"/>
  <c r="U6" i="28"/>
  <c r="X5" i="28"/>
  <c r="W5" i="28"/>
  <c r="V5" i="28"/>
  <c r="U5" i="28"/>
  <c r="X4" i="28"/>
  <c r="W4" i="28"/>
  <c r="V4" i="28"/>
  <c r="U4" i="28"/>
  <c r="X3" i="28"/>
  <c r="W3" i="28"/>
  <c r="V3" i="28"/>
  <c r="U3" i="28"/>
  <c r="X2" i="28"/>
  <c r="W2" i="28"/>
  <c r="V2" i="28"/>
  <c r="U2" i="28"/>
  <c r="X25" i="27"/>
  <c r="W25" i="27"/>
  <c r="V25" i="27"/>
  <c r="U25" i="27"/>
  <c r="X24" i="27"/>
  <c r="W24" i="27"/>
  <c r="V24" i="27"/>
  <c r="U24" i="27"/>
  <c r="X23" i="27"/>
  <c r="W23" i="27"/>
  <c r="V23" i="27"/>
  <c r="U23" i="27"/>
  <c r="X22" i="27"/>
  <c r="W22" i="27"/>
  <c r="V22" i="27"/>
  <c r="U22" i="27"/>
  <c r="X21" i="27"/>
  <c r="W21" i="27"/>
  <c r="V21" i="27"/>
  <c r="U21" i="27"/>
  <c r="X20" i="27"/>
  <c r="W20" i="27"/>
  <c r="V20" i="27"/>
  <c r="U20" i="27"/>
  <c r="X19" i="27"/>
  <c r="W19" i="27"/>
  <c r="V19" i="27"/>
  <c r="U19" i="27"/>
  <c r="X18" i="27"/>
  <c r="W18" i="27"/>
  <c r="V18" i="27"/>
  <c r="U18" i="27"/>
  <c r="X17" i="27"/>
  <c r="W17" i="27"/>
  <c r="V17" i="27"/>
  <c r="U17" i="27"/>
  <c r="X16" i="27"/>
  <c r="W16" i="27"/>
  <c r="V16" i="27"/>
  <c r="U16" i="27"/>
  <c r="X15" i="27"/>
  <c r="W15" i="27"/>
  <c r="V15" i="27"/>
  <c r="U15" i="27"/>
  <c r="X14" i="27"/>
  <c r="W14" i="27"/>
  <c r="V14" i="27"/>
  <c r="U14" i="27"/>
  <c r="X13" i="27"/>
  <c r="W13" i="27"/>
  <c r="V13" i="27"/>
  <c r="U13" i="27"/>
  <c r="X12" i="27"/>
  <c r="W12" i="27"/>
  <c r="V12" i="27"/>
  <c r="U12" i="27"/>
  <c r="X11" i="27"/>
  <c r="W11" i="27"/>
  <c r="V11" i="27"/>
  <c r="U11" i="27"/>
  <c r="X10" i="27"/>
  <c r="W10" i="27"/>
  <c r="V10" i="27"/>
  <c r="U10" i="27"/>
  <c r="X9" i="27"/>
  <c r="W9" i="27"/>
  <c r="V9" i="27"/>
  <c r="U9" i="27"/>
  <c r="X8" i="27"/>
  <c r="W8" i="27"/>
  <c r="V8" i="27"/>
  <c r="U8" i="27"/>
  <c r="X7" i="27"/>
  <c r="W7" i="27"/>
  <c r="V7" i="27"/>
  <c r="U7" i="27"/>
  <c r="X6" i="27"/>
  <c r="W6" i="27"/>
  <c r="V6" i="27"/>
  <c r="U6" i="27"/>
  <c r="X5" i="27"/>
  <c r="W5" i="27"/>
  <c r="V5" i="27"/>
  <c r="U5" i="27"/>
  <c r="X4" i="27"/>
  <c r="W4" i="27"/>
  <c r="V4" i="27"/>
  <c r="U4" i="27"/>
  <c r="X3" i="27"/>
  <c r="W3" i="27"/>
  <c r="V3" i="27"/>
  <c r="U3" i="27"/>
  <c r="X2" i="27"/>
  <c r="W2" i="27"/>
  <c r="V2" i="27"/>
  <c r="U2" i="27"/>
  <c r="X25" i="16"/>
  <c r="W25" i="16"/>
  <c r="V25" i="16"/>
  <c r="U25" i="16"/>
  <c r="X24" i="16"/>
  <c r="W24" i="16"/>
  <c r="V24" i="16"/>
  <c r="U24" i="16"/>
  <c r="X23" i="16"/>
  <c r="W23" i="16"/>
  <c r="V23" i="16"/>
  <c r="U23" i="16"/>
  <c r="X22" i="16"/>
  <c r="W22" i="16"/>
  <c r="V22" i="16"/>
  <c r="U22" i="16"/>
  <c r="X21" i="16"/>
  <c r="W21" i="16"/>
  <c r="V21" i="16"/>
  <c r="U21" i="16"/>
  <c r="X20" i="16"/>
  <c r="W20" i="16"/>
  <c r="V20" i="16"/>
  <c r="U20" i="16"/>
  <c r="X19" i="16"/>
  <c r="W19" i="16"/>
  <c r="V19" i="16"/>
  <c r="U19" i="16"/>
  <c r="X18" i="16"/>
  <c r="W18" i="16"/>
  <c r="V18" i="16"/>
  <c r="U18" i="16"/>
  <c r="X17" i="16"/>
  <c r="W17" i="16"/>
  <c r="V17" i="16"/>
  <c r="U17" i="16"/>
  <c r="X16" i="16"/>
  <c r="W16" i="16"/>
  <c r="V16" i="16"/>
  <c r="U16" i="16"/>
  <c r="X15" i="16"/>
  <c r="W15" i="16"/>
  <c r="V15" i="16"/>
  <c r="U15" i="16"/>
  <c r="X14" i="16"/>
  <c r="W14" i="16"/>
  <c r="V14" i="16"/>
  <c r="U14" i="16"/>
  <c r="X13" i="16"/>
  <c r="W13" i="16"/>
  <c r="V13" i="16"/>
  <c r="U13" i="16"/>
  <c r="X12" i="16"/>
  <c r="W12" i="16"/>
  <c r="V12" i="16"/>
  <c r="U12" i="16"/>
  <c r="X11" i="16"/>
  <c r="W11" i="16"/>
  <c r="V11" i="16"/>
  <c r="U11" i="16"/>
  <c r="X10" i="16"/>
  <c r="W10" i="16"/>
  <c r="V10" i="16"/>
  <c r="U10" i="16"/>
  <c r="X9" i="16"/>
  <c r="W9" i="16"/>
  <c r="V9" i="16"/>
  <c r="U9" i="16"/>
  <c r="X8" i="16"/>
  <c r="W8" i="16"/>
  <c r="V8" i="16"/>
  <c r="U8" i="16"/>
  <c r="X7" i="16"/>
  <c r="W7" i="16"/>
  <c r="V7" i="16"/>
  <c r="U7" i="16"/>
  <c r="X6" i="16"/>
  <c r="W6" i="16"/>
  <c r="V6" i="16"/>
  <c r="U6" i="16"/>
  <c r="X5" i="16"/>
  <c r="W5" i="16"/>
  <c r="V5" i="16"/>
  <c r="U5" i="16"/>
  <c r="X4" i="16"/>
  <c r="W4" i="16"/>
  <c r="V4" i="16"/>
  <c r="U4" i="16"/>
  <c r="X3" i="16"/>
  <c r="W3" i="16"/>
  <c r="V3" i="16"/>
  <c r="U3" i="16"/>
  <c r="X2" i="16"/>
  <c r="W2" i="16"/>
  <c r="V2" i="16"/>
  <c r="U2" i="16"/>
  <c r="X25" i="13"/>
  <c r="W25" i="13"/>
  <c r="V25" i="13"/>
  <c r="U25" i="13"/>
  <c r="X24" i="13"/>
  <c r="W24" i="13"/>
  <c r="V24" i="13"/>
  <c r="U24" i="13"/>
  <c r="X23" i="13"/>
  <c r="W23" i="13"/>
  <c r="V23" i="13"/>
  <c r="U23" i="13"/>
  <c r="X22" i="13"/>
  <c r="W22" i="13"/>
  <c r="V22" i="13"/>
  <c r="U22" i="13"/>
  <c r="X21" i="13"/>
  <c r="W21" i="13"/>
  <c r="V21" i="13"/>
  <c r="U21" i="13"/>
  <c r="X20" i="13"/>
  <c r="W20" i="13"/>
  <c r="V20" i="13"/>
  <c r="U20" i="13"/>
  <c r="X19" i="13"/>
  <c r="W19" i="13"/>
  <c r="V19" i="13"/>
  <c r="U19" i="13"/>
  <c r="X18" i="13"/>
  <c r="W18" i="13"/>
  <c r="V18" i="13"/>
  <c r="U18" i="13"/>
  <c r="X17" i="13"/>
  <c r="W17" i="13"/>
  <c r="V17" i="13"/>
  <c r="U17" i="13"/>
  <c r="X16" i="13"/>
  <c r="W16" i="13"/>
  <c r="V16" i="13"/>
  <c r="U16" i="13"/>
  <c r="X15" i="13"/>
  <c r="W15" i="13"/>
  <c r="V15" i="13"/>
  <c r="U15" i="13"/>
  <c r="X14" i="13"/>
  <c r="W14" i="13"/>
  <c r="V14" i="13"/>
  <c r="U14" i="13"/>
  <c r="X13" i="13"/>
  <c r="W13" i="13"/>
  <c r="V13" i="13"/>
  <c r="U13" i="13"/>
  <c r="X12" i="13"/>
  <c r="W12" i="13"/>
  <c r="V12" i="13"/>
  <c r="U12" i="13"/>
  <c r="X11" i="13"/>
  <c r="W11" i="13"/>
  <c r="V11" i="13"/>
  <c r="U11" i="13"/>
  <c r="X10" i="13"/>
  <c r="W10" i="13"/>
  <c r="V10" i="13"/>
  <c r="U10" i="13"/>
  <c r="X9" i="13"/>
  <c r="W9" i="13"/>
  <c r="V9" i="13"/>
  <c r="U9" i="13"/>
  <c r="X8" i="13"/>
  <c r="W8" i="13"/>
  <c r="V8" i="13"/>
  <c r="U8" i="13"/>
  <c r="X7" i="13"/>
  <c r="W7" i="13"/>
  <c r="V7" i="13"/>
  <c r="U7" i="13"/>
  <c r="X6" i="13"/>
  <c r="W6" i="13"/>
  <c r="V6" i="13"/>
  <c r="U6" i="13"/>
  <c r="X5" i="13"/>
  <c r="W5" i="13"/>
  <c r="V5" i="13"/>
  <c r="U5" i="13"/>
  <c r="X4" i="13"/>
  <c r="W4" i="13"/>
  <c r="V4" i="13"/>
  <c r="U4" i="13"/>
  <c r="X3" i="13"/>
  <c r="W3" i="13"/>
  <c r="V3" i="13"/>
  <c r="U3" i="13"/>
  <c r="X2" i="13"/>
  <c r="V2" i="13"/>
  <c r="U2" i="13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W3" i="20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3" i="20"/>
  <c r="U2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3" i="20"/>
  <c r="V2" i="20"/>
  <c r="O2" i="20"/>
  <c r="O2" i="13"/>
  <c r="O2" i="27"/>
  <c r="O8" i="27"/>
  <c r="O7" i="27"/>
  <c r="O4" i="27"/>
  <c r="O5" i="27"/>
  <c r="O6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3" i="27"/>
  <c r="N2" i="24"/>
  <c r="O2" i="24"/>
  <c r="O2" i="28"/>
  <c r="O25" i="20" l="1"/>
  <c r="O7" i="20"/>
  <c r="O4" i="20"/>
  <c r="O3" i="20"/>
  <c r="O7" i="13"/>
  <c r="O21" i="13"/>
  <c r="O22" i="13"/>
  <c r="O13" i="13"/>
  <c r="O11" i="13"/>
  <c r="O23" i="13"/>
  <c r="O3" i="24"/>
  <c r="K15" i="6"/>
  <c r="O25" i="28"/>
  <c r="L21" i="6"/>
  <c r="L22" i="6"/>
  <c r="L30" i="6"/>
  <c r="L29" i="6"/>
  <c r="L28" i="6"/>
  <c r="L27" i="6"/>
  <c r="L17" i="6"/>
  <c r="O18" i="13" l="1"/>
  <c r="O21" i="24"/>
  <c r="O4" i="24"/>
  <c r="O25" i="24"/>
  <c r="O19" i="13"/>
  <c r="O20" i="13"/>
  <c r="O14" i="13"/>
  <c r="O12" i="13"/>
  <c r="O24" i="20"/>
  <c r="O20" i="20"/>
  <c r="M17" i="20"/>
  <c r="O3" i="28"/>
  <c r="O21" i="28"/>
  <c r="O8" i="20"/>
  <c r="F24" i="1"/>
  <c r="N26" i="6"/>
  <c r="O4" i="6"/>
  <c r="O6" i="24" l="1"/>
  <c r="O5" i="24"/>
  <c r="O22" i="24"/>
  <c r="O18" i="20"/>
  <c r="O19" i="20"/>
  <c r="O9" i="20"/>
  <c r="O5" i="20"/>
  <c r="O6" i="20"/>
  <c r="O15" i="13"/>
  <c r="O24" i="13"/>
  <c r="O25" i="13"/>
  <c r="O4" i="13"/>
  <c r="O3" i="13"/>
  <c r="O22" i="28"/>
  <c r="N7" i="24"/>
  <c r="O23" i="24" l="1"/>
  <c r="O24" i="24"/>
  <c r="O7" i="24"/>
  <c r="O17" i="13"/>
  <c r="O16" i="13"/>
  <c r="O4" i="28"/>
  <c r="O23" i="28"/>
  <c r="O24" i="28"/>
  <c r="O5" i="28"/>
  <c r="O8" i="24" l="1"/>
  <c r="O11" i="20"/>
  <c r="O10" i="20"/>
  <c r="O5" i="13"/>
  <c r="O6" i="13"/>
  <c r="P3" i="6"/>
  <c r="P19" i="6"/>
  <c r="P18" i="6"/>
  <c r="O18" i="6"/>
  <c r="D24" i="6"/>
  <c r="C24" i="6"/>
  <c r="A24" i="6"/>
  <c r="D23" i="6"/>
  <c r="C23" i="6"/>
  <c r="A23" i="6"/>
  <c r="D22" i="6"/>
  <c r="C22" i="6"/>
  <c r="A22" i="6"/>
  <c r="D21" i="6"/>
  <c r="C21" i="6"/>
  <c r="A21" i="6"/>
  <c r="D20" i="6"/>
  <c r="C20" i="6"/>
  <c r="A20" i="6"/>
  <c r="D19" i="6"/>
  <c r="C19" i="6"/>
  <c r="A19" i="6"/>
  <c r="D18" i="6"/>
  <c r="C18" i="6"/>
  <c r="A18" i="6"/>
  <c r="D17" i="6"/>
  <c r="C17" i="6"/>
  <c r="A17" i="6"/>
  <c r="D16" i="6"/>
  <c r="C16" i="6"/>
  <c r="A16" i="6"/>
  <c r="L11" i="6"/>
  <c r="K11" i="6"/>
  <c r="J11" i="6"/>
  <c r="I11" i="6"/>
  <c r="H11" i="6"/>
  <c r="G11" i="6"/>
  <c r="F11" i="6"/>
  <c r="E11" i="6"/>
  <c r="D11" i="6"/>
  <c r="L10" i="6"/>
  <c r="K10" i="6"/>
  <c r="J10" i="6"/>
  <c r="I10" i="6"/>
  <c r="H10" i="6"/>
  <c r="G10" i="6"/>
  <c r="F10" i="6"/>
  <c r="E10" i="6"/>
  <c r="D10" i="6"/>
  <c r="L9" i="6"/>
  <c r="K9" i="6"/>
  <c r="J9" i="6"/>
  <c r="I9" i="6"/>
  <c r="H9" i="6"/>
  <c r="G9" i="6"/>
  <c r="F9" i="6"/>
  <c r="E9" i="6"/>
  <c r="D9" i="6"/>
  <c r="L8" i="6"/>
  <c r="K8" i="6"/>
  <c r="J8" i="6"/>
  <c r="I8" i="6"/>
  <c r="H8" i="6"/>
  <c r="G8" i="6"/>
  <c r="F8" i="6"/>
  <c r="E8" i="6"/>
  <c r="D8" i="6"/>
  <c r="L7" i="6"/>
  <c r="K7" i="6"/>
  <c r="J7" i="6"/>
  <c r="I7" i="6"/>
  <c r="H7" i="6"/>
  <c r="G7" i="6"/>
  <c r="F7" i="6"/>
  <c r="E7" i="6"/>
  <c r="D7" i="6"/>
  <c r="L6" i="6"/>
  <c r="K6" i="6"/>
  <c r="J6" i="6"/>
  <c r="I6" i="6"/>
  <c r="H6" i="6"/>
  <c r="G6" i="6"/>
  <c r="F6" i="6"/>
  <c r="E6" i="6"/>
  <c r="D6" i="6"/>
  <c r="L5" i="6"/>
  <c r="K5" i="6"/>
  <c r="J5" i="6"/>
  <c r="I5" i="6"/>
  <c r="H5" i="6"/>
  <c r="G5" i="6"/>
  <c r="F5" i="6"/>
  <c r="E5" i="6"/>
  <c r="D5" i="6"/>
  <c r="L4" i="6"/>
  <c r="K4" i="6"/>
  <c r="J4" i="6"/>
  <c r="I4" i="6"/>
  <c r="H4" i="6"/>
  <c r="G4" i="6"/>
  <c r="F4" i="6"/>
  <c r="E4" i="6"/>
  <c r="D4" i="6"/>
  <c r="L3" i="6"/>
  <c r="K3" i="6"/>
  <c r="J3" i="6"/>
  <c r="I3" i="6"/>
  <c r="H3" i="6"/>
  <c r="G3" i="6"/>
  <c r="F3" i="6"/>
  <c r="E3" i="6"/>
  <c r="D7" i="1"/>
  <c r="C7" i="1"/>
  <c r="B7" i="1"/>
  <c r="D5" i="1"/>
  <c r="C5" i="1"/>
  <c r="B5" i="1"/>
  <c r="O9" i="24" l="1"/>
  <c r="O10" i="24"/>
  <c r="O8" i="13"/>
  <c r="O12" i="20"/>
  <c r="O6" i="28"/>
  <c r="O7" i="28" l="1"/>
  <c r="O9" i="13"/>
  <c r="O10" i="13"/>
  <c r="O13" i="20"/>
  <c r="O8" i="28"/>
  <c r="O14" i="20" l="1"/>
  <c r="O9" i="28"/>
  <c r="O11" i="24" l="1"/>
  <c r="O12" i="24"/>
  <c r="O15" i="20"/>
  <c r="O10" i="28"/>
  <c r="O21" i="20"/>
  <c r="O13" i="24" l="1"/>
  <c r="O14" i="24" l="1"/>
  <c r="O16" i="20"/>
  <c r="O17" i="20"/>
  <c r="O22" i="20"/>
  <c r="O23" i="20"/>
  <c r="O11" i="28"/>
  <c r="O12" i="28"/>
  <c r="O15" i="24" l="1"/>
  <c r="O13" i="28"/>
  <c r="O16" i="24" l="1"/>
  <c r="O14" i="28"/>
  <c r="O17" i="24" l="1"/>
  <c r="O18" i="24"/>
  <c r="O15" i="28"/>
  <c r="O16" i="28"/>
  <c r="O19" i="24" l="1"/>
  <c r="O20" i="24"/>
  <c r="O17" i="28" l="1"/>
  <c r="O18" i="28"/>
  <c r="O20" i="28" l="1"/>
  <c r="O1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tc={08E735C9-2799-43A9-A259-A9DA862C46EE}</author>
  </authors>
  <commentList>
    <comment ref="C4" authorId="0" shapeId="0" xr:uid="{08E735C9-2799-43A9-A259-A9DA862C46EE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changed this values</t>
      </text>
    </comment>
  </commentList>
</comments>
</file>

<file path=xl/sharedStrings.xml><?xml version="1.0" encoding="utf-8"?>
<sst xmlns="http://schemas.openxmlformats.org/spreadsheetml/2006/main" count="174" uniqueCount="78">
  <si>
    <t>HP</t>
  </si>
  <si>
    <t>BATT</t>
  </si>
  <si>
    <t>PCM</t>
  </si>
  <si>
    <t>EL</t>
  </si>
  <si>
    <t>THERMAL LOAD</t>
  </si>
  <si>
    <t>BOILER</t>
  </si>
  <si>
    <t>ELEC_PRIC</t>
  </si>
  <si>
    <t>Total maximum power</t>
  </si>
  <si>
    <t>Total capacity of ESS</t>
  </si>
  <si>
    <t>NESS_HP</t>
  </si>
  <si>
    <t>NESS_BAT</t>
  </si>
  <si>
    <t>NESS_PCM</t>
  </si>
  <si>
    <t>Total capital cost of storage</t>
  </si>
  <si>
    <t>HP (kW)</t>
  </si>
  <si>
    <t>BAT (kW)</t>
  </si>
  <si>
    <t>PCM (kW)</t>
  </si>
  <si>
    <t>HP (kWh)</t>
  </si>
  <si>
    <t>BAT (kWh)</t>
  </si>
  <si>
    <t>PCM (kWh)</t>
  </si>
  <si>
    <t>Total O&amp;M cost of storage</t>
  </si>
  <si>
    <t>Scenario_Base_1</t>
  </si>
  <si>
    <t>Scenario_Base_2</t>
  </si>
  <si>
    <t>Scenario_Base_3</t>
  </si>
  <si>
    <t>Scenario_UpperCost_1</t>
  </si>
  <si>
    <t>Scenario_UpperCost_2</t>
  </si>
  <si>
    <t>Scenario_UpperCost_3</t>
  </si>
  <si>
    <t>Scenario_LowerCost_1</t>
  </si>
  <si>
    <t>Scenario_LowerCost_2</t>
  </si>
  <si>
    <t>Scenario_LowerCost_3</t>
  </si>
  <si>
    <r>
      <t>PRICE_GAS [c</t>
    </r>
    <r>
      <rPr>
        <sz val="11"/>
        <color theme="1"/>
        <rFont val="Aptos Narrow"/>
        <family val="2"/>
      </rPr>
      <t>€/m3</t>
    </r>
    <r>
      <rPr>
        <sz val="11"/>
        <color theme="1"/>
        <rFont val="Aptos Narrow"/>
        <family val="2"/>
        <scheme val="minor"/>
      </rPr>
      <t>]</t>
    </r>
  </si>
  <si>
    <t>BAT</t>
  </si>
  <si>
    <t>WG</t>
  </si>
  <si>
    <t>PV</t>
  </si>
  <si>
    <t>max kW / module</t>
  </si>
  <si>
    <t>Capital cost</t>
  </si>
  <si>
    <t>max kWh (=100%Soc) / module</t>
  </si>
  <si>
    <t>O&amp;M cost Euro/kWh</t>
  </si>
  <si>
    <t>O&amp;M cost/kWh</t>
  </si>
  <si>
    <t>O&amp;M cost / module</t>
  </si>
  <si>
    <t>Specific capital cost/kWh</t>
  </si>
  <si>
    <t>Specific capital cost/modul</t>
  </si>
  <si>
    <t>Hipothesys</t>
  </si>
  <si>
    <t>Discharge time: just over</t>
  </si>
  <si>
    <t>hours</t>
  </si>
  <si>
    <t xml:space="preserve">Plant power: </t>
  </si>
  <si>
    <t>kW</t>
  </si>
  <si>
    <t xml:space="preserve">Plant efficiency: </t>
  </si>
  <si>
    <t>0.75</t>
  </si>
  <si>
    <t xml:space="preserve">Pumping power: </t>
  </si>
  <si>
    <t xml:space="preserve">Stored energy: </t>
  </si>
  <si>
    <t>kWh</t>
  </si>
  <si>
    <t xml:space="preserve">Charge time: </t>
  </si>
  <si>
    <t>O&amp;M</t>
  </si>
  <si>
    <t>BATTERY</t>
  </si>
  <si>
    <t>hour</t>
  </si>
  <si>
    <t>SCENARIO SELF CONSUMPTION</t>
  </si>
  <si>
    <t>The self-consumption scenario means that we minimize the energy drawn from the grid.</t>
  </si>
  <si>
    <t xml:space="preserve">SCENARIO ECO OBJ </t>
  </si>
  <si>
    <t>The eco -bj scenario means that we minimize the total energy costs</t>
  </si>
  <si>
    <t>KPI =</t>
  </si>
  <si>
    <t xml:space="preserve">OBJ FUNCTION VALUE for the considered scenario / OBJ FUNCTION VALUE SCENARIO BASE </t>
  </si>
  <si>
    <t>KPI=</t>
  </si>
  <si>
    <t>total energy buy fom the grid for the considered scenario (i.e., 51th day)/ total energy bought from the distribution grid  scenario base</t>
  </si>
  <si>
    <t>EL_GRID</t>
  </si>
  <si>
    <t>PCM e</t>
  </si>
  <si>
    <t>PCMt</t>
  </si>
  <si>
    <t>over 99%</t>
  </si>
  <si>
    <t>TOT ELE</t>
  </si>
  <si>
    <t xml:space="preserve">Tot Termico </t>
  </si>
  <si>
    <r>
      <rPr>
        <sz val="11"/>
        <color theme="1"/>
        <rFont val="Aptos Narrow"/>
        <family val="2"/>
      </rPr>
      <t>€</t>
    </r>
    <r>
      <rPr>
        <sz val="11"/>
        <color theme="1"/>
        <rFont val="Aptos Narrow"/>
        <family val="2"/>
        <scheme val="minor"/>
      </rPr>
      <t>/MWh</t>
    </r>
  </si>
  <si>
    <t xml:space="preserve"> </t>
  </si>
  <si>
    <r>
      <t>PRICE_GAS [</t>
    </r>
    <r>
      <rPr>
        <sz val="11"/>
        <color theme="1"/>
        <rFont val="Aptos Narrow"/>
        <family val="2"/>
      </rPr>
      <t>€/m3</t>
    </r>
    <r>
      <rPr>
        <sz val="11"/>
        <color theme="1"/>
        <rFont val="Aptos Narrow"/>
        <family val="2"/>
        <scheme val="minor"/>
      </rPr>
      <t>]</t>
    </r>
  </si>
  <si>
    <t>H</t>
  </si>
  <si>
    <t xml:space="preserve">H </t>
  </si>
  <si>
    <t>EL_BALANCE</t>
  </si>
  <si>
    <t>HP_P</t>
  </si>
  <si>
    <t>Bat_P</t>
  </si>
  <si>
    <t>PCMe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</si>
</sst>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/>
    <xf numFmtId="0" fontId="4" fillId="0" borderId="1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5" fillId="0" borderId="1" xfId="0" applyFont="1" applyBorder="1"/>
    <xf numFmtId="9" fontId="0" fillId="0" borderId="0" xfId="1" applyFont="1"/>
    <xf numFmtId="10" fontId="0" fillId="0" borderId="0" xfId="1" applyNumberFormat="1" applyFont="1"/>
    <xf numFmtId="0" fontId="6" fillId="0" borderId="0" xfId="0" applyFont="1"/>
    <xf numFmtId="0" fontId="0" fillId="2" borderId="0" xfId="0" applyFill="1"/>
    <xf numFmtId="0" fontId="0" fillId="4" borderId="1" xfId="0" applyFill="1" applyBorder="1"/>
    <xf numFmtId="0" fontId="5" fillId="4" borderId="1" xfId="0" applyFont="1" applyFill="1" applyBorder="1"/>
    <xf numFmtId="0" fontId="0" fillId="4" borderId="0" xfId="0" applyFill="1"/>
    <xf numFmtId="0" fontId="2" fillId="4" borderId="1" xfId="0" applyFont="1" applyFill="1" applyBorder="1"/>
    <xf numFmtId="0" fontId="3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7739865850103"/>
          <c:y val="8.2414477043131859E-2"/>
          <c:w val="0.8224561096529600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scenarios'!$C$2</c:f>
              <c:strCache>
                <c:ptCount val="1"/>
                <c:pt idx="0">
                  <c:v>NESS_BAT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gradFill>
                  <a:gsLst>
                    <a:gs pos="0">
                      <a:srgbClr val="5B9BD5">
                        <a:lumMod val="5000"/>
                        <a:lumOff val="95000"/>
                      </a:srgbClr>
                    </a:gs>
                    <a:gs pos="74000">
                      <a:srgbClr val="5B9BD5">
                        <a:lumMod val="45000"/>
                        <a:lumOff val="55000"/>
                      </a:srgbClr>
                    </a:gs>
                    <a:gs pos="83000">
                      <a:srgbClr val="5B9BD5">
                        <a:lumMod val="45000"/>
                        <a:lumOff val="55000"/>
                      </a:srgbClr>
                    </a:gs>
                    <a:gs pos="100000">
                      <a:srgbClr val="5B9BD5">
                        <a:lumMod val="30000"/>
                        <a:lumOff val="70000"/>
                      </a:srgb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'[1]New scenarios'!$C$3:$C$11</c:f>
              <c:numCache>
                <c:formatCode>General</c:formatCode>
                <c:ptCount val="9"/>
                <c:pt idx="0">
                  <c:v>83</c:v>
                </c:pt>
                <c:pt idx="1">
                  <c:v>88</c:v>
                </c:pt>
                <c:pt idx="2">
                  <c:v>78</c:v>
                </c:pt>
                <c:pt idx="3">
                  <c:v>90</c:v>
                </c:pt>
                <c:pt idx="4">
                  <c:v>95</c:v>
                </c:pt>
                <c:pt idx="5">
                  <c:v>85</c:v>
                </c:pt>
                <c:pt idx="6">
                  <c:v>75</c:v>
                </c:pt>
                <c:pt idx="7">
                  <c:v>80</c:v>
                </c:pt>
                <c:pt idx="8">
                  <c:v>70</c:v>
                </c:pt>
              </c:numCache>
            </c:numRef>
          </c:xVal>
          <c:yVal>
            <c:numRef>
              <c:f>'[1]New scenarios'!$D$3:$D$11</c:f>
              <c:numCache>
                <c:formatCode>General</c:formatCode>
                <c:ptCount val="9"/>
                <c:pt idx="0">
                  <c:v>28</c:v>
                </c:pt>
                <c:pt idx="1">
                  <c:v>20</c:v>
                </c:pt>
                <c:pt idx="2">
                  <c:v>36</c:v>
                </c:pt>
                <c:pt idx="3">
                  <c:v>36</c:v>
                </c:pt>
                <c:pt idx="4">
                  <c:v>28</c:v>
                </c:pt>
                <c:pt idx="5">
                  <c:v>44</c:v>
                </c:pt>
                <c:pt idx="6">
                  <c:v>22</c:v>
                </c:pt>
                <c:pt idx="7">
                  <c:v>13</c:v>
                </c:pt>
                <c:pt idx="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2-4FAC-9A23-C0368A7B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53440"/>
        <c:axId val="615338464"/>
      </c:scatterChart>
      <c:valAx>
        <c:axId val="471953440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PCM 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338464"/>
        <c:crosses val="autoZero"/>
        <c:crossBetween val="midCat"/>
        <c:majorUnit val="10"/>
      </c:valAx>
      <c:valAx>
        <c:axId val="615338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</a:t>
                </a:r>
                <a:r>
                  <a:rPr lang="en-US" sz="1100" b="1" i="0" u="none" strike="noStrike" baseline="0">
                    <a:effectLst/>
                  </a:rPr>
                  <a:t>lithium-ion</a:t>
                </a:r>
                <a:r>
                  <a:rPr lang="en-US" b="1"/>
                  <a:t> Battery </a:t>
                </a:r>
                <a:r>
                  <a:rPr lang="en-US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9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725711229797E-2"/>
          <c:y val="2.0923884514435696E-2"/>
          <c:w val="0.88524536812255039"/>
          <c:h val="0.8290471691038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'DAY 51th_Scenario base_1 SELF'!$K$1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51th_Scenario base_1 SELF'!$H$2:$H$25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base_1 SELF'!$K$2:$K$25</c:f>
              <c:numCache>
                <c:formatCode>General</c:formatCode>
                <c:ptCount val="24"/>
                <c:pt idx="0">
                  <c:v>1250</c:v>
                </c:pt>
                <c:pt idx="1">
                  <c:v>1250</c:v>
                </c:pt>
                <c:pt idx="2">
                  <c:v>1623.5</c:v>
                </c:pt>
                <c:pt idx="3">
                  <c:v>1997</c:v>
                </c:pt>
                <c:pt idx="4">
                  <c:v>2370.5</c:v>
                </c:pt>
                <c:pt idx="5">
                  <c:v>1884.7538383097549</c:v>
                </c:pt>
                <c:pt idx="6">
                  <c:v>1397.0968941362808</c:v>
                </c:pt>
                <c:pt idx="7">
                  <c:v>882.4483615276722</c:v>
                </c:pt>
                <c:pt idx="8">
                  <c:v>609.5276955373032</c:v>
                </c:pt>
                <c:pt idx="9">
                  <c:v>609.5276955373032</c:v>
                </c:pt>
                <c:pt idx="10">
                  <c:v>609.5276955373032</c:v>
                </c:pt>
                <c:pt idx="11">
                  <c:v>609.5276955373032</c:v>
                </c:pt>
                <c:pt idx="12">
                  <c:v>609.5276955373032</c:v>
                </c:pt>
                <c:pt idx="13">
                  <c:v>609.5276955373032</c:v>
                </c:pt>
                <c:pt idx="14">
                  <c:v>609.52700000000004</c:v>
                </c:pt>
                <c:pt idx="15">
                  <c:v>1539.7870021208005</c:v>
                </c:pt>
                <c:pt idx="16">
                  <c:v>2539.4901804477918</c:v>
                </c:pt>
                <c:pt idx="17">
                  <c:v>2539.4899999999998</c:v>
                </c:pt>
                <c:pt idx="18">
                  <c:v>2201.9732437552939</c:v>
                </c:pt>
                <c:pt idx="19">
                  <c:v>2201.973</c:v>
                </c:pt>
                <c:pt idx="20">
                  <c:v>1689.2309702527505</c:v>
                </c:pt>
                <c:pt idx="21">
                  <c:v>1689.231</c:v>
                </c:pt>
                <c:pt idx="22">
                  <c:v>1689.231</c:v>
                </c:pt>
                <c:pt idx="23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F-4F39-ABE6-A81EE9BB8FC8}"/>
            </c:ext>
          </c:extLst>
        </c:ser>
        <c:ser>
          <c:idx val="0"/>
          <c:order val="1"/>
          <c:tx>
            <c:v>PCMe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51th_Scenario base_1 SELF'!$H$2:$H$25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base_1 SELF'!$N$2:$N$25</c:f>
              <c:numCache>
                <c:formatCode>General</c:formatCode>
                <c:ptCount val="24"/>
                <c:pt idx="0">
                  <c:v>-391.73572530890755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-389.09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F-4F39-ABE6-A81EE9BB8FC8}"/>
            </c:ext>
          </c:extLst>
        </c:ser>
        <c:ser>
          <c:idx val="3"/>
          <c:order val="3"/>
          <c:tx>
            <c:v>Battery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'DAY 51th_Scenario base_1 SELF'!$H$2:$H$25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base_1 SELF'!$L$2:$L$25</c:f>
              <c:numCache>
                <c:formatCode>General</c:formatCode>
                <c:ptCount val="24"/>
                <c:pt idx="0">
                  <c:v>3400</c:v>
                </c:pt>
                <c:pt idx="1">
                  <c:v>3004.872711700732</c:v>
                </c:pt>
                <c:pt idx="2">
                  <c:v>2244.5339398771885</c:v>
                </c:pt>
                <c:pt idx="3">
                  <c:v>1470.7063390779203</c:v>
                </c:pt>
                <c:pt idx="4">
                  <c:v>1088</c:v>
                </c:pt>
                <c:pt idx="5">
                  <c:v>1088</c:v>
                </c:pt>
                <c:pt idx="6">
                  <c:v>1088</c:v>
                </c:pt>
                <c:pt idx="7">
                  <c:v>1088</c:v>
                </c:pt>
                <c:pt idx="8">
                  <c:v>1088</c:v>
                </c:pt>
                <c:pt idx="9">
                  <c:v>1565.4912611127327</c:v>
                </c:pt>
                <c:pt idx="10">
                  <c:v>2669.4515634277477</c:v>
                </c:pt>
                <c:pt idx="11">
                  <c:v>3394.6966510791526</c:v>
                </c:pt>
                <c:pt idx="12">
                  <c:v>4255.3838020246458</c:v>
                </c:pt>
                <c:pt idx="13">
                  <c:v>4679.2286338454751</c:v>
                </c:pt>
                <c:pt idx="14">
                  <c:v>5589.9089534781533</c:v>
                </c:pt>
                <c:pt idx="15">
                  <c:v>5589.9</c:v>
                </c:pt>
                <c:pt idx="16">
                  <c:v>5589.94</c:v>
                </c:pt>
                <c:pt idx="17">
                  <c:v>5704.4587741553505</c:v>
                </c:pt>
                <c:pt idx="18">
                  <c:v>5205</c:v>
                </c:pt>
                <c:pt idx="19">
                  <c:v>4527.3999714079218</c:v>
                </c:pt>
                <c:pt idx="20">
                  <c:v>4559</c:v>
                </c:pt>
                <c:pt idx="21">
                  <c:v>4050.2539557645609</c:v>
                </c:pt>
                <c:pt idx="22">
                  <c:v>3539.7047621488018</c:v>
                </c:pt>
                <c:pt idx="23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2-4B73-8861-B32E3029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11823"/>
        <c:axId val="15870945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STORAGE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'DAY 51th_Scenario base_1 SELF'!$H$2:$H$25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'DAY 51th_Scenario base_1 SELF'!$L$2:$L$25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3400</c:v>
                      </c:pt>
                      <c:pt idx="1">
                        <c:v>3004.872711700732</c:v>
                      </c:pt>
                      <c:pt idx="2">
                        <c:v>2244.5339398771885</c:v>
                      </c:pt>
                      <c:pt idx="3">
                        <c:v>1470.7063390779203</c:v>
                      </c:pt>
                      <c:pt idx="4">
                        <c:v>1088</c:v>
                      </c:pt>
                      <c:pt idx="5">
                        <c:v>1088</c:v>
                      </c:pt>
                      <c:pt idx="6">
                        <c:v>1088</c:v>
                      </c:pt>
                      <c:pt idx="7">
                        <c:v>1088</c:v>
                      </c:pt>
                      <c:pt idx="8">
                        <c:v>1088</c:v>
                      </c:pt>
                      <c:pt idx="9">
                        <c:v>1565.4912611127327</c:v>
                      </c:pt>
                      <c:pt idx="10">
                        <c:v>2669.4515634277477</c:v>
                      </c:pt>
                      <c:pt idx="11">
                        <c:v>3394.6966510791526</c:v>
                      </c:pt>
                      <c:pt idx="12">
                        <c:v>4255.3838020246458</c:v>
                      </c:pt>
                      <c:pt idx="13">
                        <c:v>4679.2286338454751</c:v>
                      </c:pt>
                      <c:pt idx="14">
                        <c:v>5589.9089534781533</c:v>
                      </c:pt>
                      <c:pt idx="15">
                        <c:v>5589.9</c:v>
                      </c:pt>
                      <c:pt idx="16">
                        <c:v>5589.94</c:v>
                      </c:pt>
                      <c:pt idx="17">
                        <c:v>5704.4587741553505</c:v>
                      </c:pt>
                      <c:pt idx="18">
                        <c:v>5205</c:v>
                      </c:pt>
                      <c:pt idx="19">
                        <c:v>4527.3999714079218</c:v>
                      </c:pt>
                      <c:pt idx="20">
                        <c:v>4559</c:v>
                      </c:pt>
                      <c:pt idx="21">
                        <c:v>4050.2539557645609</c:v>
                      </c:pt>
                      <c:pt idx="22">
                        <c:v>3539.7047621488018</c:v>
                      </c:pt>
                      <c:pt idx="23">
                        <c:v>3400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BCF-4F39-ABE6-A81EE9BB8FC8}"/>
                  </c:ext>
                </c:extLst>
              </c15:ser>
            </c15:filteredScatterSeries>
          </c:ext>
        </c:extLst>
      </c:scatterChart>
      <c:valAx>
        <c:axId val="158711182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94543"/>
        <c:crosses val="autoZero"/>
        <c:crossBetween val="midCat"/>
        <c:majorUnit val="1"/>
      </c:valAx>
      <c:valAx>
        <c:axId val="1587094543"/>
        <c:scaling>
          <c:orientation val="minMax"/>
          <c:min val="-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725711229797E-2"/>
          <c:y val="2.0923884514435696E-2"/>
          <c:w val="0.88524536812255039"/>
          <c:h val="0.8290471691038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'DAY 51th_Scenario base_1'!$K$1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51th_Scenario base_1'!$H$2:$H$25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base_1'!$K$2:$K$25</c:f>
              <c:numCache>
                <c:formatCode>General</c:formatCode>
                <c:ptCount val="24"/>
                <c:pt idx="0">
                  <c:v>1250</c:v>
                </c:pt>
                <c:pt idx="1">
                  <c:v>1250</c:v>
                </c:pt>
                <c:pt idx="2">
                  <c:v>1623.5</c:v>
                </c:pt>
                <c:pt idx="3">
                  <c:v>1997</c:v>
                </c:pt>
                <c:pt idx="4">
                  <c:v>1598.7109156764566</c:v>
                </c:pt>
                <c:pt idx="5">
                  <c:v>1112.9647539862115</c:v>
                </c:pt>
                <c:pt idx="6">
                  <c:v>625.30780981273733</c:v>
                </c:pt>
                <c:pt idx="7">
                  <c:v>625.30780000000004</c:v>
                </c:pt>
                <c:pt idx="8">
                  <c:v>352.38713400963104</c:v>
                </c:pt>
                <c:pt idx="9">
                  <c:v>829.87839512236371</c:v>
                </c:pt>
                <c:pt idx="10">
                  <c:v>829.89</c:v>
                </c:pt>
                <c:pt idx="11">
                  <c:v>986.44</c:v>
                </c:pt>
                <c:pt idx="12">
                  <c:v>986.44</c:v>
                </c:pt>
                <c:pt idx="13">
                  <c:v>986.44</c:v>
                </c:pt>
                <c:pt idx="14">
                  <c:v>986.44</c:v>
                </c:pt>
                <c:pt idx="15">
                  <c:v>1916.400021208</c:v>
                </c:pt>
                <c:pt idx="16">
                  <c:v>2575</c:v>
                </c:pt>
                <c:pt idx="17">
                  <c:v>2575</c:v>
                </c:pt>
                <c:pt idx="18">
                  <c:v>2237.4832437552941</c:v>
                </c:pt>
                <c:pt idx="19">
                  <c:v>1771.8832151632164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7-46CB-86FE-1725C337822A}"/>
            </c:ext>
          </c:extLst>
        </c:ser>
        <c:ser>
          <c:idx val="0"/>
          <c:order val="1"/>
          <c:tx>
            <c:v>PCMe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51th_Scenario base_1'!$H$2:$H$25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base_1'!$N$2:$N$25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7-46CB-86FE-1725C337822A}"/>
            </c:ext>
          </c:extLst>
        </c:ser>
        <c:ser>
          <c:idx val="1"/>
          <c:order val="2"/>
          <c:tx>
            <c:v>Battery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51th_Scenario base_1'!$H$2:$H$25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base_1'!$L$2:$L$25</c:f>
              <c:numCache>
                <c:formatCode>General</c:formatCode>
                <c:ptCount val="24"/>
                <c:pt idx="0">
                  <c:v>3400</c:v>
                </c:pt>
                <c:pt idx="1">
                  <c:v>3004.872711700732</c:v>
                </c:pt>
                <c:pt idx="2">
                  <c:v>2244.5339398771885</c:v>
                </c:pt>
                <c:pt idx="3">
                  <c:v>1480.7063390779203</c:v>
                </c:pt>
                <c:pt idx="4">
                  <c:v>1088.971</c:v>
                </c:pt>
                <c:pt idx="5">
                  <c:v>1088.971</c:v>
                </c:pt>
                <c:pt idx="6">
                  <c:v>1088.971</c:v>
                </c:pt>
                <c:pt idx="7">
                  <c:v>574.32246739139146</c:v>
                </c:pt>
                <c:pt idx="8">
                  <c:v>574.33249999999998</c:v>
                </c:pt>
                <c:pt idx="9">
                  <c:v>574.33249999999998</c:v>
                </c:pt>
                <c:pt idx="10">
                  <c:v>1678.292802315015</c:v>
                </c:pt>
                <c:pt idx="11">
                  <c:v>2247.5378899664202</c:v>
                </c:pt>
                <c:pt idx="12">
                  <c:v>3108.2250409119133</c:v>
                </c:pt>
                <c:pt idx="13">
                  <c:v>3532.0698727327426</c:v>
                </c:pt>
                <c:pt idx="14">
                  <c:v>4442.7501923654208</c:v>
                </c:pt>
                <c:pt idx="15">
                  <c:v>4443.0889999999999</c:v>
                </c:pt>
                <c:pt idx="16">
                  <c:v>4784.4921783269911</c:v>
                </c:pt>
                <c:pt idx="17">
                  <c:v>4899.010952482342</c:v>
                </c:pt>
                <c:pt idx="18">
                  <c:v>4899.3</c:v>
                </c:pt>
                <c:pt idx="19">
                  <c:v>4899.3</c:v>
                </c:pt>
                <c:pt idx="20">
                  <c:v>4908</c:v>
                </c:pt>
                <c:pt idx="21">
                  <c:v>4399.2539557645614</c:v>
                </c:pt>
                <c:pt idx="22">
                  <c:v>3888.7047621488023</c:v>
                </c:pt>
                <c:pt idx="23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7-46CB-86FE-1725C337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11823"/>
        <c:axId val="1587094543"/>
      </c:scatterChart>
      <c:valAx>
        <c:axId val="158711182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Hours</a:t>
                </a:r>
              </a:p>
            </c:rich>
          </c:tx>
          <c:layout>
            <c:manualLayout>
              <c:xMode val="edge"/>
              <c:yMode val="edge"/>
              <c:x val="0.69070735364336699"/>
              <c:y val="0.90686130584624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94543"/>
        <c:crosses val="autoZero"/>
        <c:crossBetween val="midCat"/>
        <c:majorUnit val="1"/>
      </c:valAx>
      <c:valAx>
        <c:axId val="158709454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</a:t>
                </a:r>
                <a:r>
                  <a:rPr lang="it-IT" baseline="0"/>
                  <a:t> [kWh]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98236025827018"/>
          <c:y val="0.94059448949738711"/>
          <c:w val="0.3000352794834597"/>
          <c:h val="5.608214725901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89043728606149E-2"/>
          <c:y val="6.5580881337201274E-2"/>
          <c:w val="0.88524536812255039"/>
          <c:h val="0.8290471691038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'DAY 51th_Scenario base_2'!$K$1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51th_Scenario base_2'!$H$2:$H$25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base_2'!$K$2:$K$25</c:f>
              <c:numCache>
                <c:formatCode>General</c:formatCode>
                <c:ptCount val="24"/>
                <c:pt idx="0">
                  <c:v>1250</c:v>
                </c:pt>
                <c:pt idx="1">
                  <c:v>1250</c:v>
                </c:pt>
                <c:pt idx="2">
                  <c:v>1623.5</c:v>
                </c:pt>
                <c:pt idx="3">
                  <c:v>1997</c:v>
                </c:pt>
                <c:pt idx="4">
                  <c:v>2370.5</c:v>
                </c:pt>
                <c:pt idx="5">
                  <c:v>1884.7538383097549</c:v>
                </c:pt>
                <c:pt idx="6">
                  <c:v>1397.0968941362808</c:v>
                </c:pt>
                <c:pt idx="7">
                  <c:v>1397.097</c:v>
                </c:pt>
                <c:pt idx="8">
                  <c:v>1397.097</c:v>
                </c:pt>
                <c:pt idx="9">
                  <c:v>1874.5882611127327</c:v>
                </c:pt>
                <c:pt idx="10">
                  <c:v>2190.5250000000001</c:v>
                </c:pt>
                <c:pt idx="11">
                  <c:v>2575.125</c:v>
                </c:pt>
                <c:pt idx="12">
                  <c:v>2575.125</c:v>
                </c:pt>
                <c:pt idx="13">
                  <c:v>2575.125</c:v>
                </c:pt>
                <c:pt idx="14">
                  <c:v>2575.125</c:v>
                </c:pt>
                <c:pt idx="15">
                  <c:v>2575.125</c:v>
                </c:pt>
                <c:pt idx="16">
                  <c:v>2575.125</c:v>
                </c:pt>
                <c:pt idx="17">
                  <c:v>2575.125</c:v>
                </c:pt>
                <c:pt idx="18">
                  <c:v>2237.6082437552941</c:v>
                </c:pt>
                <c:pt idx="19">
                  <c:v>1772.0082151632164</c:v>
                </c:pt>
                <c:pt idx="20">
                  <c:v>1259.2661854159669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5-49D2-80D3-43519F1C24A1}"/>
            </c:ext>
          </c:extLst>
        </c:ser>
        <c:ser>
          <c:idx val="0"/>
          <c:order val="1"/>
          <c:tx>
            <c:v>PCMe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51th_Scenario base_2'!$H$2:$H$25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base_2'!$N$2:$N$25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5-49D2-80D3-43519F1C24A1}"/>
            </c:ext>
          </c:extLst>
        </c:ser>
        <c:ser>
          <c:idx val="1"/>
          <c:order val="2"/>
          <c:tx>
            <c:v>STORAGE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51th_Scenario base_2'!$H$2:$H$25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base_2'!$L$2:$L$25</c:f>
              <c:numCache>
                <c:formatCode>General</c:formatCode>
                <c:ptCount val="24"/>
                <c:pt idx="0">
                  <c:v>3608</c:v>
                </c:pt>
                <c:pt idx="1">
                  <c:v>3608</c:v>
                </c:pt>
                <c:pt idx="2">
                  <c:v>3608</c:v>
                </c:pt>
                <c:pt idx="3">
                  <c:v>3908</c:v>
                </c:pt>
                <c:pt idx="4">
                  <c:v>4650</c:v>
                </c:pt>
                <c:pt idx="5">
                  <c:v>5772.4309999999996</c:v>
                </c:pt>
                <c:pt idx="6">
                  <c:v>5772.4309999999996</c:v>
                </c:pt>
                <c:pt idx="7">
                  <c:v>5257.782467391391</c:v>
                </c:pt>
                <c:pt idx="8">
                  <c:v>4984.8618014010217</c:v>
                </c:pt>
                <c:pt idx="9">
                  <c:v>4984.8618014010217</c:v>
                </c:pt>
                <c:pt idx="10">
                  <c:v>5772.8</c:v>
                </c:pt>
                <c:pt idx="11">
                  <c:v>5772.8</c:v>
                </c:pt>
                <c:pt idx="12">
                  <c:v>5772.8</c:v>
                </c:pt>
                <c:pt idx="13">
                  <c:v>5772.8</c:v>
                </c:pt>
                <c:pt idx="14">
                  <c:v>5772.8</c:v>
                </c:pt>
                <c:pt idx="15">
                  <c:v>5772.8</c:v>
                </c:pt>
                <c:pt idx="16">
                  <c:v>5772.4314534781524</c:v>
                </c:pt>
                <c:pt idx="17">
                  <c:v>5772.4314534781524</c:v>
                </c:pt>
                <c:pt idx="18">
                  <c:v>5114.4309999999996</c:v>
                </c:pt>
                <c:pt idx="19">
                  <c:v>5114.4309999999996</c:v>
                </c:pt>
                <c:pt idx="20">
                  <c:v>5114.4309999999996</c:v>
                </c:pt>
                <c:pt idx="21">
                  <c:v>4614.6849557645601</c:v>
                </c:pt>
                <c:pt idx="22">
                  <c:v>4104.1357621488005</c:v>
                </c:pt>
                <c:pt idx="23">
                  <c:v>3603.4342815489022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5-49D2-80D3-43519F1C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11823"/>
        <c:axId val="1587094543"/>
      </c:scatterChart>
      <c:valAx>
        <c:axId val="158711182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Hours</a:t>
                </a:r>
              </a:p>
            </c:rich>
          </c:tx>
          <c:layout>
            <c:manualLayout>
              <c:xMode val="edge"/>
              <c:yMode val="edge"/>
              <c:x val="0.65798046246536679"/>
              <c:y val="0.8946281889240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94543"/>
        <c:crosses val="autoZero"/>
        <c:crossBetween val="midCat"/>
        <c:majorUnit val="1"/>
      </c:valAx>
      <c:valAx>
        <c:axId val="1587094543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11823"/>
        <c:crosses val="autoZero"/>
        <c:crossBetween val="midCat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725711229797E-2"/>
          <c:y val="2.0923884514435696E-2"/>
          <c:w val="0.88524536812255039"/>
          <c:h val="0.8290471691038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'DAY 51th_Scenario base_2SELF'!$K$1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51th_Scenario base_2SELF'!$H$2:$H$25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base_2SELF'!$K$2:$K$25</c:f>
              <c:numCache>
                <c:formatCode>General</c:formatCode>
                <c:ptCount val="24"/>
                <c:pt idx="0">
                  <c:v>1250</c:v>
                </c:pt>
                <c:pt idx="1">
                  <c:v>1250</c:v>
                </c:pt>
                <c:pt idx="2">
                  <c:v>1623.5</c:v>
                </c:pt>
                <c:pt idx="3">
                  <c:v>1999.8</c:v>
                </c:pt>
                <c:pt idx="4">
                  <c:v>2370.5</c:v>
                </c:pt>
                <c:pt idx="5">
                  <c:v>2370</c:v>
                </c:pt>
                <c:pt idx="6">
                  <c:v>2370</c:v>
                </c:pt>
                <c:pt idx="7">
                  <c:v>1855.3514673913915</c:v>
                </c:pt>
                <c:pt idx="8">
                  <c:v>1582.4308014010226</c:v>
                </c:pt>
                <c:pt idx="9">
                  <c:v>1582.431</c:v>
                </c:pt>
                <c:pt idx="10">
                  <c:v>1582.431</c:v>
                </c:pt>
                <c:pt idx="11">
                  <c:v>1582.431</c:v>
                </c:pt>
                <c:pt idx="12">
                  <c:v>1582.431</c:v>
                </c:pt>
                <c:pt idx="13">
                  <c:v>1582.431</c:v>
                </c:pt>
                <c:pt idx="14">
                  <c:v>2493.1113196326787</c:v>
                </c:pt>
                <c:pt idx="15">
                  <c:v>2575</c:v>
                </c:pt>
                <c:pt idx="16">
                  <c:v>3574.7031783269913</c:v>
                </c:pt>
                <c:pt idx="17">
                  <c:v>3574.7</c:v>
                </c:pt>
                <c:pt idx="18">
                  <c:v>3237.1832437552939</c:v>
                </c:pt>
                <c:pt idx="19">
                  <c:v>2771.5832151632162</c:v>
                </c:pt>
                <c:pt idx="20">
                  <c:v>2258.8411854159667</c:v>
                </c:pt>
                <c:pt idx="21">
                  <c:v>1750.0951411805277</c:v>
                </c:pt>
                <c:pt idx="22">
                  <c:v>1250</c:v>
                </c:pt>
                <c:pt idx="23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0-44F0-B633-3C0CA985C488}"/>
            </c:ext>
          </c:extLst>
        </c:ser>
        <c:ser>
          <c:idx val="0"/>
          <c:order val="1"/>
          <c:tx>
            <c:v>PCMe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51th_Scenario base_2SELF'!$H$2:$H$25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base_2SELF'!$N$2:$N$25</c:f>
              <c:numCache>
                <c:formatCode>General</c:formatCode>
                <c:ptCount val="24"/>
                <c:pt idx="0">
                  <c:v>-391.73</c:v>
                </c:pt>
                <c:pt idx="1">
                  <c:v>0</c:v>
                </c:pt>
                <c:pt idx="2">
                  <c:v>0</c:v>
                </c:pt>
                <c:pt idx="3">
                  <c:v>-200</c:v>
                </c:pt>
                <c:pt idx="4">
                  <c:v>0</c:v>
                </c:pt>
                <c:pt idx="5">
                  <c:v>-387</c:v>
                </c:pt>
                <c:pt idx="6">
                  <c:v>-487.66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0-44F0-B633-3C0CA985C488}"/>
            </c:ext>
          </c:extLst>
        </c:ser>
        <c:ser>
          <c:idx val="1"/>
          <c:order val="2"/>
          <c:tx>
            <c:v>STORAGE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51th_Scenario base_2SELF'!$H$2:$H$25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base_2SELF'!$L$2:$L$25</c:f>
              <c:numCache>
                <c:formatCode>General</c:formatCode>
                <c:ptCount val="24"/>
                <c:pt idx="0">
                  <c:v>3608</c:v>
                </c:pt>
                <c:pt idx="1">
                  <c:v>3215.873</c:v>
                </c:pt>
                <c:pt idx="2">
                  <c:v>2447.23422817646</c:v>
                </c:pt>
                <c:pt idx="3">
                  <c:v>1884.0342281764599</c:v>
                </c:pt>
                <c:pt idx="4">
                  <c:v>1105.2451438529131</c:v>
                </c:pt>
                <c:pt idx="5">
                  <c:v>1088</c:v>
                </c:pt>
                <c:pt idx="6">
                  <c:v>1088</c:v>
                </c:pt>
                <c:pt idx="7">
                  <c:v>1088</c:v>
                </c:pt>
                <c:pt idx="8">
                  <c:v>1088</c:v>
                </c:pt>
                <c:pt idx="9">
                  <c:v>1565.4912611127327</c:v>
                </c:pt>
                <c:pt idx="10">
                  <c:v>2669.4515634277477</c:v>
                </c:pt>
                <c:pt idx="11">
                  <c:v>3394.6966510791526</c:v>
                </c:pt>
                <c:pt idx="12">
                  <c:v>4255.3838020246458</c:v>
                </c:pt>
                <c:pt idx="13">
                  <c:v>4679.2286338454751</c:v>
                </c:pt>
                <c:pt idx="14">
                  <c:v>4679.2286338454751</c:v>
                </c:pt>
                <c:pt idx="15">
                  <c:v>4027.6</c:v>
                </c:pt>
                <c:pt idx="16">
                  <c:v>4027.6</c:v>
                </c:pt>
                <c:pt idx="17">
                  <c:v>4142.1187741553513</c:v>
                </c:pt>
                <c:pt idx="18">
                  <c:v>4142.1187741553513</c:v>
                </c:pt>
                <c:pt idx="19">
                  <c:v>4142.1187741553513</c:v>
                </c:pt>
                <c:pt idx="20">
                  <c:v>4142.1187741553513</c:v>
                </c:pt>
                <c:pt idx="21">
                  <c:v>4142.1187741553513</c:v>
                </c:pt>
                <c:pt idx="22">
                  <c:v>4131.6647217201198</c:v>
                </c:pt>
                <c:pt idx="23">
                  <c:v>3608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0-44F0-B633-3C0CA985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11823"/>
        <c:axId val="1587094543"/>
      </c:scatterChart>
      <c:valAx>
        <c:axId val="158711182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94543"/>
        <c:crosses val="autoZero"/>
        <c:crossBetween val="midCat"/>
        <c:majorUnit val="1"/>
      </c:valAx>
      <c:valAx>
        <c:axId val="1587094543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]kWh]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98460046567297E-2"/>
          <c:y val="3.848413521263578E-2"/>
          <c:w val="0.88524536812255039"/>
          <c:h val="0.8290471691038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'DAY 51th_Scenario base_3'!$K$1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51th_Scenario base_3'!$H$2:$H$25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base_3'!$K$2:$K$25</c:f>
              <c:numCache>
                <c:formatCode>General</c:formatCode>
                <c:ptCount val="24"/>
                <c:pt idx="0">
                  <c:v>1250</c:v>
                </c:pt>
                <c:pt idx="1">
                  <c:v>1250</c:v>
                </c:pt>
                <c:pt idx="2">
                  <c:v>1623.5</c:v>
                </c:pt>
                <c:pt idx="3">
                  <c:v>1997</c:v>
                </c:pt>
                <c:pt idx="4">
                  <c:v>2370.5</c:v>
                </c:pt>
                <c:pt idx="5">
                  <c:v>1884.7538383097549</c:v>
                </c:pt>
                <c:pt idx="6">
                  <c:v>1397.0968941362808</c:v>
                </c:pt>
                <c:pt idx="7">
                  <c:v>882.4483615276722</c:v>
                </c:pt>
                <c:pt idx="8">
                  <c:v>609.5276955373032</c:v>
                </c:pt>
                <c:pt idx="9">
                  <c:v>609.5276955373032</c:v>
                </c:pt>
                <c:pt idx="10">
                  <c:v>609.5276955373032</c:v>
                </c:pt>
                <c:pt idx="11">
                  <c:v>609.5276955373032</c:v>
                </c:pt>
                <c:pt idx="12">
                  <c:v>609.5276955373032</c:v>
                </c:pt>
                <c:pt idx="13">
                  <c:v>609.5276955373032</c:v>
                </c:pt>
                <c:pt idx="14">
                  <c:v>988.0276955373032</c:v>
                </c:pt>
                <c:pt idx="15">
                  <c:v>1366.5276955373033</c:v>
                </c:pt>
                <c:pt idx="16">
                  <c:v>1366.5276955373033</c:v>
                </c:pt>
                <c:pt idx="17">
                  <c:v>1366.5276955373033</c:v>
                </c:pt>
                <c:pt idx="18">
                  <c:v>1366.528</c:v>
                </c:pt>
                <c:pt idx="19">
                  <c:v>1366.528</c:v>
                </c:pt>
                <c:pt idx="20">
                  <c:v>1366.528</c:v>
                </c:pt>
                <c:pt idx="21">
                  <c:v>1366.528</c:v>
                </c:pt>
                <c:pt idx="22">
                  <c:v>1366.528</c:v>
                </c:pt>
                <c:pt idx="23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B-4F83-B9E3-143F19932008}"/>
            </c:ext>
          </c:extLst>
        </c:ser>
        <c:ser>
          <c:idx val="0"/>
          <c:order val="1"/>
          <c:tx>
            <c:v>PCMe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51th_Scenario base_3'!$H$2:$H$25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base_3'!$N$2:$N$25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B-4F83-B9E3-143F19932008}"/>
            </c:ext>
          </c:extLst>
        </c:ser>
        <c:ser>
          <c:idx val="3"/>
          <c:order val="3"/>
          <c:tx>
            <c:v>Battery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'DAY 51th_Scenario base_3'!$H$2:$H$25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base_3'!$L$2:$L$25</c:f>
              <c:numCache>
                <c:formatCode>General</c:formatCode>
                <c:ptCount val="24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5">
                  <c:v>3200</c:v>
                </c:pt>
                <c:pt idx="6">
                  <c:v>2044.5340000000001</c:v>
                </c:pt>
                <c:pt idx="7">
                  <c:v>2044.5340000000001</c:v>
                </c:pt>
                <c:pt idx="8">
                  <c:v>2044.5340000000001</c:v>
                </c:pt>
                <c:pt idx="9">
                  <c:v>2522.0252611127326</c:v>
                </c:pt>
                <c:pt idx="10">
                  <c:v>3625.9855634277474</c:v>
                </c:pt>
                <c:pt idx="11">
                  <c:v>4351.2306510791523</c:v>
                </c:pt>
                <c:pt idx="12">
                  <c:v>5211.9178020246454</c:v>
                </c:pt>
                <c:pt idx="13">
                  <c:v>5635.7626338454747</c:v>
                </c:pt>
                <c:pt idx="14">
                  <c:v>5635.76</c:v>
                </c:pt>
                <c:pt idx="15">
                  <c:v>5635.7629999999999</c:v>
                </c:pt>
                <c:pt idx="16">
                  <c:v>5635.7629999999999</c:v>
                </c:pt>
                <c:pt idx="17">
                  <c:v>5635.7629999999999</c:v>
                </c:pt>
                <c:pt idx="18">
                  <c:v>5579.8</c:v>
                </c:pt>
                <c:pt idx="19">
                  <c:v>5114.199971407922</c:v>
                </c:pt>
                <c:pt idx="20">
                  <c:v>4601.457941660673</c:v>
                </c:pt>
                <c:pt idx="21">
                  <c:v>4092.7118974252339</c:v>
                </c:pt>
                <c:pt idx="22">
                  <c:v>3582.1627038094748</c:v>
                </c:pt>
                <c:pt idx="23">
                  <c:v>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B-4F83-B9E3-143F19932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11823"/>
        <c:axId val="15870945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STORAGE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'DAY 51th_Scenario base_3'!$H$2:$H$25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'DAY 51th_Scenario base_3'!$L$2:$L$25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3200</c:v>
                      </c:pt>
                      <c:pt idx="1">
                        <c:v>3200</c:v>
                      </c:pt>
                      <c:pt idx="2">
                        <c:v>3200</c:v>
                      </c:pt>
                      <c:pt idx="3">
                        <c:v>3200</c:v>
                      </c:pt>
                      <c:pt idx="4">
                        <c:v>3200</c:v>
                      </c:pt>
                      <c:pt idx="5">
                        <c:v>3200</c:v>
                      </c:pt>
                      <c:pt idx="6">
                        <c:v>2044.5340000000001</c:v>
                      </c:pt>
                      <c:pt idx="7">
                        <c:v>2044.5340000000001</c:v>
                      </c:pt>
                      <c:pt idx="8">
                        <c:v>2044.5340000000001</c:v>
                      </c:pt>
                      <c:pt idx="9">
                        <c:v>2522.0252611127326</c:v>
                      </c:pt>
                      <c:pt idx="10">
                        <c:v>3625.9855634277474</c:v>
                      </c:pt>
                      <c:pt idx="11">
                        <c:v>4351.2306510791523</c:v>
                      </c:pt>
                      <c:pt idx="12">
                        <c:v>5211.9178020246454</c:v>
                      </c:pt>
                      <c:pt idx="13">
                        <c:v>5635.7626338454747</c:v>
                      </c:pt>
                      <c:pt idx="14">
                        <c:v>5635.76</c:v>
                      </c:pt>
                      <c:pt idx="15">
                        <c:v>5635.7629999999999</c:v>
                      </c:pt>
                      <c:pt idx="16">
                        <c:v>5635.7629999999999</c:v>
                      </c:pt>
                      <c:pt idx="17">
                        <c:v>5635.7629999999999</c:v>
                      </c:pt>
                      <c:pt idx="18">
                        <c:v>5579.8</c:v>
                      </c:pt>
                      <c:pt idx="19">
                        <c:v>5114.199971407922</c:v>
                      </c:pt>
                      <c:pt idx="20">
                        <c:v>4601.457941660673</c:v>
                      </c:pt>
                      <c:pt idx="21">
                        <c:v>4092.7118974252339</c:v>
                      </c:pt>
                      <c:pt idx="22">
                        <c:v>3582.1627038094748</c:v>
                      </c:pt>
                      <c:pt idx="23">
                        <c:v>3198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C2B-4F83-B9E3-143F19932008}"/>
                  </c:ext>
                </c:extLst>
              </c15:ser>
            </c15:filteredScatterSeries>
          </c:ext>
        </c:extLst>
      </c:scatterChart>
      <c:valAx>
        <c:axId val="158711182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94543"/>
        <c:crosses val="autoZero"/>
        <c:crossBetween val="midCat"/>
        <c:majorUnit val="1"/>
      </c:valAx>
      <c:valAx>
        <c:axId val="1587094543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725711229797E-2"/>
          <c:y val="2.0923884514435696E-2"/>
          <c:w val="0.88524536812255039"/>
          <c:h val="0.8290471691038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'DAY 51th_Scenario base_3 SE '!$K$1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51th_Scenario base_3 SE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base_3 SE '!$K$2:$K$25</c:f>
              <c:numCache>
                <c:formatCode>General</c:formatCode>
                <c:ptCount val="24"/>
                <c:pt idx="0">
                  <c:v>1250</c:v>
                </c:pt>
                <c:pt idx="1">
                  <c:v>1250</c:v>
                </c:pt>
                <c:pt idx="2">
                  <c:v>1623.5</c:v>
                </c:pt>
                <c:pt idx="3">
                  <c:v>1997</c:v>
                </c:pt>
                <c:pt idx="4">
                  <c:v>2370.5</c:v>
                </c:pt>
                <c:pt idx="5">
                  <c:v>1884.7538383097549</c:v>
                </c:pt>
                <c:pt idx="6">
                  <c:v>1397.0968941362808</c:v>
                </c:pt>
                <c:pt idx="7">
                  <c:v>882.4483615276722</c:v>
                </c:pt>
                <c:pt idx="8">
                  <c:v>609.5276955373032</c:v>
                </c:pt>
                <c:pt idx="9">
                  <c:v>609.5276955373032</c:v>
                </c:pt>
                <c:pt idx="10">
                  <c:v>609.5276955373032</c:v>
                </c:pt>
                <c:pt idx="11">
                  <c:v>609.5276955373032</c:v>
                </c:pt>
                <c:pt idx="12">
                  <c:v>609.5276955373032</c:v>
                </c:pt>
                <c:pt idx="13">
                  <c:v>609.5276955373032</c:v>
                </c:pt>
                <c:pt idx="14">
                  <c:v>988.0276955373032</c:v>
                </c:pt>
                <c:pt idx="15">
                  <c:v>1366.5276955373033</c:v>
                </c:pt>
                <c:pt idx="16">
                  <c:v>1366.5276955373033</c:v>
                </c:pt>
                <c:pt idx="17">
                  <c:v>1366.5276955373033</c:v>
                </c:pt>
                <c:pt idx="18">
                  <c:v>1366.528</c:v>
                </c:pt>
                <c:pt idx="19">
                  <c:v>1366.528</c:v>
                </c:pt>
                <c:pt idx="20">
                  <c:v>1366.528</c:v>
                </c:pt>
                <c:pt idx="21">
                  <c:v>1366.528</c:v>
                </c:pt>
                <c:pt idx="22">
                  <c:v>1250</c:v>
                </c:pt>
                <c:pt idx="23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7-4708-B949-8D5B47C7C4BD}"/>
            </c:ext>
          </c:extLst>
        </c:ser>
        <c:ser>
          <c:idx val="0"/>
          <c:order val="1"/>
          <c:tx>
            <c:v>PCMe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51th_Scenario base_3 SE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base_3 SE '!$N$2:$N$25</c:f>
              <c:numCache>
                <c:formatCode>General</c:formatCode>
                <c:ptCount val="24"/>
                <c:pt idx="0">
                  <c:v>-391.73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-242.6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7-4708-B949-8D5B47C7C4BD}"/>
            </c:ext>
          </c:extLst>
        </c:ser>
        <c:ser>
          <c:idx val="3"/>
          <c:order val="3"/>
          <c:tx>
            <c:v>Battery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'DAY 51th_Scenario base_3 SE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51th_Scenario base_3 SE '!$L$2:$L$25</c:f>
              <c:numCache>
                <c:formatCode>General</c:formatCode>
                <c:ptCount val="24"/>
                <c:pt idx="0">
                  <c:v>3198</c:v>
                </c:pt>
                <c:pt idx="1">
                  <c:v>2802.872711700732</c:v>
                </c:pt>
                <c:pt idx="2">
                  <c:v>2042.5339398771885</c:v>
                </c:pt>
                <c:pt idx="3">
                  <c:v>1268.7063390779203</c:v>
                </c:pt>
                <c:pt idx="4">
                  <c:v>496.91725475437693</c:v>
                </c:pt>
                <c:pt idx="5">
                  <c:v>498.9</c:v>
                </c:pt>
                <c:pt idx="6">
                  <c:v>498.9</c:v>
                </c:pt>
                <c:pt idx="7">
                  <c:v>498.9</c:v>
                </c:pt>
                <c:pt idx="8">
                  <c:v>498.9</c:v>
                </c:pt>
                <c:pt idx="9">
                  <c:v>976.39126111273265</c:v>
                </c:pt>
                <c:pt idx="10">
                  <c:v>2080.3515634277478</c:v>
                </c:pt>
                <c:pt idx="11">
                  <c:v>2805.5966510791527</c:v>
                </c:pt>
                <c:pt idx="12">
                  <c:v>3666.2838020246459</c:v>
                </c:pt>
                <c:pt idx="13">
                  <c:v>4090.1286338454752</c:v>
                </c:pt>
                <c:pt idx="14">
                  <c:v>4622.3089534781539</c:v>
                </c:pt>
                <c:pt idx="15">
                  <c:v>5174.0689555989538</c:v>
                </c:pt>
                <c:pt idx="16">
                  <c:v>5174.0690000000004</c:v>
                </c:pt>
                <c:pt idx="17">
                  <c:v>5174.0690000000004</c:v>
                </c:pt>
                <c:pt idx="18">
                  <c:v>4836.5522437552945</c:v>
                </c:pt>
                <c:pt idx="19">
                  <c:v>4370.9522151632164</c:v>
                </c:pt>
                <c:pt idx="20">
                  <c:v>3858.2101854159669</c:v>
                </c:pt>
                <c:pt idx="21">
                  <c:v>3349.4641411805278</c:v>
                </c:pt>
                <c:pt idx="22">
                  <c:v>3198</c:v>
                </c:pt>
                <c:pt idx="23">
                  <c:v>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7-4708-B949-8D5B47C7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11823"/>
        <c:axId val="15870945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STORAGE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'DAY 51th_Scenario base_3 SE '!$H$2:$H$25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'DAY 51th_Scenario base_3 SE '!$L$2:$L$25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3198</c:v>
                      </c:pt>
                      <c:pt idx="1">
                        <c:v>2802.872711700732</c:v>
                      </c:pt>
                      <c:pt idx="2">
                        <c:v>2042.5339398771885</c:v>
                      </c:pt>
                      <c:pt idx="3">
                        <c:v>1268.7063390779203</c:v>
                      </c:pt>
                      <c:pt idx="4">
                        <c:v>496.91725475437693</c:v>
                      </c:pt>
                      <c:pt idx="5">
                        <c:v>498.9</c:v>
                      </c:pt>
                      <c:pt idx="6">
                        <c:v>498.9</c:v>
                      </c:pt>
                      <c:pt idx="7">
                        <c:v>498.9</c:v>
                      </c:pt>
                      <c:pt idx="8">
                        <c:v>498.9</c:v>
                      </c:pt>
                      <c:pt idx="9">
                        <c:v>976.39126111273265</c:v>
                      </c:pt>
                      <c:pt idx="10">
                        <c:v>2080.3515634277478</c:v>
                      </c:pt>
                      <c:pt idx="11">
                        <c:v>2805.5966510791527</c:v>
                      </c:pt>
                      <c:pt idx="12">
                        <c:v>3666.2838020246459</c:v>
                      </c:pt>
                      <c:pt idx="13">
                        <c:v>4090.1286338454752</c:v>
                      </c:pt>
                      <c:pt idx="14">
                        <c:v>4622.3089534781539</c:v>
                      </c:pt>
                      <c:pt idx="15">
                        <c:v>5174.0689555989538</c:v>
                      </c:pt>
                      <c:pt idx="16">
                        <c:v>5174.0690000000004</c:v>
                      </c:pt>
                      <c:pt idx="17">
                        <c:v>5174.0690000000004</c:v>
                      </c:pt>
                      <c:pt idx="18">
                        <c:v>4836.5522437552945</c:v>
                      </c:pt>
                      <c:pt idx="19">
                        <c:v>4370.9522151632164</c:v>
                      </c:pt>
                      <c:pt idx="20">
                        <c:v>3858.2101854159669</c:v>
                      </c:pt>
                      <c:pt idx="21">
                        <c:v>3349.4641411805278</c:v>
                      </c:pt>
                      <c:pt idx="22">
                        <c:v>3198</c:v>
                      </c:pt>
                      <c:pt idx="23">
                        <c:v>3198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927-4708-B949-8D5B47C7C4BD}"/>
                  </c:ext>
                </c:extLst>
              </c15:ser>
            </c15:filteredScatterSeries>
          </c:ext>
        </c:extLst>
      </c:scatterChart>
      <c:valAx>
        <c:axId val="158711182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Hours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94543"/>
        <c:crosses val="autoZero"/>
        <c:crossBetween val="midCat"/>
        <c:majorUnit val="1"/>
      </c:valAx>
      <c:valAx>
        <c:axId val="1587094543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33</xdr:row>
      <xdr:rowOff>106680</xdr:rowOff>
    </xdr:from>
    <xdr:to>
      <xdr:col>12</xdr:col>
      <xdr:colOff>15240</xdr:colOff>
      <xdr:row>33</xdr:row>
      <xdr:rowOff>106680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95DE7BA6-04CA-BE76-A359-5526A226807A}"/>
            </a:ext>
          </a:extLst>
        </xdr:cNvPr>
        <xdr:cNvCxnSpPr/>
      </xdr:nvCxnSpPr>
      <xdr:spPr>
        <a:xfrm>
          <a:off x="7033260" y="6141720"/>
          <a:ext cx="6096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32</xdr:row>
      <xdr:rowOff>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F03F10E0-02B5-4FF0-BF8F-8D405D1C70D2}"/>
            </a:ext>
          </a:extLst>
        </xdr:cNvPr>
        <xdr:cNvCxnSpPr/>
      </xdr:nvCxnSpPr>
      <xdr:spPr>
        <a:xfrm>
          <a:off x="7018020" y="5852160"/>
          <a:ext cx="6096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1470423</xdr:colOff>
      <xdr:row>14</xdr:row>
      <xdr:rowOff>0</xdr:rowOff>
    </xdr:from>
    <xdr:to>
      <xdr:col>10</xdr:col>
      <xdr:colOff>571501</xdr:colOff>
      <xdr:row>30</xdr:row>
      <xdr:rowOff>64293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F2059B2-A8EF-4F49-850F-54ADD8CCE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935935</xdr:colOff>
      <xdr:row>15</xdr:row>
      <xdr:rowOff>74544</xdr:rowOff>
    </xdr:from>
    <xdr:to>
      <xdr:col>10</xdr:col>
      <xdr:colOff>57978</xdr:colOff>
      <xdr:row>22</xdr:row>
      <xdr:rowOff>182218</xdr:rowOff>
    </xdr:to>
    <xdr:cxnSp macro="">
      <xdr:nvCxnSpPr>
        <xdr:cNvPr id="3" name="Straight Connector 15">
          <a:extLst>
            <a:ext uri="{FF2B5EF4-FFF2-40B4-BE49-F238E27FC236}">
              <a16:creationId xmlns:a16="http://schemas.microsoft.com/office/drawing/2014/main" id="{76688B32-CA75-4206-B7D2-DC9A2BA37426}"/>
            </a:ext>
          </a:extLst>
        </xdr:cNvPr>
        <xdr:cNvCxnSpPr/>
      </xdr:nvCxnSpPr>
      <xdr:spPr>
        <a:xfrm flipH="1" flipV="1">
          <a:off x="7672015" y="3000624"/>
          <a:ext cx="1552823" cy="138783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500063</xdr:colOff>
      <xdr:row>23</xdr:row>
      <xdr:rowOff>130970</xdr:rowOff>
    </xdr:from>
    <xdr:ext cx="1234056" cy="264560"/>
    <xdr:sp macro="" textlink="">
      <xdr:nvSpPr>
        <xdr:cNvPr id="4" name="TextBox 16">
          <a:extLst>
            <a:ext uri="{FF2B5EF4-FFF2-40B4-BE49-F238E27FC236}">
              <a16:creationId xmlns:a16="http://schemas.microsoft.com/office/drawing/2014/main" id="{6F155F53-7197-4CE3-9387-142373CB2611}"/>
            </a:ext>
          </a:extLst>
        </xdr:cNvPr>
        <xdr:cNvSpPr txBox="1"/>
      </xdr:nvSpPr>
      <xdr:spPr>
        <a:xfrm>
          <a:off x="8904923" y="4520090"/>
          <a:ext cx="12340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Same Capital</a:t>
          </a:r>
          <a:r>
            <a:rPr lang="en-US" sz="1100" b="1" baseline="0"/>
            <a:t> Cost</a:t>
          </a:r>
        </a:p>
      </xdr:txBody>
    </xdr:sp>
    <xdr:clientData/>
  </xdr:oneCellAnchor>
  <xdr:oneCellAnchor>
    <xdr:from>
      <xdr:col>7</xdr:col>
      <xdr:colOff>409849</xdr:colOff>
      <xdr:row>13</xdr:row>
      <xdr:rowOff>110437</xdr:rowOff>
    </xdr:from>
    <xdr:ext cx="436786" cy="1173363"/>
    <xdr:sp macro="" textlink="">
      <xdr:nvSpPr>
        <xdr:cNvPr id="5" name="TextBox 17">
          <a:extLst>
            <a:ext uri="{FF2B5EF4-FFF2-40B4-BE49-F238E27FC236}">
              <a16:creationId xmlns:a16="http://schemas.microsoft.com/office/drawing/2014/main" id="{D9EE6D26-7484-4E2E-94F6-570861C4087B}"/>
            </a:ext>
          </a:extLst>
        </xdr:cNvPr>
        <xdr:cNvSpPr txBox="1"/>
      </xdr:nvSpPr>
      <xdr:spPr>
        <a:xfrm rot="2814149">
          <a:off x="6777640" y="3023806"/>
          <a:ext cx="117336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10% investment increase </a:t>
          </a:r>
        </a:p>
      </xdr:txBody>
    </xdr:sp>
    <xdr:clientData/>
  </xdr:oneCellAnchor>
  <xdr:oneCellAnchor>
    <xdr:from>
      <xdr:col>6</xdr:col>
      <xdr:colOff>483767</xdr:colOff>
      <xdr:row>15</xdr:row>
      <xdr:rowOff>135351</xdr:rowOff>
    </xdr:from>
    <xdr:ext cx="436786" cy="1315952"/>
    <xdr:sp macro="" textlink="">
      <xdr:nvSpPr>
        <xdr:cNvPr id="6" name="TextBox 22">
          <a:extLst>
            <a:ext uri="{FF2B5EF4-FFF2-40B4-BE49-F238E27FC236}">
              <a16:creationId xmlns:a16="http://schemas.microsoft.com/office/drawing/2014/main" id="{DA19216F-BA68-4775-B668-9530A5900EE5}"/>
            </a:ext>
          </a:extLst>
        </xdr:cNvPr>
        <xdr:cNvSpPr txBox="1"/>
      </xdr:nvSpPr>
      <xdr:spPr>
        <a:xfrm rot="2831378">
          <a:off x="6170664" y="3501014"/>
          <a:ext cx="131595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10% investment decrease</a:t>
          </a:r>
        </a:p>
      </xdr:txBody>
    </xdr:sp>
    <xdr:clientData/>
  </xdr:oneCellAnchor>
  <xdr:twoCellAnchor>
    <xdr:from>
      <xdr:col>7</xdr:col>
      <xdr:colOff>231914</xdr:colOff>
      <xdr:row>17</xdr:row>
      <xdr:rowOff>91109</xdr:rowOff>
    </xdr:from>
    <xdr:to>
      <xdr:col>9</xdr:col>
      <xdr:colOff>99392</xdr:colOff>
      <xdr:row>25</xdr:row>
      <xdr:rowOff>8283</xdr:rowOff>
    </xdr:to>
    <xdr:cxnSp macro="">
      <xdr:nvCxnSpPr>
        <xdr:cNvPr id="7" name="Straight Connector 13">
          <a:extLst>
            <a:ext uri="{FF2B5EF4-FFF2-40B4-BE49-F238E27FC236}">
              <a16:creationId xmlns:a16="http://schemas.microsoft.com/office/drawing/2014/main" id="{9DA5F711-C431-40B7-9BC4-635B699A22D8}"/>
            </a:ext>
          </a:extLst>
        </xdr:cNvPr>
        <xdr:cNvCxnSpPr/>
      </xdr:nvCxnSpPr>
      <xdr:spPr>
        <a:xfrm flipH="1" flipV="1">
          <a:off x="6967994" y="3382949"/>
          <a:ext cx="1536258" cy="138021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107675</xdr:colOff>
      <xdr:row>19</xdr:row>
      <xdr:rowOff>99392</xdr:rowOff>
    </xdr:from>
    <xdr:to>
      <xdr:col>8</xdr:col>
      <xdr:colOff>33131</xdr:colOff>
      <xdr:row>27</xdr:row>
      <xdr:rowOff>16566</xdr:rowOff>
    </xdr:to>
    <xdr:cxnSp macro="">
      <xdr:nvCxnSpPr>
        <xdr:cNvPr id="8" name="Straight Connector 14">
          <a:extLst>
            <a:ext uri="{FF2B5EF4-FFF2-40B4-BE49-F238E27FC236}">
              <a16:creationId xmlns:a16="http://schemas.microsoft.com/office/drawing/2014/main" id="{AB410731-E9C7-4A7B-B0B0-4EB4CE4B5B47}"/>
            </a:ext>
          </a:extLst>
        </xdr:cNvPr>
        <xdr:cNvCxnSpPr/>
      </xdr:nvCxnSpPr>
      <xdr:spPr>
        <a:xfrm flipH="1" flipV="1">
          <a:off x="6234155" y="3756992"/>
          <a:ext cx="1518036" cy="138021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280035</xdr:colOff>
      <xdr:row>22</xdr:row>
      <xdr:rowOff>9525</xdr:rowOff>
    </xdr:from>
    <xdr:to>
      <xdr:col>20</xdr:col>
      <xdr:colOff>558165</xdr:colOff>
      <xdr:row>42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8F3010-050D-4CDB-8D18-E502F0B2D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453390</xdr:colOff>
      <xdr:row>3</xdr:row>
      <xdr:rowOff>0</xdr:rowOff>
    </xdr:from>
    <xdr:to>
      <xdr:col>32</xdr:col>
      <xdr:colOff>331470</xdr:colOff>
      <xdr:row>23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D01F1C-E1E4-43FC-A3F5-FACE9F87A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</xdr:colOff>
      <xdr:row>2</xdr:row>
      <xdr:rowOff>20955</xdr:rowOff>
    </xdr:from>
    <xdr:to>
      <xdr:col>28</xdr:col>
      <xdr:colOff>1729740</xdr:colOff>
      <xdr:row>23</xdr:row>
      <xdr:rowOff>1905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E366B5-B5C6-4DA7-BAC7-2FA31082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403859</xdr:colOff>
      <xdr:row>3</xdr:row>
      <xdr:rowOff>118110</xdr:rowOff>
    </xdr:from>
    <xdr:to>
      <xdr:col>34</xdr:col>
      <xdr:colOff>55244</xdr:colOff>
      <xdr:row>25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B9C13-D38B-450B-9705-9B86C39F1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</xdr:row>
      <xdr:rowOff>0</xdr:rowOff>
    </xdr:from>
    <xdr:to>
      <xdr:col>43</xdr:col>
      <xdr:colOff>375285</xdr:colOff>
      <xdr:row>25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FC5F00-EC2D-428A-A531-10139C80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572385</xdr:colOff>
      <xdr:row>10</xdr:row>
      <xdr:rowOff>161925</xdr:rowOff>
    </xdr:from>
    <xdr:to>
      <xdr:col>45</xdr:col>
      <xdr:colOff>64360</xdr:colOff>
      <xdr:row>34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28CDD1-24E4-4AD3-B9AE-C83C2B0A4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lla.ferruzzi\AppData\Local\Microsoft\Windows\INetCache\Content.Outlook\SUZ11AXW\Scenarios_250130_New%20scenario%20method2.xlsx" TargetMode="External"/><Relationship Id="rId1" Type="http://schemas.openxmlformats.org/officeDocument/2006/relationships/externalLinkPath" Target="/Users/gabriella.ferruzzi/AppData/Local/Microsoft/Windows/INetCache/Content.Outlook/SUZ11AXW/Scenarios_250130_New%20scenario%20metho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hnology Parameters"/>
      <sheetName val="New scenarios"/>
    </sheetNames>
    <sheetDataSet>
      <sheetData sheetId="0" refreshError="1">
        <row r="2">
          <cell r="B2">
            <v>50</v>
          </cell>
          <cell r="C2">
            <v>82</v>
          </cell>
          <cell r="D2">
            <v>50</v>
          </cell>
        </row>
        <row r="3">
          <cell r="B3">
            <v>286.125</v>
          </cell>
          <cell r="C3">
            <v>82</v>
          </cell>
          <cell r="D3">
            <v>205</v>
          </cell>
        </row>
        <row r="5">
          <cell r="B5">
            <v>0.57225000000000004</v>
          </cell>
          <cell r="C5">
            <v>0.41000000000000003</v>
          </cell>
          <cell r="D5">
            <v>0.61499999999999999</v>
          </cell>
        </row>
        <row r="7">
          <cell r="B7">
            <v>57225</v>
          </cell>
          <cell r="C7">
            <v>28700</v>
          </cell>
          <cell r="D7">
            <v>17015</v>
          </cell>
        </row>
      </sheetData>
      <sheetData sheetId="1" refreshError="1">
        <row r="2">
          <cell r="C2" t="str">
            <v>NESS_BAT</v>
          </cell>
        </row>
        <row r="3">
          <cell r="C3">
            <v>83</v>
          </cell>
          <cell r="D3">
            <v>28</v>
          </cell>
        </row>
        <row r="4">
          <cell r="C4">
            <v>88</v>
          </cell>
          <cell r="D4">
            <v>20</v>
          </cell>
        </row>
        <row r="5">
          <cell r="C5">
            <v>78</v>
          </cell>
          <cell r="D5">
            <v>36</v>
          </cell>
        </row>
        <row r="6">
          <cell r="C6">
            <v>90</v>
          </cell>
          <cell r="D6">
            <v>36</v>
          </cell>
        </row>
        <row r="7">
          <cell r="C7">
            <v>95</v>
          </cell>
          <cell r="D7">
            <v>28</v>
          </cell>
        </row>
        <row r="8">
          <cell r="C8">
            <v>85</v>
          </cell>
          <cell r="D8">
            <v>44</v>
          </cell>
        </row>
        <row r="9">
          <cell r="C9">
            <v>75</v>
          </cell>
          <cell r="D9">
            <v>22</v>
          </cell>
        </row>
        <row r="10">
          <cell r="C10">
            <v>80</v>
          </cell>
          <cell r="D10">
            <v>13</v>
          </cell>
        </row>
        <row r="11">
          <cell r="C11">
            <v>70</v>
          </cell>
          <cell r="D11">
            <v>30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briella Ferruzzi" id="{0109138F-77BD-4033-9EAC-E333C40B1891}" userId="S::gabriella.ferruzzi@enea.it::049e4043-6606-40e5-863e-f3cd9faf8f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5-02-14T15:23:54.55" personId="{0109138F-77BD-4033-9EAC-E333C40B1891}" id="{08E735C9-2799-43A9-A259-A9DA862C46EE}">
    <text>I have changed this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AFC3-3307-4985-81C4-1D2143A077A6}">
  <dimension ref="A1:N34"/>
  <sheetViews>
    <sheetView workbookViewId="0">
      <selection activeCell="D39" sqref="D39"/>
    </sheetView>
  </sheetViews>
  <sheetFormatPr defaultRowHeight="15" x14ac:dyDescent="0.25"/>
  <cols>
    <col min="1" max="1" width="22.5703125" customWidth="1"/>
    <col min="7" max="7" width="13.7109375" customWidth="1"/>
  </cols>
  <sheetData>
    <row r="1" spans="1:9" x14ac:dyDescent="0.25">
      <c r="A1" s="2"/>
      <c r="B1" s="2" t="s">
        <v>0</v>
      </c>
      <c r="C1" s="2" t="s">
        <v>30</v>
      </c>
      <c r="D1" s="2" t="s">
        <v>2</v>
      </c>
      <c r="G1" s="2"/>
      <c r="H1" s="2" t="s">
        <v>31</v>
      </c>
      <c r="I1" s="2" t="s">
        <v>32</v>
      </c>
    </row>
    <row r="2" spans="1:9" x14ac:dyDescent="0.25">
      <c r="A2" s="2" t="s">
        <v>33</v>
      </c>
      <c r="B2" s="2">
        <v>50</v>
      </c>
      <c r="C2" s="2">
        <v>82</v>
      </c>
      <c r="D2" s="8">
        <v>50</v>
      </c>
      <c r="G2" s="2" t="s">
        <v>34</v>
      </c>
      <c r="H2" s="2">
        <v>2500</v>
      </c>
      <c r="I2" s="2">
        <v>2000</v>
      </c>
    </row>
    <row r="3" spans="1:9" x14ac:dyDescent="0.25">
      <c r="A3" s="2" t="s">
        <v>35</v>
      </c>
      <c r="B3" s="2">
        <v>286.125</v>
      </c>
      <c r="C3" s="2">
        <v>82</v>
      </c>
      <c r="D3" s="8">
        <v>205</v>
      </c>
      <c r="G3" s="2" t="s">
        <v>36</v>
      </c>
      <c r="H3" s="2">
        <v>1.2E-2</v>
      </c>
      <c r="I3" s="2">
        <v>0.01</v>
      </c>
    </row>
    <row r="4" spans="1:9" x14ac:dyDescent="0.25">
      <c r="A4" s="13" t="s">
        <v>37</v>
      </c>
      <c r="B4" s="16">
        <v>1.0999999999999999E-2</v>
      </c>
      <c r="C4" s="16">
        <v>2E-3</v>
      </c>
      <c r="D4" s="14">
        <v>3.0000000000000001E-3</v>
      </c>
      <c r="E4" s="15"/>
      <c r="F4" s="15"/>
      <c r="G4" s="15"/>
      <c r="H4" s="15"/>
      <c r="I4" s="15"/>
    </row>
    <row r="5" spans="1:9" x14ac:dyDescent="0.25">
      <c r="A5" s="2" t="s">
        <v>38</v>
      </c>
      <c r="B5" s="2">
        <f>B3*B4</f>
        <v>3.1473749999999998</v>
      </c>
      <c r="C5" s="2">
        <f>C4*C3</f>
        <v>0.16400000000000001</v>
      </c>
      <c r="D5" s="8">
        <f>D4*D3</f>
        <v>0.61499999999999999</v>
      </c>
    </row>
    <row r="6" spans="1:9" x14ac:dyDescent="0.25">
      <c r="A6" s="13" t="s">
        <v>39</v>
      </c>
      <c r="B6" s="13">
        <v>200</v>
      </c>
      <c r="C6" s="13">
        <v>350</v>
      </c>
      <c r="D6" s="14">
        <v>83</v>
      </c>
      <c r="E6" s="15"/>
      <c r="F6" s="15"/>
      <c r="G6" s="15"/>
      <c r="H6" s="15"/>
      <c r="I6" s="15"/>
    </row>
    <row r="7" spans="1:9" x14ac:dyDescent="0.25">
      <c r="A7" s="2" t="s">
        <v>40</v>
      </c>
      <c r="B7" s="2">
        <f>B6*B3</f>
        <v>57225</v>
      </c>
      <c r="C7" s="2">
        <f>C6*C3</f>
        <v>28700</v>
      </c>
      <c r="D7" s="8">
        <f>D6*D3</f>
        <v>17015</v>
      </c>
    </row>
    <row r="14" spans="1:9" x14ac:dyDescent="0.25">
      <c r="A14" t="s">
        <v>41</v>
      </c>
    </row>
    <row r="15" spans="1:9" x14ac:dyDescent="0.25">
      <c r="A15" s="18" t="s">
        <v>0</v>
      </c>
    </row>
    <row r="16" spans="1:9" x14ac:dyDescent="0.25">
      <c r="A16" s="17" t="s">
        <v>44</v>
      </c>
      <c r="B16">
        <v>450</v>
      </c>
      <c r="C16" t="s">
        <v>45</v>
      </c>
    </row>
    <row r="17" spans="1:6" x14ac:dyDescent="0.25">
      <c r="A17" s="17" t="s">
        <v>46</v>
      </c>
      <c r="B17" t="s">
        <v>47</v>
      </c>
    </row>
    <row r="18" spans="1:6" x14ac:dyDescent="0.25">
      <c r="A18" s="17" t="s">
        <v>48</v>
      </c>
      <c r="B18">
        <v>600</v>
      </c>
      <c r="C18" t="s">
        <v>45</v>
      </c>
    </row>
    <row r="19" spans="1:6" x14ac:dyDescent="0.25">
      <c r="A19" s="17" t="s">
        <v>49</v>
      </c>
      <c r="B19">
        <v>2575</v>
      </c>
      <c r="C19" t="s">
        <v>50</v>
      </c>
    </row>
    <row r="20" spans="1:6" x14ac:dyDescent="0.25">
      <c r="A20" s="17" t="s">
        <v>42</v>
      </c>
      <c r="B20">
        <v>5</v>
      </c>
      <c r="C20" t="s">
        <v>43</v>
      </c>
    </row>
    <row r="21" spans="1:6" x14ac:dyDescent="0.25">
      <c r="A21" s="17" t="s">
        <v>51</v>
      </c>
      <c r="B21">
        <v>6</v>
      </c>
      <c r="C21" t="s">
        <v>43</v>
      </c>
    </row>
    <row r="22" spans="1:6" x14ac:dyDescent="0.25">
      <c r="A22" s="17" t="s">
        <v>52</v>
      </c>
      <c r="B22">
        <v>1.0999999999999999E-2</v>
      </c>
      <c r="C22" t="s">
        <v>69</v>
      </c>
    </row>
    <row r="24" spans="1:6" x14ac:dyDescent="0.25">
      <c r="A24" s="18" t="s">
        <v>53</v>
      </c>
      <c r="F24">
        <f>2/1000</f>
        <v>2E-3</v>
      </c>
    </row>
    <row r="25" spans="1:6" x14ac:dyDescent="0.25">
      <c r="A25" s="17" t="s">
        <v>44</v>
      </c>
      <c r="B25">
        <v>6806</v>
      </c>
      <c r="C25" t="s">
        <v>45</v>
      </c>
    </row>
    <row r="26" spans="1:6" x14ac:dyDescent="0.25">
      <c r="A26" s="17" t="s">
        <v>46</v>
      </c>
      <c r="B26" t="s">
        <v>66</v>
      </c>
    </row>
    <row r="27" spans="1:6" x14ac:dyDescent="0.25">
      <c r="A27" s="17" t="s">
        <v>49</v>
      </c>
      <c r="B27">
        <v>6806</v>
      </c>
      <c r="C27" t="s">
        <v>50</v>
      </c>
      <c r="D27">
        <v>2090</v>
      </c>
    </row>
    <row r="28" spans="1:6" x14ac:dyDescent="0.25">
      <c r="A28" s="17" t="s">
        <v>42</v>
      </c>
      <c r="B28">
        <v>1</v>
      </c>
      <c r="C28" t="s">
        <v>54</v>
      </c>
    </row>
    <row r="29" spans="1:6" x14ac:dyDescent="0.25">
      <c r="A29" s="17" t="s">
        <v>51</v>
      </c>
      <c r="B29">
        <v>1</v>
      </c>
      <c r="C29" t="s">
        <v>54</v>
      </c>
    </row>
    <row r="30" spans="1:6" x14ac:dyDescent="0.25">
      <c r="A30" s="17" t="s">
        <v>52</v>
      </c>
      <c r="B30">
        <v>2E-3</v>
      </c>
      <c r="C30" t="s">
        <v>69</v>
      </c>
    </row>
    <row r="33" spans="1:14" x14ac:dyDescent="0.25">
      <c r="A33" s="17" t="s">
        <v>55</v>
      </c>
      <c r="D33" t="s">
        <v>56</v>
      </c>
      <c r="M33" t="s">
        <v>61</v>
      </c>
      <c r="N33" t="s">
        <v>62</v>
      </c>
    </row>
    <row r="34" spans="1:14" x14ac:dyDescent="0.25">
      <c r="A34" s="17" t="s">
        <v>57</v>
      </c>
      <c r="D34" t="s">
        <v>58</v>
      </c>
      <c r="M34" t="s">
        <v>59</v>
      </c>
      <c r="N34" t="s">
        <v>60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95CB-52FD-4248-9E59-12AEA454D857}">
  <dimension ref="A1:P32"/>
  <sheetViews>
    <sheetView workbookViewId="0">
      <selection activeCell="K16" sqref="K16"/>
    </sheetView>
  </sheetViews>
  <sheetFormatPr defaultRowHeight="15" x14ac:dyDescent="0.25"/>
  <cols>
    <col min="1" max="1" width="21" customWidth="1"/>
    <col min="2" max="2" width="19" customWidth="1"/>
    <col min="3" max="3" width="32.85546875" customWidth="1"/>
    <col min="4" max="4" width="16.7109375" customWidth="1"/>
    <col min="5" max="5" width="30.140625" customWidth="1"/>
    <col min="6" max="6" width="16.28515625" customWidth="1"/>
    <col min="7" max="7" width="11.5703125" customWidth="1"/>
    <col min="8" max="8" width="14.28515625" customWidth="1"/>
    <col min="9" max="9" width="13.140625" customWidth="1"/>
    <col min="10" max="10" width="16.5703125" customWidth="1"/>
    <col min="11" max="11" width="19" customWidth="1"/>
    <col min="12" max="12" width="35.5703125" customWidth="1"/>
  </cols>
  <sheetData>
    <row r="1" spans="1:16" ht="15.75" x14ac:dyDescent="0.25">
      <c r="A1" s="2"/>
      <c r="B1" s="2"/>
      <c r="C1" s="2"/>
      <c r="D1" s="2"/>
      <c r="E1" s="2"/>
      <c r="F1" s="21" t="s">
        <v>7</v>
      </c>
      <c r="G1" s="21"/>
      <c r="H1" s="21"/>
      <c r="I1" s="21" t="s">
        <v>8</v>
      </c>
      <c r="J1" s="21"/>
      <c r="K1" s="21"/>
      <c r="L1" s="2"/>
      <c r="M1" s="3"/>
    </row>
    <row r="2" spans="1:16" ht="15.75" x14ac:dyDescent="0.25">
      <c r="A2" s="4"/>
      <c r="B2" s="2" t="s">
        <v>9</v>
      </c>
      <c r="C2" s="5" t="s">
        <v>10</v>
      </c>
      <c r="D2" s="5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</row>
    <row r="3" spans="1:16" ht="15.75" x14ac:dyDescent="0.25">
      <c r="A3" s="2" t="s">
        <v>20</v>
      </c>
      <c r="B3" s="6">
        <v>9</v>
      </c>
      <c r="C3" s="2">
        <v>83</v>
      </c>
      <c r="D3" s="2">
        <v>28</v>
      </c>
      <c r="E3" s="7">
        <f>B3*'[1]Technology Parameters'!$B$7+C3*'[1]Technology Parameters'!$C$7+D3*'[1]Technology Parameters'!$D$7</f>
        <v>3373545</v>
      </c>
      <c r="F3" s="2">
        <f>B3*'[1]Technology Parameters'!$B$2</f>
        <v>450</v>
      </c>
      <c r="G3" s="2">
        <f>C3*'[1]Technology Parameters'!$C$2</f>
        <v>6806</v>
      </c>
      <c r="H3" s="8">
        <f>D3*'[1]Technology Parameters'!$D$2</f>
        <v>1400</v>
      </c>
      <c r="I3" s="2">
        <f>B3*'[1]Technology Parameters'!$B$3</f>
        <v>2575.125</v>
      </c>
      <c r="J3" s="2">
        <f>C3*'[1]Technology Parameters'!$C$3</f>
        <v>6806</v>
      </c>
      <c r="K3" s="2">
        <f>D3*'[1]Technology Parameters'!$D$3</f>
        <v>5740</v>
      </c>
      <c r="L3" s="6">
        <f>C3*'[1]Technology Parameters'!$C$5+B3*'[1]Technology Parameters'!$B$5+D3*'[1]Technology Parameters'!$D$5</f>
        <v>56.40025</v>
      </c>
      <c r="P3">
        <f>450/9</f>
        <v>50</v>
      </c>
    </row>
    <row r="4" spans="1:16" ht="15.75" x14ac:dyDescent="0.25">
      <c r="A4" s="2" t="s">
        <v>21</v>
      </c>
      <c r="B4" s="6">
        <v>9</v>
      </c>
      <c r="C4" s="2">
        <v>88</v>
      </c>
      <c r="D4" s="2">
        <f>ROUND(($E$3-C4*'[1]Technology Parameters'!$C$7-B4*'[1]Technology Parameters'!$B$7)/'[1]Technology Parameters'!$D$7,0)</f>
        <v>20</v>
      </c>
      <c r="E4" s="7">
        <f>B4*'[1]Technology Parameters'!$B$7+C4*'[1]Technology Parameters'!$C$7+D4*'[1]Technology Parameters'!$D$7</f>
        <v>3380925</v>
      </c>
      <c r="F4" s="2">
        <f>B4*'[1]Technology Parameters'!$B$2</f>
        <v>450</v>
      </c>
      <c r="G4" s="2">
        <f>C4*'[1]Technology Parameters'!$C$2</f>
        <v>7216</v>
      </c>
      <c r="H4" s="8">
        <f>D4*'[1]Technology Parameters'!$D$2</f>
        <v>1000</v>
      </c>
      <c r="I4" s="2">
        <f>B4*'[1]Technology Parameters'!$B$3</f>
        <v>2575.125</v>
      </c>
      <c r="J4" s="2">
        <f>C4*'[1]Technology Parameters'!$C$3</f>
        <v>7216</v>
      </c>
      <c r="K4" s="2">
        <f>D4*'[1]Technology Parameters'!$D$3</f>
        <v>4100</v>
      </c>
      <c r="L4" s="6">
        <f>C4*'[1]Technology Parameters'!$C$5+B4*'[1]Technology Parameters'!$B$5+D4*'[1]Technology Parameters'!$D$5</f>
        <v>53.530250000000009</v>
      </c>
      <c r="O4">
        <f>5740/2</f>
        <v>2870</v>
      </c>
    </row>
    <row r="5" spans="1:16" ht="15.75" x14ac:dyDescent="0.25">
      <c r="A5" s="2" t="s">
        <v>22</v>
      </c>
      <c r="B5" s="6">
        <v>9</v>
      </c>
      <c r="C5" s="2">
        <v>78</v>
      </c>
      <c r="D5" s="2">
        <f>ROUND(($E$3-C5*'[1]Technology Parameters'!$C$7-B5*'[1]Technology Parameters'!$B$7)/'[1]Technology Parameters'!$D$7,0)</f>
        <v>36</v>
      </c>
      <c r="E5" s="7">
        <f>B5*'[1]Technology Parameters'!$B$7+C5*'[1]Technology Parameters'!$C$7+D5*'[1]Technology Parameters'!$D$7</f>
        <v>3366165</v>
      </c>
      <c r="F5" s="2">
        <f>B5*'[1]Technology Parameters'!$B$2</f>
        <v>450</v>
      </c>
      <c r="G5" s="2">
        <f>C5*'[1]Technology Parameters'!$C$2</f>
        <v>6396</v>
      </c>
      <c r="H5" s="8">
        <f>D5*'[1]Technology Parameters'!$D$2</f>
        <v>1800</v>
      </c>
      <c r="I5" s="2">
        <f>B5*'[1]Technology Parameters'!$B$3</f>
        <v>2575.125</v>
      </c>
      <c r="J5" s="2">
        <f>C5*'[1]Technology Parameters'!$C$3</f>
        <v>6396</v>
      </c>
      <c r="K5" s="2">
        <f>D5*'[1]Technology Parameters'!$D$3</f>
        <v>7380</v>
      </c>
      <c r="L5" s="6">
        <f>C5*'[1]Technology Parameters'!$C$5+B5*'[1]Technology Parameters'!$B$5+D5*'[1]Technology Parameters'!$D$5</f>
        <v>59.270250000000004</v>
      </c>
    </row>
    <row r="6" spans="1:16" ht="15.75" x14ac:dyDescent="0.25">
      <c r="A6" s="2" t="s">
        <v>23</v>
      </c>
      <c r="B6" s="6">
        <v>9</v>
      </c>
      <c r="C6" s="2">
        <v>90</v>
      </c>
      <c r="D6" s="2">
        <f>ROUND(($E$3*1.1-C6*'[1]Technology Parameters'!$C$7-B6*'[1]Technology Parameters'!$B$7)/'[1]Technology Parameters'!$D$7,0)</f>
        <v>36</v>
      </c>
      <c r="E6" s="7">
        <f>B6*'[1]Technology Parameters'!$B$7+C6*'[1]Technology Parameters'!$C$7+D6*'[1]Technology Parameters'!$D$7</f>
        <v>3710565</v>
      </c>
      <c r="F6" s="2">
        <f>B6*'[1]Technology Parameters'!$B$2</f>
        <v>450</v>
      </c>
      <c r="G6" s="2">
        <f>C6*'[1]Technology Parameters'!$C$2</f>
        <v>7380</v>
      </c>
      <c r="H6" s="8">
        <f>D6*'[1]Technology Parameters'!$D$2</f>
        <v>1800</v>
      </c>
      <c r="I6" s="2">
        <f>B6*'[1]Technology Parameters'!$B$3</f>
        <v>2575.125</v>
      </c>
      <c r="J6" s="2">
        <f>C6*'[1]Technology Parameters'!$C$3</f>
        <v>7380</v>
      </c>
      <c r="K6" s="2">
        <f>D6*'[1]Technology Parameters'!$D$3</f>
        <v>7380</v>
      </c>
      <c r="L6" s="6">
        <f>C6*'[1]Technology Parameters'!$C$5+B6*'[1]Technology Parameters'!$B$5+D6*'[1]Technology Parameters'!$D$5</f>
        <v>64.190250000000006</v>
      </c>
    </row>
    <row r="7" spans="1:16" ht="15.75" x14ac:dyDescent="0.25">
      <c r="A7" s="2" t="s">
        <v>24</v>
      </c>
      <c r="B7" s="6">
        <v>9</v>
      </c>
      <c r="C7" s="2">
        <v>95</v>
      </c>
      <c r="D7" s="2">
        <f>ROUND(($E$3*1.1-C7*'[1]Technology Parameters'!$C$7-B7*'[1]Technology Parameters'!$B$7)/'[1]Technology Parameters'!$D$7,0)</f>
        <v>28</v>
      </c>
      <c r="E7" s="7">
        <f>B7*'[1]Technology Parameters'!$B$7+C7*'[1]Technology Parameters'!$C$7+D7*'[1]Technology Parameters'!$D$7</f>
        <v>3717945</v>
      </c>
      <c r="F7" s="2">
        <f>B7*'[1]Technology Parameters'!$B$2</f>
        <v>450</v>
      </c>
      <c r="G7" s="2">
        <f>C7*'[1]Technology Parameters'!$C$2</f>
        <v>7790</v>
      </c>
      <c r="H7" s="8">
        <f>D7*'[1]Technology Parameters'!$D$2</f>
        <v>1400</v>
      </c>
      <c r="I7" s="2">
        <f>B7*'[1]Technology Parameters'!$B$3</f>
        <v>2575.125</v>
      </c>
      <c r="J7" s="2">
        <f>C7*'[1]Technology Parameters'!$C$3</f>
        <v>7790</v>
      </c>
      <c r="K7" s="2">
        <f>D7*'[1]Technology Parameters'!$D$3</f>
        <v>5740</v>
      </c>
      <c r="L7" s="6">
        <f>C7*'[1]Technology Parameters'!$C$5+B7*'[1]Technology Parameters'!$B$5+D7*'[1]Technology Parameters'!$D$5</f>
        <v>61.320250000000001</v>
      </c>
    </row>
    <row r="8" spans="1:16" ht="15.75" x14ac:dyDescent="0.25">
      <c r="A8" s="2" t="s">
        <v>25</v>
      </c>
      <c r="B8" s="6">
        <v>9</v>
      </c>
      <c r="C8" s="2">
        <v>85</v>
      </c>
      <c r="D8" s="2">
        <f>ROUND(($E$3*1.1-C8*'[1]Technology Parameters'!$C$7-B8*'[1]Technology Parameters'!$B$7)/'[1]Technology Parameters'!$D$7,0)</f>
        <v>44</v>
      </c>
      <c r="E8" s="7">
        <f>B8*'[1]Technology Parameters'!$B$7+C8*'[1]Technology Parameters'!$C$7+D8*'[1]Technology Parameters'!$D$7</f>
        <v>3703185</v>
      </c>
      <c r="F8" s="2">
        <f>B8*'[1]Technology Parameters'!$B$2</f>
        <v>450</v>
      </c>
      <c r="G8" s="2">
        <f>C8*'[1]Technology Parameters'!$C$2</f>
        <v>6970</v>
      </c>
      <c r="H8" s="8">
        <f>D8*'[1]Technology Parameters'!$D$2</f>
        <v>2200</v>
      </c>
      <c r="I8" s="2">
        <f>B8*'[1]Technology Parameters'!$B$3</f>
        <v>2575.125</v>
      </c>
      <c r="J8" s="2">
        <f>C8*'[1]Technology Parameters'!$C$3</f>
        <v>6970</v>
      </c>
      <c r="K8" s="2">
        <f>D8*'[1]Technology Parameters'!$D$3</f>
        <v>9020</v>
      </c>
      <c r="L8" s="6">
        <f>C8*'[1]Technology Parameters'!$C$5+B8*'[1]Technology Parameters'!$B$5+D8*'[1]Technology Parameters'!$D$5</f>
        <v>67.060249999999996</v>
      </c>
    </row>
    <row r="9" spans="1:16" ht="15.75" x14ac:dyDescent="0.25">
      <c r="A9" s="2" t="s">
        <v>26</v>
      </c>
      <c r="B9" s="6">
        <v>9</v>
      </c>
      <c r="C9" s="2">
        <v>75</v>
      </c>
      <c r="D9" s="2">
        <f>ROUND(($E$3*0.9-C9*'[1]Technology Parameters'!$C$7-B9*'[1]Technology Parameters'!$B$7)/'[1]Technology Parameters'!$D$7,0)</f>
        <v>22</v>
      </c>
      <c r="E9" s="7">
        <f>B9*'[1]Technology Parameters'!$B$7+C9*'[1]Technology Parameters'!$C$7+D9*'[1]Technology Parameters'!$D$7</f>
        <v>3041855</v>
      </c>
      <c r="F9" s="2">
        <f>B9*'[1]Technology Parameters'!$B$2</f>
        <v>450</v>
      </c>
      <c r="G9" s="2">
        <f>C9*'[1]Technology Parameters'!$C$2</f>
        <v>6150</v>
      </c>
      <c r="H9" s="8">
        <f>D9*'[1]Technology Parameters'!$D$2</f>
        <v>1100</v>
      </c>
      <c r="I9" s="2">
        <f>B9*'[1]Technology Parameters'!$B$3</f>
        <v>2575.125</v>
      </c>
      <c r="J9" s="2">
        <f>C9*'[1]Technology Parameters'!$C$3</f>
        <v>6150</v>
      </c>
      <c r="K9" s="2">
        <f>D9*'[1]Technology Parameters'!$D$3</f>
        <v>4510</v>
      </c>
      <c r="L9" s="6">
        <f>C9*'[1]Technology Parameters'!$C$5+B9*'[1]Technology Parameters'!$B$5+D9*'[1]Technology Parameters'!$D$5</f>
        <v>49.430250000000008</v>
      </c>
    </row>
    <row r="10" spans="1:16" ht="15.75" x14ac:dyDescent="0.25">
      <c r="A10" s="2" t="s">
        <v>27</v>
      </c>
      <c r="B10" s="6">
        <v>9</v>
      </c>
      <c r="C10" s="2">
        <v>80</v>
      </c>
      <c r="D10" s="2">
        <f>ROUND(($E$3*0.9-C10*'[1]Technology Parameters'!$C$7-B10*'[1]Technology Parameters'!$B$7)/'[1]Technology Parameters'!$D$7,0)</f>
        <v>13</v>
      </c>
      <c r="E10" s="7">
        <f>B10*'[1]Technology Parameters'!$B$7+C10*'[1]Technology Parameters'!$C$7+D10*'[1]Technology Parameters'!$D$7</f>
        <v>3032220</v>
      </c>
      <c r="F10" s="2">
        <f>B10*'[1]Technology Parameters'!$B$2</f>
        <v>450</v>
      </c>
      <c r="G10" s="2">
        <f>C10*'[1]Technology Parameters'!$C$2</f>
        <v>6560</v>
      </c>
      <c r="H10" s="8">
        <f>D10*'[1]Technology Parameters'!$D$2</f>
        <v>650</v>
      </c>
      <c r="I10" s="2">
        <f>B10*'[1]Technology Parameters'!$B$3</f>
        <v>2575.125</v>
      </c>
      <c r="J10" s="2">
        <f>C10*'[1]Technology Parameters'!$C$3</f>
        <v>6560</v>
      </c>
      <c r="K10" s="2">
        <f>D10*'[1]Technology Parameters'!$D$3</f>
        <v>2665</v>
      </c>
      <c r="L10" s="6">
        <f>C10*'[1]Technology Parameters'!$C$5+B10*'[1]Technology Parameters'!$B$5+D10*'[1]Technology Parameters'!$D$5</f>
        <v>45.945250000000001</v>
      </c>
    </row>
    <row r="11" spans="1:16" ht="15.75" x14ac:dyDescent="0.25">
      <c r="A11" s="2" t="s">
        <v>28</v>
      </c>
      <c r="B11" s="6">
        <v>9</v>
      </c>
      <c r="C11" s="2">
        <v>70</v>
      </c>
      <c r="D11" s="2">
        <f>ROUND(($E$3*0.9-C11*'[1]Technology Parameters'!$C$7-B11*'[1]Technology Parameters'!$B$7)/'[1]Technology Parameters'!$D$7,0)</f>
        <v>30</v>
      </c>
      <c r="E11" s="7">
        <f>B11*'[1]Technology Parameters'!$B$7+C11*'[1]Technology Parameters'!$C$7+D11*'[1]Technology Parameters'!$D$7</f>
        <v>3034475</v>
      </c>
      <c r="F11" s="2">
        <f>B11*'[1]Technology Parameters'!$B$2</f>
        <v>450</v>
      </c>
      <c r="G11" s="2">
        <f>C11*'[1]Technology Parameters'!$C$2</f>
        <v>5740</v>
      </c>
      <c r="H11" s="8">
        <f>D11*'[1]Technology Parameters'!$D$2</f>
        <v>1500</v>
      </c>
      <c r="I11" s="2">
        <f>B11*'[1]Technology Parameters'!$B$3</f>
        <v>2575.125</v>
      </c>
      <c r="J11" s="2">
        <f>C11*'[1]Technology Parameters'!$C$3</f>
        <v>5740</v>
      </c>
      <c r="K11" s="2">
        <f>D11*'[1]Technology Parameters'!$D$3</f>
        <v>6150</v>
      </c>
      <c r="L11" s="6">
        <f>C11*'[1]Technology Parameters'!$C$5+B11*'[1]Technology Parameters'!$B$5+D11*'[1]Technology Parameters'!$D$5</f>
        <v>52.300250000000005</v>
      </c>
    </row>
    <row r="12" spans="1:16" x14ac:dyDescent="0.25">
      <c r="I12" s="9"/>
    </row>
    <row r="13" spans="1:16" x14ac:dyDescent="0.25">
      <c r="I13" s="9"/>
    </row>
    <row r="14" spans="1:16" ht="15.75" x14ac:dyDescent="0.25">
      <c r="H14" s="3"/>
      <c r="I14" s="9"/>
    </row>
    <row r="15" spans="1:16" x14ac:dyDescent="0.25">
      <c r="I15" s="10"/>
      <c r="K15">
        <f>7216*0.8</f>
        <v>5772.8</v>
      </c>
    </row>
    <row r="16" spans="1:16" x14ac:dyDescent="0.25">
      <c r="A16" s="11" t="str">
        <f t="shared" ref="A16:A24" si="0">A3</f>
        <v>Scenario_Base_1</v>
      </c>
      <c r="C16" s="12">
        <f t="shared" ref="C16:D24" si="1">C3-C$3</f>
        <v>0</v>
      </c>
      <c r="D16" s="12">
        <f t="shared" si="1"/>
        <v>0</v>
      </c>
      <c r="I16" s="10"/>
    </row>
    <row r="17" spans="1:16" x14ac:dyDescent="0.25">
      <c r="A17" s="11" t="str">
        <f t="shared" si="0"/>
        <v>Scenario_Base_2</v>
      </c>
      <c r="C17" s="12">
        <f t="shared" si="1"/>
        <v>5</v>
      </c>
      <c r="D17" s="12">
        <f t="shared" si="1"/>
        <v>-8</v>
      </c>
      <c r="I17" s="10"/>
      <c r="L17">
        <f>+L3/E3</f>
        <v>1.6718392670025152E-5</v>
      </c>
    </row>
    <row r="18" spans="1:16" x14ac:dyDescent="0.25">
      <c r="A18" s="11" t="str">
        <f t="shared" si="0"/>
        <v>Scenario_Base_3</v>
      </c>
      <c r="C18" s="12">
        <f t="shared" si="1"/>
        <v>-5</v>
      </c>
      <c r="D18" s="12">
        <f t="shared" si="1"/>
        <v>8</v>
      </c>
      <c r="I18" s="10"/>
      <c r="O18">
        <f>+K3/2</f>
        <v>2870</v>
      </c>
      <c r="P18">
        <f>2870-32.5</f>
        <v>2837.5</v>
      </c>
    </row>
    <row r="19" spans="1:16" x14ac:dyDescent="0.25">
      <c r="A19" s="11" t="str">
        <f t="shared" si="0"/>
        <v>Scenario_UpperCost_1</v>
      </c>
      <c r="C19" s="12">
        <f t="shared" si="1"/>
        <v>7</v>
      </c>
      <c r="D19" s="12">
        <f t="shared" si="1"/>
        <v>8</v>
      </c>
      <c r="I19" s="10"/>
      <c r="P19">
        <f>+P18*0.25</f>
        <v>709.375</v>
      </c>
    </row>
    <row r="20" spans="1:16" x14ac:dyDescent="0.25">
      <c r="A20" s="11" t="str">
        <f t="shared" si="0"/>
        <v>Scenario_UpperCost_2</v>
      </c>
      <c r="C20" s="12">
        <f t="shared" si="1"/>
        <v>12</v>
      </c>
      <c r="D20" s="12">
        <f t="shared" si="1"/>
        <v>0</v>
      </c>
      <c r="I20" s="10"/>
    </row>
    <row r="21" spans="1:16" x14ac:dyDescent="0.25">
      <c r="A21" s="11" t="str">
        <f t="shared" si="0"/>
        <v>Scenario_UpperCost_3</v>
      </c>
      <c r="C21" s="12">
        <f t="shared" si="1"/>
        <v>2</v>
      </c>
      <c r="D21" s="12">
        <f t="shared" si="1"/>
        <v>16</v>
      </c>
      <c r="L21">
        <f>6396*0.8</f>
        <v>5116.8</v>
      </c>
    </row>
    <row r="22" spans="1:16" x14ac:dyDescent="0.25">
      <c r="A22" s="11" t="str">
        <f t="shared" si="0"/>
        <v>Scenario_LowerCost_1</v>
      </c>
      <c r="C22" s="12">
        <f t="shared" si="1"/>
        <v>-8</v>
      </c>
      <c r="D22" s="12">
        <f t="shared" si="1"/>
        <v>-6</v>
      </c>
      <c r="L22">
        <f>+I3/450</f>
        <v>5.7225000000000001</v>
      </c>
    </row>
    <row r="23" spans="1:16" x14ac:dyDescent="0.25">
      <c r="A23" s="11" t="str">
        <f t="shared" si="0"/>
        <v>Scenario_LowerCost_2</v>
      </c>
      <c r="C23" s="12">
        <f t="shared" si="1"/>
        <v>-3</v>
      </c>
      <c r="D23" s="12">
        <f t="shared" si="1"/>
        <v>-15</v>
      </c>
    </row>
    <row r="24" spans="1:16" x14ac:dyDescent="0.25">
      <c r="A24" s="11" t="str">
        <f t="shared" si="0"/>
        <v>Scenario_LowerCost_3</v>
      </c>
      <c r="C24" s="12">
        <f t="shared" si="1"/>
        <v>-13</v>
      </c>
      <c r="D24" s="12">
        <f t="shared" si="1"/>
        <v>2</v>
      </c>
    </row>
    <row r="25" spans="1:16" x14ac:dyDescent="0.25">
      <c r="C25" s="12"/>
      <c r="D25" s="12"/>
    </row>
    <row r="26" spans="1:16" x14ac:dyDescent="0.25">
      <c r="C26" s="12"/>
      <c r="D26" s="12"/>
      <c r="N26">
        <f>+G4*0.8</f>
        <v>5772.8</v>
      </c>
    </row>
    <row r="27" spans="1:16" x14ac:dyDescent="0.25">
      <c r="C27" s="12"/>
      <c r="D27" s="12"/>
      <c r="L27">
        <f>7380*0.2</f>
        <v>1476</v>
      </c>
    </row>
    <row r="28" spans="1:16" x14ac:dyDescent="0.25">
      <c r="C28" s="12"/>
      <c r="D28" s="12"/>
      <c r="L28">
        <f>+L27*0.23</f>
        <v>339.48</v>
      </c>
    </row>
    <row r="29" spans="1:16" x14ac:dyDescent="0.25">
      <c r="C29" s="12"/>
      <c r="D29" s="12"/>
      <c r="L29">
        <f>+K5*0.8</f>
        <v>5904</v>
      </c>
    </row>
    <row r="30" spans="1:16" x14ac:dyDescent="0.25">
      <c r="C30" s="12"/>
      <c r="D30" s="12"/>
      <c r="L30">
        <f>+L29*0.23</f>
        <v>1357.92</v>
      </c>
    </row>
    <row r="31" spans="1:16" x14ac:dyDescent="0.25">
      <c r="C31" s="12"/>
      <c r="D31" s="12"/>
    </row>
    <row r="32" spans="1:16" x14ac:dyDescent="0.25">
      <c r="C32" s="12"/>
      <c r="D32" s="12"/>
    </row>
  </sheetData>
  <mergeCells count="2">
    <mergeCell ref="F1:H1"/>
    <mergeCell ref="I1:K1"/>
  </mergeCells>
  <conditionalFormatting sqref="E3:E11">
    <cfRule type="colorScale" priority="2">
      <colorScale>
        <cfvo type="min"/>
        <cfvo type="max"/>
        <color rgb="FFFFEF9C"/>
        <color rgb="FF63BE7B"/>
      </colorScale>
    </cfRule>
  </conditionalFormatting>
  <conditionalFormatting sqref="L3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D817-8FF9-4598-9F55-D04FB9E25723}">
  <dimension ref="G1:X49"/>
  <sheetViews>
    <sheetView tabSelected="1" topLeftCell="L1" workbookViewId="0">
      <selection activeCell="W2" sqref="W2:W25"/>
    </sheetView>
  </sheetViews>
  <sheetFormatPr defaultRowHeight="15" x14ac:dyDescent="0.25"/>
  <cols>
    <col min="3" max="3" width="10.7109375" customWidth="1"/>
    <col min="4" max="4" width="6.42578125" customWidth="1"/>
    <col min="5" max="5" width="6.140625" customWidth="1"/>
    <col min="6" max="6" width="2" customWidth="1"/>
    <col min="7" max="7" width="9.140625" hidden="1" customWidth="1"/>
    <col min="8" max="8" width="5.42578125" customWidth="1"/>
    <col min="9" max="9" width="12.140625" customWidth="1"/>
    <col min="14" max="14" width="9.140625" customWidth="1"/>
    <col min="15" max="15" width="14.42578125" customWidth="1"/>
    <col min="16" max="16" width="19.5703125" customWidth="1"/>
    <col min="17" max="17" width="18.7109375" customWidth="1"/>
    <col min="18" max="18" width="14.5703125" customWidth="1"/>
    <col min="19" max="19" width="14.28515625" customWidth="1"/>
    <col min="20" max="20" width="12.7109375" customWidth="1"/>
    <col min="29" max="29" width="13.42578125" customWidth="1"/>
  </cols>
  <sheetData>
    <row r="1" spans="8:24" x14ac:dyDescent="0.25">
      <c r="H1" s="20" t="s">
        <v>72</v>
      </c>
      <c r="I1" s="1" t="s">
        <v>6</v>
      </c>
      <c r="J1" s="1" t="s">
        <v>3</v>
      </c>
      <c r="K1" s="1" t="s">
        <v>0</v>
      </c>
      <c r="L1" s="1" t="s">
        <v>1</v>
      </c>
      <c r="M1" s="1" t="s">
        <v>63</v>
      </c>
      <c r="N1" s="1" t="s">
        <v>64</v>
      </c>
      <c r="O1" s="1" t="s">
        <v>67</v>
      </c>
      <c r="P1" s="1" t="s">
        <v>29</v>
      </c>
      <c r="Q1" s="1" t="s">
        <v>4</v>
      </c>
      <c r="R1" s="1" t="s">
        <v>65</v>
      </c>
      <c r="S1" s="1" t="s">
        <v>5</v>
      </c>
      <c r="T1" s="1" t="s">
        <v>68</v>
      </c>
      <c r="U1" s="1" t="s">
        <v>75</v>
      </c>
      <c r="V1" s="1" t="s">
        <v>76</v>
      </c>
      <c r="W1" s="1" t="s">
        <v>77</v>
      </c>
      <c r="X1" s="1" t="s">
        <v>65</v>
      </c>
    </row>
    <row r="2" spans="8:24" x14ac:dyDescent="0.25">
      <c r="H2">
        <v>1</v>
      </c>
      <c r="I2" s="1">
        <v>0.26038899999999998</v>
      </c>
      <c r="J2" s="1">
        <v>391.73572530890755</v>
      </c>
      <c r="K2" s="1">
        <v>1250</v>
      </c>
      <c r="L2" s="1">
        <v>3400</v>
      </c>
      <c r="M2" s="1">
        <v>0</v>
      </c>
      <c r="N2" s="1">
        <v>-391.73572530890755</v>
      </c>
      <c r="O2" s="19">
        <f>+J2+((K2-K25)+(L2-L25)+M2+N2)</f>
        <v>0</v>
      </c>
      <c r="P2" s="1">
        <v>0.63</v>
      </c>
      <c r="Q2" s="1">
        <v>62.750000000000007</v>
      </c>
      <c r="R2" s="1">
        <v>62.75</v>
      </c>
      <c r="S2" s="1">
        <v>0</v>
      </c>
      <c r="T2" s="1">
        <v>0</v>
      </c>
      <c r="U2">
        <f>(K2-1250)*1000</f>
        <v>0</v>
      </c>
      <c r="V2">
        <f>(L2-3608)*1000</f>
        <v>-208000</v>
      </c>
      <c r="W2">
        <f>N2*1000</f>
        <v>-391735.72530890757</v>
      </c>
      <c r="X2">
        <f>R2*1000</f>
        <v>62750</v>
      </c>
    </row>
    <row r="3" spans="8:24" x14ac:dyDescent="0.25">
      <c r="H3">
        <v>2</v>
      </c>
      <c r="I3" s="1">
        <v>0.25714300000000001</v>
      </c>
      <c r="J3" s="1">
        <v>395.12728829926812</v>
      </c>
      <c r="K3" s="1">
        <v>1250</v>
      </c>
      <c r="L3" s="1">
        <v>3004.872711700732</v>
      </c>
      <c r="M3" s="1">
        <v>0</v>
      </c>
      <c r="N3" s="1">
        <v>0</v>
      </c>
      <c r="O3" s="19">
        <f>+J3+((K3-K2)+(L3-L2)+M3+N3)</f>
        <v>0</v>
      </c>
      <c r="P3" s="1">
        <v>0.63</v>
      </c>
      <c r="Q3" s="1">
        <v>62.750000000000007</v>
      </c>
      <c r="R3" s="1">
        <v>62.75</v>
      </c>
      <c r="S3" s="1">
        <v>0</v>
      </c>
      <c r="T3" s="1">
        <v>0</v>
      </c>
      <c r="U3">
        <f>(K3-K2)*1000</f>
        <v>0</v>
      </c>
      <c r="V3">
        <f>(L3-L2)*1000</f>
        <v>-395127.288299268</v>
      </c>
      <c r="W3">
        <f t="shared" ref="W3:W25" si="0">N3*1000</f>
        <v>0</v>
      </c>
      <c r="X3">
        <f t="shared" ref="X3:X25" si="1">R3*1000</f>
        <v>62750</v>
      </c>
    </row>
    <row r="4" spans="8:24" x14ac:dyDescent="0.25">
      <c r="H4">
        <v>3</v>
      </c>
      <c r="I4" s="1">
        <v>0.25442999999999999</v>
      </c>
      <c r="J4" s="1">
        <v>386.83877182354337</v>
      </c>
      <c r="K4" s="1">
        <v>1623.5</v>
      </c>
      <c r="L4" s="1">
        <v>2244.5339398771885</v>
      </c>
      <c r="M4" s="1">
        <v>0</v>
      </c>
      <c r="N4" s="1">
        <v>0</v>
      </c>
      <c r="O4" s="19">
        <f t="shared" ref="O4:O18" si="2">+J4+((K4-K3)+(L4-L3)+M4+N4)</f>
        <v>0</v>
      </c>
      <c r="P4" s="1">
        <v>0.63</v>
      </c>
      <c r="Q4" s="1">
        <v>62.750000000000007</v>
      </c>
      <c r="R4" s="1">
        <v>62.75</v>
      </c>
      <c r="S4" s="1">
        <v>0</v>
      </c>
      <c r="T4" s="1">
        <v>0</v>
      </c>
      <c r="U4">
        <f t="shared" ref="U4:U25" si="3">(K4-K3)*1000</f>
        <v>373500</v>
      </c>
      <c r="V4">
        <f t="shared" ref="V4:V25" si="4">(L4-L3)*1000</f>
        <v>-760338.77182354359</v>
      </c>
      <c r="W4">
        <f t="shared" si="0"/>
        <v>0</v>
      </c>
      <c r="X4">
        <f t="shared" si="1"/>
        <v>62750</v>
      </c>
    </row>
    <row r="5" spans="8:24" x14ac:dyDescent="0.25">
      <c r="H5">
        <v>4</v>
      </c>
      <c r="I5" s="1">
        <v>0.25297999999999998</v>
      </c>
      <c r="J5" s="1">
        <v>400.32760079926811</v>
      </c>
      <c r="K5" s="1">
        <v>1997</v>
      </c>
      <c r="L5" s="1">
        <v>1470.7063390779203</v>
      </c>
      <c r="M5" s="1">
        <v>0</v>
      </c>
      <c r="N5" s="1">
        <v>0</v>
      </c>
      <c r="O5" s="19">
        <f t="shared" si="2"/>
        <v>0</v>
      </c>
      <c r="P5" s="1">
        <v>0.63</v>
      </c>
      <c r="Q5" s="1">
        <v>62.750000000000007</v>
      </c>
      <c r="R5" s="1">
        <v>62.75</v>
      </c>
      <c r="S5" s="1">
        <v>0</v>
      </c>
      <c r="T5" s="1">
        <v>0</v>
      </c>
      <c r="U5">
        <f t="shared" si="3"/>
        <v>373500</v>
      </c>
      <c r="V5">
        <f t="shared" si="4"/>
        <v>-773827.60079926811</v>
      </c>
      <c r="W5">
        <f t="shared" si="0"/>
        <v>0</v>
      </c>
      <c r="X5">
        <f t="shared" si="1"/>
        <v>62750</v>
      </c>
    </row>
    <row r="6" spans="8:24" x14ac:dyDescent="0.25">
      <c r="H6">
        <v>5</v>
      </c>
      <c r="I6" s="1">
        <v>0.25274999999999997</v>
      </c>
      <c r="J6" s="1">
        <v>398.28908432354336</v>
      </c>
      <c r="K6" s="1">
        <v>2370.5</v>
      </c>
      <c r="L6" s="1">
        <v>1088</v>
      </c>
      <c r="M6" s="1">
        <v>0</v>
      </c>
      <c r="N6" s="1">
        <v>-389.09</v>
      </c>
      <c r="O6" s="19">
        <f t="shared" si="2"/>
        <v>-7.2547543769587719E-3</v>
      </c>
      <c r="P6" s="1">
        <v>0.63</v>
      </c>
      <c r="Q6" s="1">
        <v>62.750000000000007</v>
      </c>
      <c r="R6" s="1">
        <v>62.75</v>
      </c>
      <c r="S6" s="1">
        <v>0</v>
      </c>
      <c r="T6" s="1">
        <v>0</v>
      </c>
      <c r="U6">
        <f t="shared" si="3"/>
        <v>373500</v>
      </c>
      <c r="V6">
        <f t="shared" si="4"/>
        <v>-382706.33907792036</v>
      </c>
      <c r="W6">
        <f t="shared" si="0"/>
        <v>-389090</v>
      </c>
      <c r="X6">
        <f t="shared" si="1"/>
        <v>62750</v>
      </c>
    </row>
    <row r="7" spans="8:24" x14ac:dyDescent="0.25">
      <c r="H7">
        <v>6</v>
      </c>
      <c r="I7" s="1">
        <v>0.25497999999999998</v>
      </c>
      <c r="J7" s="1">
        <v>485.74616169024517</v>
      </c>
      <c r="K7" s="1">
        <v>1884.7538383097549</v>
      </c>
      <c r="L7" s="1">
        <v>1088</v>
      </c>
      <c r="M7" s="1">
        <v>0</v>
      </c>
      <c r="N7" s="1">
        <v>0</v>
      </c>
      <c r="O7" s="19">
        <f t="shared" si="2"/>
        <v>0</v>
      </c>
      <c r="P7" s="1">
        <v>0.63</v>
      </c>
      <c r="Q7" s="1">
        <v>89.092975206611584</v>
      </c>
      <c r="R7" s="1">
        <v>89.092975206611584</v>
      </c>
      <c r="S7" s="1">
        <v>0</v>
      </c>
      <c r="T7" s="1">
        <v>0</v>
      </c>
      <c r="U7">
        <f t="shared" si="3"/>
        <v>-485746.16169024509</v>
      </c>
      <c r="V7">
        <f t="shared" si="4"/>
        <v>0</v>
      </c>
      <c r="W7">
        <f t="shared" si="0"/>
        <v>0</v>
      </c>
      <c r="X7">
        <f t="shared" si="1"/>
        <v>89092.975206611591</v>
      </c>
    </row>
    <row r="8" spans="8:24" x14ac:dyDescent="0.25">
      <c r="H8">
        <v>7</v>
      </c>
      <c r="I8" s="1">
        <v>0.26271</v>
      </c>
      <c r="J8" s="1">
        <v>487.65694417347407</v>
      </c>
      <c r="K8" s="1">
        <v>1397.0968941362808</v>
      </c>
      <c r="L8" s="1">
        <v>1088</v>
      </c>
      <c r="M8" s="1">
        <v>0</v>
      </c>
      <c r="N8" s="1">
        <v>0</v>
      </c>
      <c r="O8" s="19">
        <f t="shared" si="2"/>
        <v>0</v>
      </c>
      <c r="P8" s="1">
        <v>0.63</v>
      </c>
      <c r="Q8" s="1">
        <v>608.33334516176456</v>
      </c>
      <c r="R8" s="1">
        <v>608.33334516176456</v>
      </c>
      <c r="S8" s="1">
        <v>0</v>
      </c>
      <c r="T8" s="1">
        <v>0</v>
      </c>
      <c r="U8">
        <f t="shared" si="3"/>
        <v>-487656.94417347416</v>
      </c>
      <c r="V8">
        <f t="shared" si="4"/>
        <v>0</v>
      </c>
      <c r="W8">
        <f t="shared" si="0"/>
        <v>0</v>
      </c>
      <c r="X8">
        <f t="shared" si="1"/>
        <v>608333.34516176453</v>
      </c>
    </row>
    <row r="9" spans="8:24" x14ac:dyDescent="0.25">
      <c r="H9">
        <v>8</v>
      </c>
      <c r="I9" s="1">
        <v>0.269783</v>
      </c>
      <c r="J9" s="1">
        <v>514.64853260860855</v>
      </c>
      <c r="K9" s="1">
        <v>882.4483615276722</v>
      </c>
      <c r="L9" s="1">
        <v>1088</v>
      </c>
      <c r="M9" s="1">
        <v>0</v>
      </c>
      <c r="N9" s="1">
        <v>0</v>
      </c>
      <c r="O9" s="19">
        <f t="shared" si="2"/>
        <v>0</v>
      </c>
      <c r="P9" s="1">
        <v>0.63</v>
      </c>
      <c r="Q9" s="1">
        <v>1032.7789374482654</v>
      </c>
      <c r="R9" s="1">
        <v>1032.7789374482654</v>
      </c>
      <c r="S9" s="1">
        <v>0</v>
      </c>
      <c r="T9" s="1">
        <v>0</v>
      </c>
      <c r="U9">
        <f t="shared" si="3"/>
        <v>-514648.53260860854</v>
      </c>
      <c r="V9">
        <f t="shared" si="4"/>
        <v>0</v>
      </c>
      <c r="W9">
        <f t="shared" si="0"/>
        <v>0</v>
      </c>
      <c r="X9">
        <f t="shared" si="1"/>
        <v>1032778.9374482654</v>
      </c>
    </row>
    <row r="10" spans="8:24" x14ac:dyDescent="0.25">
      <c r="H10">
        <v>9</v>
      </c>
      <c r="I10" s="1">
        <v>0.27707500000000002</v>
      </c>
      <c r="J10" s="1">
        <v>272.920665990369</v>
      </c>
      <c r="K10" s="1">
        <v>609.5276955373032</v>
      </c>
      <c r="L10" s="1">
        <v>1088</v>
      </c>
      <c r="M10" s="1">
        <v>0</v>
      </c>
      <c r="N10" s="1">
        <v>0</v>
      </c>
      <c r="O10" s="19">
        <f t="shared" si="2"/>
        <v>0</v>
      </c>
      <c r="P10" s="1">
        <v>0.63</v>
      </c>
      <c r="Q10" s="1">
        <v>1047.9166784950978</v>
      </c>
      <c r="R10" s="1">
        <v>1047.9166784950978</v>
      </c>
      <c r="S10" s="1">
        <v>0</v>
      </c>
      <c r="T10" s="1">
        <v>0</v>
      </c>
      <c r="U10">
        <f t="shared" si="3"/>
        <v>-272920.66599036899</v>
      </c>
      <c r="V10">
        <f t="shared" si="4"/>
        <v>0</v>
      </c>
      <c r="W10">
        <f t="shared" si="0"/>
        <v>0</v>
      </c>
      <c r="X10">
        <f t="shared" si="1"/>
        <v>1047916.6784950978</v>
      </c>
    </row>
    <row r="11" spans="8:24" x14ac:dyDescent="0.25">
      <c r="H11">
        <v>10</v>
      </c>
      <c r="I11" s="1">
        <v>0.27672799999999997</v>
      </c>
      <c r="J11" s="1">
        <v>-477.49126111273267</v>
      </c>
      <c r="K11" s="1">
        <v>609.5276955373032</v>
      </c>
      <c r="L11" s="1">
        <v>1565.4912611127327</v>
      </c>
      <c r="M11" s="1">
        <v>0</v>
      </c>
      <c r="N11" s="1">
        <v>0</v>
      </c>
      <c r="O11" s="19">
        <f t="shared" si="2"/>
        <v>0</v>
      </c>
      <c r="P11" s="1">
        <v>0.63</v>
      </c>
      <c r="Q11" s="1">
        <v>857.7355490185148</v>
      </c>
      <c r="R11" s="1">
        <v>857.7355490185148</v>
      </c>
      <c r="S11" s="1">
        <v>0</v>
      </c>
      <c r="T11" s="1">
        <v>0</v>
      </c>
      <c r="U11">
        <f t="shared" si="3"/>
        <v>0</v>
      </c>
      <c r="V11">
        <f t="shared" si="4"/>
        <v>477491.2611127327</v>
      </c>
      <c r="W11">
        <f t="shared" si="0"/>
        <v>0</v>
      </c>
      <c r="X11">
        <f t="shared" si="1"/>
        <v>857735.54901851481</v>
      </c>
    </row>
    <row r="12" spans="8:24" x14ac:dyDescent="0.25">
      <c r="H12">
        <v>11</v>
      </c>
      <c r="I12" s="1">
        <v>0.27678199999999997</v>
      </c>
      <c r="J12" s="1">
        <v>-1103.960302315015</v>
      </c>
      <c r="K12" s="1">
        <v>609.5276955373032</v>
      </c>
      <c r="L12" s="1">
        <v>2669.4515634277477</v>
      </c>
      <c r="M12" s="1">
        <v>0</v>
      </c>
      <c r="N12" s="1">
        <v>0</v>
      </c>
      <c r="O12" s="19">
        <f t="shared" si="2"/>
        <v>0</v>
      </c>
      <c r="P12" s="1">
        <v>0.63</v>
      </c>
      <c r="Q12" s="1">
        <v>744.06406141520824</v>
      </c>
      <c r="R12" s="1">
        <v>744.06406141520824</v>
      </c>
      <c r="S12" s="1">
        <v>0</v>
      </c>
      <c r="T12" s="1">
        <v>0</v>
      </c>
      <c r="U12">
        <f t="shared" si="3"/>
        <v>0</v>
      </c>
      <c r="V12">
        <f t="shared" si="4"/>
        <v>1103960.3023150151</v>
      </c>
      <c r="W12">
        <f t="shared" si="0"/>
        <v>0</v>
      </c>
      <c r="X12">
        <f t="shared" si="1"/>
        <v>744064.06141520827</v>
      </c>
    </row>
    <row r="13" spans="8:24" x14ac:dyDescent="0.25">
      <c r="H13">
        <v>12</v>
      </c>
      <c r="I13" s="1">
        <v>0.270368</v>
      </c>
      <c r="J13" s="1">
        <v>-725.24508765140502</v>
      </c>
      <c r="K13" s="1">
        <v>609.5276955373032</v>
      </c>
      <c r="L13" s="1">
        <v>3394.6966510791526</v>
      </c>
      <c r="M13" s="1">
        <v>0</v>
      </c>
      <c r="N13" s="1">
        <v>0</v>
      </c>
      <c r="O13" s="19">
        <f t="shared" si="2"/>
        <v>0</v>
      </c>
      <c r="P13" s="1">
        <v>0.63</v>
      </c>
      <c r="Q13" s="1">
        <v>763.97576980125007</v>
      </c>
      <c r="R13" s="1">
        <v>763.97576980125007</v>
      </c>
      <c r="S13" s="1">
        <v>0</v>
      </c>
      <c r="T13" s="1">
        <v>0</v>
      </c>
      <c r="U13">
        <f t="shared" si="3"/>
        <v>0</v>
      </c>
      <c r="V13">
        <f t="shared" si="4"/>
        <v>725245.0876514049</v>
      </c>
      <c r="W13">
        <f t="shared" si="0"/>
        <v>0</v>
      </c>
      <c r="X13">
        <f t="shared" si="1"/>
        <v>763975.76980125008</v>
      </c>
    </row>
    <row r="14" spans="8:24" x14ac:dyDescent="0.25">
      <c r="H14">
        <v>13</v>
      </c>
      <c r="I14" s="1">
        <v>0.266897</v>
      </c>
      <c r="J14" s="1">
        <v>-860.68715094549304</v>
      </c>
      <c r="K14" s="1">
        <v>609.5276955373032</v>
      </c>
      <c r="L14" s="1">
        <v>4255.3838020246458</v>
      </c>
      <c r="M14" s="1">
        <v>0</v>
      </c>
      <c r="N14" s="1">
        <v>0</v>
      </c>
      <c r="O14" s="19">
        <f t="shared" si="2"/>
        <v>0</v>
      </c>
      <c r="P14" s="1">
        <v>0.63</v>
      </c>
      <c r="Q14" s="1">
        <v>718.98072808187499</v>
      </c>
      <c r="R14" s="1">
        <v>718.98072808187499</v>
      </c>
      <c r="S14" s="1">
        <v>0</v>
      </c>
      <c r="T14" s="1">
        <v>0</v>
      </c>
      <c r="U14">
        <f t="shared" si="3"/>
        <v>0</v>
      </c>
      <c r="V14">
        <f t="shared" si="4"/>
        <v>860687.15094549314</v>
      </c>
      <c r="W14">
        <f t="shared" si="0"/>
        <v>0</v>
      </c>
      <c r="X14">
        <f t="shared" si="1"/>
        <v>718980.72808187502</v>
      </c>
    </row>
    <row r="15" spans="8:24" x14ac:dyDescent="0.25">
      <c r="H15">
        <v>14</v>
      </c>
      <c r="I15" s="1">
        <v>0.26474700000000001</v>
      </c>
      <c r="J15" s="1">
        <v>-423.8448318208292</v>
      </c>
      <c r="K15" s="1">
        <v>609.5276955373032</v>
      </c>
      <c r="L15" s="1">
        <v>4679.2286338454751</v>
      </c>
      <c r="M15" s="1">
        <v>0</v>
      </c>
      <c r="N15" s="1">
        <v>0</v>
      </c>
      <c r="O15" s="19">
        <f t="shared" si="2"/>
        <v>0</v>
      </c>
      <c r="P15" s="1">
        <v>0.63</v>
      </c>
      <c r="Q15" s="1">
        <v>719.56888235184806</v>
      </c>
      <c r="R15" s="1">
        <v>719.56888235184806</v>
      </c>
      <c r="S15" s="1">
        <v>0</v>
      </c>
      <c r="T15" s="1">
        <v>0</v>
      </c>
      <c r="U15">
        <f t="shared" si="3"/>
        <v>0</v>
      </c>
      <c r="V15">
        <f t="shared" si="4"/>
        <v>423844.83182082931</v>
      </c>
      <c r="W15">
        <f t="shared" si="0"/>
        <v>0</v>
      </c>
      <c r="X15">
        <f t="shared" si="1"/>
        <v>719568.88235184806</v>
      </c>
    </row>
    <row r="16" spans="8:24" x14ac:dyDescent="0.25">
      <c r="H16">
        <v>15</v>
      </c>
      <c r="I16" s="1">
        <v>0.26649400000000001</v>
      </c>
      <c r="J16" s="1">
        <v>-910.68031963267845</v>
      </c>
      <c r="K16" s="1">
        <v>609.52700000000004</v>
      </c>
      <c r="L16" s="1">
        <v>5589.9089534781533</v>
      </c>
      <c r="M16" s="1">
        <v>0</v>
      </c>
      <c r="N16" s="1">
        <v>0</v>
      </c>
      <c r="O16" s="19">
        <f t="shared" si="2"/>
        <v>-6.9553730338611786E-4</v>
      </c>
      <c r="P16" s="1">
        <v>0.63</v>
      </c>
      <c r="Q16" s="1">
        <v>694.40221568518132</v>
      </c>
      <c r="R16" s="1">
        <v>694.40221568518132</v>
      </c>
      <c r="S16" s="1">
        <v>0</v>
      </c>
      <c r="T16" s="1">
        <v>0</v>
      </c>
      <c r="U16">
        <f t="shared" si="3"/>
        <v>-0.69553730315874418</v>
      </c>
      <c r="V16">
        <f t="shared" si="4"/>
        <v>910680.31963267818</v>
      </c>
      <c r="W16">
        <f t="shared" si="0"/>
        <v>0</v>
      </c>
      <c r="X16">
        <f t="shared" si="1"/>
        <v>694402.21568518132</v>
      </c>
    </row>
    <row r="17" spans="8:24" x14ac:dyDescent="0.25">
      <c r="H17">
        <v>16</v>
      </c>
      <c r="I17" s="1">
        <v>0.270067</v>
      </c>
      <c r="J17" s="1">
        <v>-930.26000212080044</v>
      </c>
      <c r="K17" s="1">
        <v>1539.7870021208005</v>
      </c>
      <c r="L17" s="1">
        <v>5589.9</v>
      </c>
      <c r="M17" s="1">
        <f>-(+J17+(K17-K16))</f>
        <v>0</v>
      </c>
      <c r="N17" s="1">
        <v>0</v>
      </c>
      <c r="O17" s="19">
        <f>+J17+((K17-K16)+(L17-L16)+M17+N17)</f>
        <v>-8.9534781536713126E-3</v>
      </c>
      <c r="P17" s="1">
        <v>0.63</v>
      </c>
      <c r="Q17" s="1">
        <v>720.15703662181977</v>
      </c>
      <c r="R17" s="1">
        <v>720.15703662181977</v>
      </c>
      <c r="S17" s="1">
        <v>0</v>
      </c>
      <c r="T17" s="1">
        <v>0</v>
      </c>
      <c r="U17">
        <f t="shared" si="3"/>
        <v>930260.00212080043</v>
      </c>
      <c r="V17">
        <f t="shared" si="4"/>
        <v>-8.9534781536713126</v>
      </c>
      <c r="W17">
        <f t="shared" si="0"/>
        <v>0</v>
      </c>
      <c r="X17">
        <f t="shared" si="1"/>
        <v>720157.03662181972</v>
      </c>
    </row>
    <row r="18" spans="8:24" x14ac:dyDescent="0.25">
      <c r="H18">
        <v>17</v>
      </c>
      <c r="I18" s="1">
        <v>0.27431899999999998</v>
      </c>
      <c r="J18" s="1">
        <v>-999.70317832699141</v>
      </c>
      <c r="K18" s="1">
        <v>2539.4901804477918</v>
      </c>
      <c r="L18" s="1">
        <v>5589.94</v>
      </c>
      <c r="M18" s="1">
        <v>0</v>
      </c>
      <c r="N18" s="1">
        <v>0</v>
      </c>
      <c r="O18" s="19">
        <f t="shared" si="2"/>
        <v>3.9999999999849933E-2</v>
      </c>
      <c r="P18" s="1">
        <v>0.63</v>
      </c>
      <c r="Q18" s="1">
        <v>765.23541167452811</v>
      </c>
      <c r="R18" s="1">
        <v>765.23541167452811</v>
      </c>
      <c r="S18" s="1">
        <v>0</v>
      </c>
      <c r="T18" s="1">
        <v>0</v>
      </c>
      <c r="U18">
        <f t="shared" si="3"/>
        <v>999703.17832699127</v>
      </c>
      <c r="V18">
        <f t="shared" si="4"/>
        <v>39.99999999996362</v>
      </c>
      <c r="W18">
        <f t="shared" si="0"/>
        <v>0</v>
      </c>
      <c r="X18">
        <f t="shared" si="1"/>
        <v>765235.41167452815</v>
      </c>
    </row>
    <row r="19" spans="8:24" x14ac:dyDescent="0.25">
      <c r="H19">
        <v>18</v>
      </c>
      <c r="I19" s="1">
        <v>0.27111299999999999</v>
      </c>
      <c r="J19" s="1">
        <v>-114.51877415535122</v>
      </c>
      <c r="K19" s="1">
        <v>2539.4899999999998</v>
      </c>
      <c r="L19" s="1">
        <v>5704.4587741553505</v>
      </c>
      <c r="M19" s="1">
        <v>0</v>
      </c>
      <c r="N19" s="1">
        <v>0</v>
      </c>
      <c r="O19" s="19">
        <f t="shared" ref="O19:O24" si="5">+J19+((K19-K18)+(L19-L18)+M19+N19)</f>
        <v>-1.804477923030845E-4</v>
      </c>
      <c r="P19" s="1">
        <v>0.63</v>
      </c>
      <c r="Q19" s="1">
        <v>745.32370328848651</v>
      </c>
      <c r="R19" s="1">
        <v>745.32370328848651</v>
      </c>
      <c r="S19" s="1">
        <v>0</v>
      </c>
      <c r="T19" s="1">
        <v>0</v>
      </c>
      <c r="U19">
        <f t="shared" si="3"/>
        <v>-0.18044779199044569</v>
      </c>
      <c r="V19">
        <f t="shared" si="4"/>
        <v>114518.77415535091</v>
      </c>
      <c r="W19">
        <f t="shared" si="0"/>
        <v>0</v>
      </c>
      <c r="X19">
        <f t="shared" si="1"/>
        <v>745323.70328848646</v>
      </c>
    </row>
    <row r="20" spans="8:24" x14ac:dyDescent="0.25">
      <c r="H20">
        <v>19</v>
      </c>
      <c r="I20" s="1">
        <v>0.28212799999999999</v>
      </c>
      <c r="J20" s="1">
        <v>337.51675624470613</v>
      </c>
      <c r="K20" s="1">
        <v>2201.9732437552939</v>
      </c>
      <c r="L20" s="1">
        <v>5205</v>
      </c>
      <c r="M20" s="1">
        <v>500</v>
      </c>
      <c r="N20" s="1">
        <v>0</v>
      </c>
      <c r="O20" s="19">
        <f>+J20+((K20-K19)+(L20-L19)+M20+N20)</f>
        <v>0.54122584464971624</v>
      </c>
      <c r="P20" s="1">
        <v>0.63</v>
      </c>
      <c r="Q20" s="1">
        <v>475.87190082644696</v>
      </c>
      <c r="R20" s="1">
        <v>475.87190082644696</v>
      </c>
      <c r="S20" s="1">
        <v>0</v>
      </c>
      <c r="T20" s="1">
        <v>0</v>
      </c>
      <c r="U20">
        <f t="shared" si="3"/>
        <v>-337516.75624470587</v>
      </c>
      <c r="V20">
        <f t="shared" si="4"/>
        <v>-499458.77415535052</v>
      </c>
      <c r="W20">
        <f t="shared" si="0"/>
        <v>0</v>
      </c>
      <c r="X20">
        <f t="shared" si="1"/>
        <v>475871.90082644694</v>
      </c>
    </row>
    <row r="21" spans="8:24" x14ac:dyDescent="0.25">
      <c r="H21">
        <v>20</v>
      </c>
      <c r="I21" s="1">
        <v>0.28089700000000001</v>
      </c>
      <c r="J21" s="1">
        <v>465.60002859207776</v>
      </c>
      <c r="K21" s="1">
        <v>2201.973</v>
      </c>
      <c r="L21" s="1">
        <v>4527.3999714079218</v>
      </c>
      <c r="M21" s="1">
        <v>212</v>
      </c>
      <c r="N21" s="1">
        <v>0</v>
      </c>
      <c r="O21" s="19">
        <f t="shared" si="5"/>
        <v>-2.4375529432063558E-4</v>
      </c>
      <c r="P21" s="1">
        <v>0.63</v>
      </c>
      <c r="Q21" s="1">
        <v>601.45523415978028</v>
      </c>
      <c r="R21" s="1">
        <v>601.45523415978028</v>
      </c>
      <c r="S21" s="1">
        <v>0</v>
      </c>
      <c r="T21" s="1">
        <v>0</v>
      </c>
      <c r="U21">
        <f t="shared" si="3"/>
        <v>-0.24375529392273165</v>
      </c>
      <c r="V21">
        <f t="shared" si="4"/>
        <v>-677600.02859207813</v>
      </c>
      <c r="W21">
        <f t="shared" si="0"/>
        <v>0</v>
      </c>
      <c r="X21">
        <f t="shared" si="1"/>
        <v>601455.23415978032</v>
      </c>
    </row>
    <row r="22" spans="8:24" x14ac:dyDescent="0.25">
      <c r="H22">
        <v>21</v>
      </c>
      <c r="I22" s="1">
        <v>0.27615600000000001</v>
      </c>
      <c r="J22" s="1">
        <v>512.74202974724938</v>
      </c>
      <c r="K22" s="1">
        <v>1689.2309702527505</v>
      </c>
      <c r="L22" s="1">
        <v>4559</v>
      </c>
      <c r="M22" s="1">
        <v>0</v>
      </c>
      <c r="N22" s="1">
        <v>0</v>
      </c>
      <c r="O22" s="19">
        <f t="shared" si="5"/>
        <v>31.600028592078047</v>
      </c>
      <c r="P22" s="1">
        <v>0.63</v>
      </c>
      <c r="Q22" s="1">
        <v>491.00964187327816</v>
      </c>
      <c r="R22" s="1">
        <v>491.00964187327816</v>
      </c>
      <c r="S22" s="1">
        <v>0</v>
      </c>
      <c r="T22" s="1">
        <v>0</v>
      </c>
      <c r="U22">
        <f t="shared" si="3"/>
        <v>-512742.0297472495</v>
      </c>
      <c r="V22">
        <f t="shared" si="4"/>
        <v>31600.028592078161</v>
      </c>
      <c r="W22">
        <f t="shared" si="0"/>
        <v>0</v>
      </c>
      <c r="X22">
        <f t="shared" si="1"/>
        <v>491009.64187327813</v>
      </c>
    </row>
    <row r="23" spans="8:24" x14ac:dyDescent="0.25">
      <c r="H23">
        <v>22</v>
      </c>
      <c r="I23" s="1">
        <v>0.27117200000000002</v>
      </c>
      <c r="J23" s="1">
        <v>508.74604423543906</v>
      </c>
      <c r="K23" s="1">
        <v>1689.231</v>
      </c>
      <c r="L23" s="1">
        <v>4050.2539557645609</v>
      </c>
      <c r="M23" s="1">
        <v>0</v>
      </c>
      <c r="N23" s="1">
        <v>0</v>
      </c>
      <c r="O23" s="19">
        <f t="shared" si="5"/>
        <v>2.9747249527645181E-5</v>
      </c>
      <c r="P23" s="1">
        <v>0.63</v>
      </c>
      <c r="Q23" s="1">
        <v>296.34297520661147</v>
      </c>
      <c r="R23" s="1">
        <v>296.34297520661147</v>
      </c>
      <c r="S23" s="1">
        <v>0</v>
      </c>
      <c r="T23" s="1">
        <v>0</v>
      </c>
      <c r="U23">
        <f t="shared" si="3"/>
        <v>2.9747249527645181E-2</v>
      </c>
      <c r="V23">
        <f t="shared" si="4"/>
        <v>-508746.04423543904</v>
      </c>
      <c r="W23">
        <f t="shared" si="0"/>
        <v>0</v>
      </c>
      <c r="X23">
        <f t="shared" si="1"/>
        <v>296342.97520661145</v>
      </c>
    </row>
    <row r="24" spans="8:24" x14ac:dyDescent="0.25">
      <c r="H24">
        <v>23</v>
      </c>
      <c r="I24" s="1">
        <v>0.26649</v>
      </c>
      <c r="J24" s="1">
        <v>510.54919361575929</v>
      </c>
      <c r="K24" s="1">
        <v>1689.231</v>
      </c>
      <c r="L24" s="1">
        <v>3539.7047621488018</v>
      </c>
      <c r="M24" s="1">
        <v>0</v>
      </c>
      <c r="N24" s="1">
        <v>0</v>
      </c>
      <c r="O24" s="19">
        <f t="shared" si="5"/>
        <v>0</v>
      </c>
      <c r="P24" s="1">
        <v>0.63</v>
      </c>
      <c r="Q24" s="1">
        <v>151.92630853994481</v>
      </c>
      <c r="R24" s="1">
        <v>151.92630853994501</v>
      </c>
      <c r="S24" s="1">
        <v>0</v>
      </c>
      <c r="T24" s="1">
        <v>0</v>
      </c>
      <c r="U24">
        <f t="shared" si="3"/>
        <v>0</v>
      </c>
      <c r="V24">
        <f t="shared" si="4"/>
        <v>-510549.19361575914</v>
      </c>
      <c r="W24">
        <f t="shared" si="0"/>
        <v>0</v>
      </c>
      <c r="X24">
        <f t="shared" si="1"/>
        <v>151926.30853994502</v>
      </c>
    </row>
    <row r="25" spans="8:24" x14ac:dyDescent="0.25">
      <c r="H25">
        <v>24</v>
      </c>
      <c r="I25" s="1">
        <v>0.26110800000000001</v>
      </c>
      <c r="J25" s="1">
        <v>500.7014805998985</v>
      </c>
      <c r="K25" s="1">
        <v>1250</v>
      </c>
      <c r="L25" s="1">
        <v>3400</v>
      </c>
      <c r="M25" s="1">
        <v>78.2</v>
      </c>
      <c r="N25" s="1">
        <v>0</v>
      </c>
      <c r="O25" s="19">
        <f>+J25+((K25-K24)+(L25-L24)+M25+N25)</f>
        <v>-3.42815489033228E-2</v>
      </c>
      <c r="P25" s="1">
        <v>0.63</v>
      </c>
      <c r="Q25" s="1">
        <v>32.004820936639099</v>
      </c>
      <c r="R25" s="1">
        <v>32.04</v>
      </c>
      <c r="S25" s="1">
        <v>0</v>
      </c>
      <c r="T25" s="1">
        <v>0</v>
      </c>
      <c r="U25">
        <f t="shared" si="3"/>
        <v>-439231</v>
      </c>
      <c r="V25">
        <f t="shared" si="4"/>
        <v>-139704.76214880182</v>
      </c>
      <c r="W25">
        <f t="shared" si="0"/>
        <v>0</v>
      </c>
      <c r="X25">
        <f t="shared" si="1"/>
        <v>32040</v>
      </c>
    </row>
    <row r="26" spans="8:24" x14ac:dyDescent="0.25">
      <c r="M26" s="1"/>
      <c r="N26" s="1"/>
      <c r="O26" s="19"/>
    </row>
    <row r="27" spans="8:24" x14ac:dyDescent="0.25">
      <c r="N27" s="1"/>
    </row>
    <row r="28" spans="8:24" x14ac:dyDescent="0.25">
      <c r="N28" s="1"/>
    </row>
    <row r="29" spans="8:24" x14ac:dyDescent="0.25">
      <c r="N29" s="1"/>
    </row>
    <row r="30" spans="8:24" x14ac:dyDescent="0.25">
      <c r="N30" s="1"/>
    </row>
    <row r="31" spans="8:24" x14ac:dyDescent="0.25">
      <c r="N31" s="1"/>
    </row>
    <row r="32" spans="8:2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  <row r="41" spans="14:14" x14ac:dyDescent="0.25">
      <c r="N41" s="1"/>
    </row>
    <row r="42" spans="14:14" x14ac:dyDescent="0.25">
      <c r="N42" s="1"/>
    </row>
    <row r="43" spans="14:14" x14ac:dyDescent="0.25">
      <c r="N43" s="1"/>
    </row>
    <row r="44" spans="14:14" x14ac:dyDescent="0.25">
      <c r="N44" s="1"/>
    </row>
    <row r="45" spans="14:14" x14ac:dyDescent="0.25">
      <c r="N45" s="1"/>
    </row>
    <row r="46" spans="14:14" x14ac:dyDescent="0.25">
      <c r="N46" s="1"/>
    </row>
    <row r="47" spans="14:14" x14ac:dyDescent="0.25">
      <c r="N47" s="1"/>
    </row>
    <row r="48" spans="14:14" x14ac:dyDescent="0.25">
      <c r="N48" s="1"/>
    </row>
    <row r="49" spans="14:14" x14ac:dyDescent="0.25">
      <c r="N4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19F6-CA96-4809-A4D5-1582477E5816}">
  <dimension ref="G1:X27"/>
  <sheetViews>
    <sheetView topLeftCell="D1" workbookViewId="0">
      <selection activeCell="W2" sqref="W2:W25"/>
    </sheetView>
  </sheetViews>
  <sheetFormatPr defaultRowHeight="15" x14ac:dyDescent="0.25"/>
  <cols>
    <col min="6" max="6" width="2" customWidth="1"/>
    <col min="7" max="7" width="9.140625" hidden="1" customWidth="1"/>
    <col min="8" max="8" width="5.42578125" customWidth="1"/>
    <col min="9" max="9" width="12.140625" customWidth="1"/>
    <col min="14" max="14" width="9.140625" customWidth="1"/>
    <col min="15" max="15" width="14.42578125" customWidth="1"/>
    <col min="16" max="16" width="19.5703125" customWidth="1"/>
    <col min="17" max="17" width="18.7109375" customWidth="1"/>
    <col min="18" max="18" width="14.5703125" customWidth="1"/>
    <col min="19" max="19" width="14.28515625" customWidth="1"/>
    <col min="20" max="20" width="12.7109375" customWidth="1"/>
    <col min="29" max="29" width="44.28515625" customWidth="1"/>
  </cols>
  <sheetData>
    <row r="1" spans="8:24" x14ac:dyDescent="0.25">
      <c r="I1" s="1" t="s">
        <v>6</v>
      </c>
      <c r="J1" s="1" t="s">
        <v>3</v>
      </c>
      <c r="K1" s="1" t="s">
        <v>0</v>
      </c>
      <c r="L1" s="1" t="s">
        <v>1</v>
      </c>
      <c r="M1" s="1" t="s">
        <v>63</v>
      </c>
      <c r="N1" s="1" t="s">
        <v>64</v>
      </c>
      <c r="O1" s="1" t="s">
        <v>67</v>
      </c>
      <c r="P1" s="1" t="s">
        <v>29</v>
      </c>
      <c r="Q1" s="1" t="s">
        <v>4</v>
      </c>
      <c r="R1" s="1" t="s">
        <v>65</v>
      </c>
      <c r="S1" s="1" t="s">
        <v>5</v>
      </c>
      <c r="T1" s="1" t="s">
        <v>68</v>
      </c>
      <c r="U1" s="1" t="s">
        <v>75</v>
      </c>
      <c r="V1" s="1" t="s">
        <v>76</v>
      </c>
      <c r="W1" s="1" t="s">
        <v>77</v>
      </c>
      <c r="X1" s="1" t="s">
        <v>65</v>
      </c>
    </row>
    <row r="2" spans="8:24" x14ac:dyDescent="0.25">
      <c r="H2">
        <v>1</v>
      </c>
      <c r="I2" s="1">
        <v>0.26038899999999998</v>
      </c>
      <c r="J2" s="1">
        <v>391.73572530890755</v>
      </c>
      <c r="K2" s="1">
        <v>1250</v>
      </c>
      <c r="L2" s="1">
        <v>3400</v>
      </c>
      <c r="M2" s="1">
        <v>-391.73</v>
      </c>
      <c r="N2" s="1">
        <v>0</v>
      </c>
      <c r="O2" s="19">
        <f>+J2+((K2-K25)+(L2-L25)+M2+(N2))</f>
        <v>5.7253089075288699E-3</v>
      </c>
      <c r="P2" s="1">
        <v>0.63</v>
      </c>
      <c r="Q2" s="1">
        <v>62.750000000000007</v>
      </c>
      <c r="R2" s="1">
        <v>62.75</v>
      </c>
      <c r="S2" s="1">
        <v>0</v>
      </c>
      <c r="T2" s="1">
        <v>0</v>
      </c>
      <c r="U2">
        <f>(K2-1250)*1000</f>
        <v>0</v>
      </c>
      <c r="V2">
        <f>(L2-3608)*1000</f>
        <v>-208000</v>
      </c>
      <c r="W2">
        <f>N2*1000</f>
        <v>0</v>
      </c>
      <c r="X2">
        <f>R2*1000</f>
        <v>62750</v>
      </c>
    </row>
    <row r="3" spans="8:24" x14ac:dyDescent="0.25">
      <c r="H3">
        <v>2</v>
      </c>
      <c r="I3" s="1">
        <v>0.25714300000000001</v>
      </c>
      <c r="J3" s="1">
        <v>395.12728829926812</v>
      </c>
      <c r="K3" s="1">
        <v>1250</v>
      </c>
      <c r="L3" s="1">
        <v>3004.872711700732</v>
      </c>
      <c r="M3" s="1">
        <v>0</v>
      </c>
      <c r="N3" s="1">
        <v>0</v>
      </c>
      <c r="O3" s="19">
        <f t="shared" ref="O3:O25" si="0">+J3+((K3-K2)+(L3-L2)+M3+N3)</f>
        <v>0</v>
      </c>
      <c r="P3" s="1">
        <v>0.63</v>
      </c>
      <c r="Q3" s="1">
        <v>62.750000000000007</v>
      </c>
      <c r="R3" s="1">
        <v>62.75</v>
      </c>
      <c r="S3" s="1">
        <v>0</v>
      </c>
      <c r="T3" s="1">
        <v>0</v>
      </c>
      <c r="U3">
        <f>(K3-K2)*1000</f>
        <v>0</v>
      </c>
      <c r="V3">
        <f>(L3-L2)*1000</f>
        <v>-395127.288299268</v>
      </c>
      <c r="W3">
        <f t="shared" ref="W3:W25" si="1">N3*1000</f>
        <v>0</v>
      </c>
      <c r="X3">
        <f t="shared" ref="X3:X25" si="2">R3*1000</f>
        <v>62750</v>
      </c>
    </row>
    <row r="4" spans="8:24" x14ac:dyDescent="0.25">
      <c r="H4">
        <v>3</v>
      </c>
      <c r="I4" s="1">
        <v>0.25442999999999999</v>
      </c>
      <c r="J4" s="1">
        <v>386.83877182354337</v>
      </c>
      <c r="K4" s="1">
        <v>1623.5</v>
      </c>
      <c r="L4" s="1">
        <v>2244.5339398771885</v>
      </c>
      <c r="M4" s="1">
        <v>0</v>
      </c>
      <c r="N4" s="1">
        <v>0</v>
      </c>
      <c r="O4" s="19">
        <f t="shared" si="0"/>
        <v>0</v>
      </c>
      <c r="P4" s="1">
        <v>0.63</v>
      </c>
      <c r="Q4" s="1">
        <v>62.750000000000007</v>
      </c>
      <c r="R4" s="1">
        <v>62.75</v>
      </c>
      <c r="S4" s="1">
        <v>0</v>
      </c>
      <c r="T4" s="1">
        <v>0</v>
      </c>
      <c r="U4">
        <f t="shared" ref="U4:V25" si="3">(K4-K3)*1000</f>
        <v>373500</v>
      </c>
      <c r="V4">
        <f t="shared" si="3"/>
        <v>-760338.77182354359</v>
      </c>
      <c r="W4">
        <f t="shared" si="1"/>
        <v>0</v>
      </c>
      <c r="X4">
        <f t="shared" si="2"/>
        <v>62750</v>
      </c>
    </row>
    <row r="5" spans="8:24" x14ac:dyDescent="0.25">
      <c r="H5">
        <v>4</v>
      </c>
      <c r="I5" s="1">
        <v>0.25297999999999998</v>
      </c>
      <c r="J5" s="1">
        <v>400.32760079926811</v>
      </c>
      <c r="K5" s="1">
        <v>1997</v>
      </c>
      <c r="L5" s="1">
        <v>1480.7063390779203</v>
      </c>
      <c r="M5" s="1">
        <v>-10</v>
      </c>
      <c r="N5" s="1">
        <v>0</v>
      </c>
      <c r="O5" s="19">
        <f t="shared" si="0"/>
        <v>0</v>
      </c>
      <c r="P5" s="1">
        <v>0.63</v>
      </c>
      <c r="Q5" s="1">
        <v>62.750000000000007</v>
      </c>
      <c r="R5" s="1">
        <v>62.75</v>
      </c>
      <c r="S5" s="1">
        <v>0</v>
      </c>
      <c r="T5" s="1">
        <v>0</v>
      </c>
      <c r="U5">
        <f t="shared" si="3"/>
        <v>373500</v>
      </c>
      <c r="V5">
        <f t="shared" si="3"/>
        <v>-763827.60079926811</v>
      </c>
      <c r="W5">
        <f t="shared" si="1"/>
        <v>0</v>
      </c>
      <c r="X5">
        <f t="shared" si="2"/>
        <v>62750</v>
      </c>
    </row>
    <row r="6" spans="8:24" x14ac:dyDescent="0.25">
      <c r="H6">
        <v>5</v>
      </c>
      <c r="I6" s="1">
        <v>0.25274999999999997</v>
      </c>
      <c r="J6" s="1">
        <v>398.28908432354336</v>
      </c>
      <c r="K6" s="1">
        <v>1598.7109156764566</v>
      </c>
      <c r="L6" s="1">
        <v>1088.971</v>
      </c>
      <c r="M6" s="1">
        <v>391.7</v>
      </c>
      <c r="N6" s="1">
        <v>0</v>
      </c>
      <c r="O6" s="19">
        <f t="shared" si="0"/>
        <v>-3.533907792041191E-2</v>
      </c>
      <c r="P6" s="1">
        <v>0.63</v>
      </c>
      <c r="Q6" s="1">
        <v>62.750000000000007</v>
      </c>
      <c r="R6" s="1">
        <v>62.75</v>
      </c>
      <c r="S6" s="1">
        <v>0</v>
      </c>
      <c r="T6" s="1">
        <v>0</v>
      </c>
      <c r="U6">
        <f t="shared" si="3"/>
        <v>-398289.08432354341</v>
      </c>
      <c r="V6">
        <f t="shared" si="3"/>
        <v>-391735.33907792036</v>
      </c>
      <c r="W6">
        <f t="shared" si="1"/>
        <v>0</v>
      </c>
      <c r="X6">
        <f t="shared" si="2"/>
        <v>62750</v>
      </c>
    </row>
    <row r="7" spans="8:24" x14ac:dyDescent="0.25">
      <c r="H7">
        <v>6</v>
      </c>
      <c r="I7" s="1">
        <v>0.25497999999999998</v>
      </c>
      <c r="J7" s="1">
        <v>485.74616169024517</v>
      </c>
      <c r="K7" s="1">
        <v>1112.9647539862115</v>
      </c>
      <c r="L7" s="1">
        <v>1088.971</v>
      </c>
      <c r="M7" s="1">
        <v>0</v>
      </c>
      <c r="N7" s="1">
        <v>0</v>
      </c>
      <c r="O7" s="19">
        <f t="shared" si="0"/>
        <v>0</v>
      </c>
      <c r="P7" s="1">
        <v>0.63</v>
      </c>
      <c r="Q7" s="1">
        <v>89.092975206611584</v>
      </c>
      <c r="R7" s="1">
        <v>89.092975206611584</v>
      </c>
      <c r="S7" s="1">
        <v>0</v>
      </c>
      <c r="T7" s="1">
        <v>0</v>
      </c>
      <c r="U7">
        <f t="shared" si="3"/>
        <v>-485746.16169024509</v>
      </c>
      <c r="V7">
        <f t="shared" si="3"/>
        <v>0</v>
      </c>
      <c r="W7">
        <f t="shared" si="1"/>
        <v>0</v>
      </c>
      <c r="X7">
        <f t="shared" si="2"/>
        <v>89092.975206611591</v>
      </c>
    </row>
    <row r="8" spans="8:24" x14ac:dyDescent="0.25">
      <c r="H8">
        <v>7</v>
      </c>
      <c r="I8" s="1">
        <v>0.26271</v>
      </c>
      <c r="J8" s="1">
        <v>487.65694417347407</v>
      </c>
      <c r="K8" s="1">
        <v>625.30780981273733</v>
      </c>
      <c r="L8" s="1">
        <v>1088.971</v>
      </c>
      <c r="M8" s="1">
        <v>0</v>
      </c>
      <c r="N8" s="1">
        <v>0</v>
      </c>
      <c r="O8" s="19">
        <f t="shared" si="0"/>
        <v>0</v>
      </c>
      <c r="P8" s="1">
        <v>0.63</v>
      </c>
      <c r="Q8" s="1">
        <v>608.33334516176456</v>
      </c>
      <c r="R8" s="1">
        <v>608.33334516176456</v>
      </c>
      <c r="S8" s="1">
        <v>0</v>
      </c>
      <c r="T8" s="1">
        <v>0</v>
      </c>
      <c r="U8">
        <f t="shared" si="3"/>
        <v>-487656.94417347416</v>
      </c>
      <c r="V8">
        <f t="shared" si="3"/>
        <v>0</v>
      </c>
      <c r="W8">
        <f t="shared" si="1"/>
        <v>0</v>
      </c>
      <c r="X8">
        <f t="shared" si="2"/>
        <v>608333.34516176453</v>
      </c>
    </row>
    <row r="9" spans="8:24" x14ac:dyDescent="0.25">
      <c r="H9">
        <v>8</v>
      </c>
      <c r="I9" s="1">
        <v>0.269783</v>
      </c>
      <c r="J9" s="1">
        <v>514.64853260860855</v>
      </c>
      <c r="K9" s="1">
        <v>625.30780000000004</v>
      </c>
      <c r="L9" s="1">
        <v>574.32246739139146</v>
      </c>
      <c r="M9" s="1">
        <v>0</v>
      </c>
      <c r="N9" s="1">
        <v>0</v>
      </c>
      <c r="O9" s="19">
        <f t="shared" si="0"/>
        <v>-9.8127372893941356E-6</v>
      </c>
      <c r="P9" s="1">
        <v>0.63</v>
      </c>
      <c r="Q9" s="1">
        <v>1032.7789374482654</v>
      </c>
      <c r="R9" s="1">
        <v>1032.7789374482654</v>
      </c>
      <c r="S9" s="1">
        <v>0</v>
      </c>
      <c r="T9" s="1">
        <v>0</v>
      </c>
      <c r="U9">
        <f t="shared" si="3"/>
        <v>-9.8127372893941356E-3</v>
      </c>
      <c r="V9">
        <f t="shared" si="3"/>
        <v>-514648.53260860854</v>
      </c>
      <c r="W9">
        <f t="shared" si="1"/>
        <v>0</v>
      </c>
      <c r="X9">
        <f t="shared" si="2"/>
        <v>1032778.9374482654</v>
      </c>
    </row>
    <row r="10" spans="8:24" x14ac:dyDescent="0.25">
      <c r="H10">
        <v>9</v>
      </c>
      <c r="I10" s="1">
        <v>0.27707500000000002</v>
      </c>
      <c r="J10" s="1">
        <v>272.920665990369</v>
      </c>
      <c r="K10" s="1">
        <v>352.38713400963104</v>
      </c>
      <c r="L10" s="1">
        <v>574.33249999999998</v>
      </c>
      <c r="M10" s="1">
        <v>0</v>
      </c>
      <c r="N10" s="1">
        <v>0</v>
      </c>
      <c r="O10" s="19">
        <f t="shared" si="0"/>
        <v>1.0032608608526061E-2</v>
      </c>
      <c r="P10" s="1">
        <v>0.63</v>
      </c>
      <c r="Q10" s="1">
        <v>1047.9166784950978</v>
      </c>
      <c r="R10" s="1">
        <v>1047.9166784950978</v>
      </c>
      <c r="S10" s="1">
        <v>0</v>
      </c>
      <c r="T10" s="1">
        <v>0</v>
      </c>
      <c r="U10">
        <f t="shared" si="3"/>
        <v>-272920.66599036899</v>
      </c>
      <c r="V10">
        <f t="shared" si="3"/>
        <v>10.032608608526061</v>
      </c>
      <c r="W10">
        <f t="shared" si="1"/>
        <v>0</v>
      </c>
      <c r="X10">
        <f t="shared" si="2"/>
        <v>1047916.6784950978</v>
      </c>
    </row>
    <row r="11" spans="8:24" x14ac:dyDescent="0.25">
      <c r="H11">
        <v>10</v>
      </c>
      <c r="I11" s="1">
        <v>0.27672799999999997</v>
      </c>
      <c r="J11" s="1">
        <v>-477.49126111273267</v>
      </c>
      <c r="K11" s="1">
        <v>829.87839512236371</v>
      </c>
      <c r="L11" s="1">
        <v>574.33249999999998</v>
      </c>
      <c r="M11" s="1">
        <v>0</v>
      </c>
      <c r="N11" s="1">
        <v>0</v>
      </c>
      <c r="O11" s="19">
        <f t="shared" si="0"/>
        <v>0</v>
      </c>
      <c r="P11" s="1">
        <v>0.63</v>
      </c>
      <c r="Q11" s="1">
        <v>857.7355490185148</v>
      </c>
      <c r="R11" s="1">
        <v>857.7355490185148</v>
      </c>
      <c r="S11" s="1">
        <v>0</v>
      </c>
      <c r="T11" s="1">
        <v>0</v>
      </c>
      <c r="U11">
        <f t="shared" si="3"/>
        <v>477491.2611127327</v>
      </c>
      <c r="V11">
        <f t="shared" si="3"/>
        <v>0</v>
      </c>
      <c r="W11">
        <f t="shared" si="1"/>
        <v>0</v>
      </c>
      <c r="X11">
        <f t="shared" si="2"/>
        <v>857735.54901851481</v>
      </c>
    </row>
    <row r="12" spans="8:24" x14ac:dyDescent="0.25">
      <c r="H12">
        <v>11</v>
      </c>
      <c r="I12" s="1">
        <v>0.27678199999999997</v>
      </c>
      <c r="J12" s="1">
        <v>-1103.960302315015</v>
      </c>
      <c r="K12" s="1">
        <v>829.89</v>
      </c>
      <c r="L12" s="1">
        <v>1678.292802315015</v>
      </c>
      <c r="M12" s="1">
        <v>0</v>
      </c>
      <c r="N12" s="1">
        <v>0</v>
      </c>
      <c r="O12" s="19">
        <f t="shared" si="0"/>
        <v>1.1604877636273159E-2</v>
      </c>
      <c r="P12" s="1">
        <v>0.63</v>
      </c>
      <c r="Q12" s="1">
        <v>744.06406141520824</v>
      </c>
      <c r="R12" s="1">
        <v>744.06406141520824</v>
      </c>
      <c r="S12" s="1">
        <v>0</v>
      </c>
      <c r="T12" s="1">
        <v>0</v>
      </c>
      <c r="U12">
        <f t="shared" si="3"/>
        <v>11.604877636273159</v>
      </c>
      <c r="V12">
        <f t="shared" si="3"/>
        <v>1103960.3023150151</v>
      </c>
      <c r="W12">
        <f t="shared" si="1"/>
        <v>0</v>
      </c>
      <c r="X12">
        <f t="shared" si="2"/>
        <v>744064.06141520827</v>
      </c>
    </row>
    <row r="13" spans="8:24" x14ac:dyDescent="0.25">
      <c r="H13">
        <v>12</v>
      </c>
      <c r="I13" s="1">
        <v>0.270368</v>
      </c>
      <c r="J13" s="1">
        <v>-725.24508765140502</v>
      </c>
      <c r="K13" s="1">
        <v>986.44</v>
      </c>
      <c r="L13" s="1">
        <v>2247.5378899664202</v>
      </c>
      <c r="M13" s="1">
        <v>0</v>
      </c>
      <c r="N13" s="1">
        <v>0</v>
      </c>
      <c r="O13" s="19">
        <f t="shared" si="0"/>
        <v>0.5500000000001819</v>
      </c>
      <c r="P13" s="1">
        <v>0.63</v>
      </c>
      <c r="Q13" s="1">
        <v>763.97576980125007</v>
      </c>
      <c r="R13" s="1">
        <v>763.97500000000002</v>
      </c>
      <c r="S13" s="1">
        <v>0</v>
      </c>
      <c r="T13" s="1">
        <v>0</v>
      </c>
      <c r="U13">
        <f t="shared" si="3"/>
        <v>156550.00000000006</v>
      </c>
      <c r="V13">
        <f t="shared" si="3"/>
        <v>569245.08765140513</v>
      </c>
      <c r="W13">
        <f t="shared" si="1"/>
        <v>0</v>
      </c>
      <c r="X13">
        <f t="shared" si="2"/>
        <v>763975</v>
      </c>
    </row>
    <row r="14" spans="8:24" x14ac:dyDescent="0.25">
      <c r="H14">
        <v>13</v>
      </c>
      <c r="I14" s="1">
        <v>0.266897</v>
      </c>
      <c r="J14" s="1">
        <v>-860.68715094549304</v>
      </c>
      <c r="K14" s="1">
        <v>986.44</v>
      </c>
      <c r="L14" s="1">
        <v>3108.2250409119133</v>
      </c>
      <c r="M14" s="1">
        <v>0</v>
      </c>
      <c r="N14" s="1">
        <v>0</v>
      </c>
      <c r="O14" s="19">
        <f t="shared" si="0"/>
        <v>0</v>
      </c>
      <c r="P14" s="1">
        <v>0.63</v>
      </c>
      <c r="Q14" s="1">
        <v>718.98072808187499</v>
      </c>
      <c r="R14" s="1">
        <v>0</v>
      </c>
      <c r="S14" s="1">
        <v>718.98072808187499</v>
      </c>
      <c r="T14" s="1">
        <v>0</v>
      </c>
      <c r="U14">
        <f t="shared" si="3"/>
        <v>0</v>
      </c>
      <c r="V14">
        <f t="shared" si="3"/>
        <v>860687.15094549314</v>
      </c>
      <c r="W14">
        <f t="shared" si="1"/>
        <v>0</v>
      </c>
      <c r="X14">
        <f t="shared" si="2"/>
        <v>0</v>
      </c>
    </row>
    <row r="15" spans="8:24" x14ac:dyDescent="0.25">
      <c r="H15">
        <v>14</v>
      </c>
      <c r="I15" s="1">
        <v>0.26474700000000001</v>
      </c>
      <c r="J15" s="1">
        <v>-423.8448318208292</v>
      </c>
      <c r="K15" s="1">
        <v>986.44</v>
      </c>
      <c r="L15" s="1">
        <v>3532.0698727327426</v>
      </c>
      <c r="M15" s="1">
        <v>0</v>
      </c>
      <c r="N15" s="1">
        <v>0</v>
      </c>
      <c r="O15" s="19">
        <f t="shared" si="0"/>
        <v>0</v>
      </c>
      <c r="P15" s="1">
        <v>0.63</v>
      </c>
      <c r="Q15" s="1">
        <v>719.56888235184806</v>
      </c>
      <c r="R15" s="1">
        <v>0</v>
      </c>
      <c r="S15" s="1">
        <v>719.56888235184806</v>
      </c>
      <c r="T15" s="1">
        <v>0</v>
      </c>
      <c r="U15">
        <f t="shared" si="3"/>
        <v>0</v>
      </c>
      <c r="V15">
        <f t="shared" si="3"/>
        <v>423844.83182082931</v>
      </c>
      <c r="W15">
        <f t="shared" si="1"/>
        <v>0</v>
      </c>
      <c r="X15">
        <f t="shared" si="2"/>
        <v>0</v>
      </c>
    </row>
    <row r="16" spans="8:24" x14ac:dyDescent="0.25">
      <c r="H16">
        <v>15</v>
      </c>
      <c r="I16" s="1">
        <v>0.26649400000000001</v>
      </c>
      <c r="J16" s="1">
        <v>-910.68031963267845</v>
      </c>
      <c r="K16" s="1">
        <v>986.44</v>
      </c>
      <c r="L16" s="1">
        <v>4442.7501923654208</v>
      </c>
      <c r="M16" s="1">
        <v>0</v>
      </c>
      <c r="N16" s="1">
        <v>0</v>
      </c>
      <c r="O16" s="19">
        <f t="shared" si="0"/>
        <v>0</v>
      </c>
      <c r="P16" s="1">
        <v>0.63</v>
      </c>
      <c r="Q16" s="1">
        <v>694.40221568518132</v>
      </c>
      <c r="R16" s="1">
        <v>0</v>
      </c>
      <c r="S16" s="1">
        <v>694.40221568518132</v>
      </c>
      <c r="T16" s="1">
        <v>0</v>
      </c>
      <c r="U16">
        <f t="shared" si="3"/>
        <v>0</v>
      </c>
      <c r="V16">
        <f t="shared" si="3"/>
        <v>910680.31963267818</v>
      </c>
      <c r="W16">
        <f t="shared" si="1"/>
        <v>0</v>
      </c>
      <c r="X16">
        <f t="shared" si="2"/>
        <v>0</v>
      </c>
    </row>
    <row r="17" spans="8:24" x14ac:dyDescent="0.25">
      <c r="H17">
        <v>16</v>
      </c>
      <c r="I17" s="1">
        <v>0.270067</v>
      </c>
      <c r="J17" s="1">
        <v>-930.26000212080044</v>
      </c>
      <c r="K17" s="1">
        <v>1916.400021208</v>
      </c>
      <c r="L17" s="1">
        <v>4443.0889999999999</v>
      </c>
      <c r="M17" s="1">
        <v>0</v>
      </c>
      <c r="N17" s="1">
        <v>0</v>
      </c>
      <c r="O17" s="19">
        <f t="shared" si="0"/>
        <v>3.8826721778605133E-2</v>
      </c>
      <c r="P17" s="1">
        <v>0.63</v>
      </c>
      <c r="Q17" s="1">
        <v>720.15703662181977</v>
      </c>
      <c r="R17" s="1">
        <v>0</v>
      </c>
      <c r="S17" s="1">
        <v>720.15703662181977</v>
      </c>
      <c r="T17" s="1">
        <v>0</v>
      </c>
      <c r="U17">
        <f t="shared" si="3"/>
        <v>929960.0212079999</v>
      </c>
      <c r="V17">
        <f t="shared" si="3"/>
        <v>338.80763457909779</v>
      </c>
      <c r="W17">
        <f t="shared" si="1"/>
        <v>0</v>
      </c>
      <c r="X17">
        <f t="shared" si="2"/>
        <v>0</v>
      </c>
    </row>
    <row r="18" spans="8:24" x14ac:dyDescent="0.25">
      <c r="H18">
        <v>17</v>
      </c>
      <c r="I18" s="1">
        <v>0.27431899999999998</v>
      </c>
      <c r="J18" s="1">
        <v>-999.70317832699141</v>
      </c>
      <c r="K18" s="1">
        <v>2575</v>
      </c>
      <c r="L18" s="1">
        <v>4784.4921783269911</v>
      </c>
      <c r="M18" s="1">
        <v>0</v>
      </c>
      <c r="N18" s="1">
        <v>0</v>
      </c>
      <c r="O18" s="19">
        <f t="shared" si="0"/>
        <v>0.29997879199970612</v>
      </c>
      <c r="P18" s="1">
        <v>0.63</v>
      </c>
      <c r="Q18" s="1">
        <v>765.23541167452811</v>
      </c>
      <c r="R18" s="1">
        <v>0</v>
      </c>
      <c r="S18" s="1">
        <v>765.23</v>
      </c>
      <c r="T18" s="1">
        <v>0</v>
      </c>
      <c r="U18">
        <f t="shared" si="3"/>
        <v>658599.97879199998</v>
      </c>
      <c r="V18">
        <f t="shared" si="3"/>
        <v>341403.1783269911</v>
      </c>
      <c r="W18">
        <f t="shared" si="1"/>
        <v>0</v>
      </c>
      <c r="X18">
        <f t="shared" si="2"/>
        <v>0</v>
      </c>
    </row>
    <row r="19" spans="8:24" x14ac:dyDescent="0.25">
      <c r="H19">
        <v>18</v>
      </c>
      <c r="I19" s="1">
        <v>0.27111299999999999</v>
      </c>
      <c r="J19" s="1">
        <v>-114.51877415535122</v>
      </c>
      <c r="K19" s="1">
        <v>2575</v>
      </c>
      <c r="L19" s="1">
        <v>4899.010952482342</v>
      </c>
      <c r="M19" s="1">
        <v>0</v>
      </c>
      <c r="N19" s="1">
        <v>0</v>
      </c>
      <c r="O19" s="19">
        <f t="shared" si="0"/>
        <v>-3.1263880373444408E-13</v>
      </c>
      <c r="P19" s="1">
        <v>0.63</v>
      </c>
      <c r="Q19" s="1">
        <v>745.32370328848651</v>
      </c>
      <c r="R19" s="1">
        <v>745.32370328848651</v>
      </c>
      <c r="S19" s="1">
        <v>0</v>
      </c>
      <c r="T19" s="1">
        <v>0</v>
      </c>
      <c r="U19">
        <f t="shared" si="3"/>
        <v>0</v>
      </c>
      <c r="V19">
        <f t="shared" si="3"/>
        <v>114518.77415535091</v>
      </c>
      <c r="W19">
        <f t="shared" si="1"/>
        <v>0</v>
      </c>
      <c r="X19">
        <f t="shared" si="2"/>
        <v>745323.70328848646</v>
      </c>
    </row>
    <row r="20" spans="8:24" x14ac:dyDescent="0.25">
      <c r="H20">
        <v>19</v>
      </c>
      <c r="I20" s="1">
        <v>0.28212799999999999</v>
      </c>
      <c r="J20" s="1">
        <v>337.51675624470613</v>
      </c>
      <c r="K20" s="1">
        <v>2237.4832437552941</v>
      </c>
      <c r="L20" s="1">
        <v>4899.3</v>
      </c>
      <c r="M20" s="1">
        <v>0</v>
      </c>
      <c r="N20" s="1">
        <v>0</v>
      </c>
      <c r="O20" s="19">
        <f t="shared" si="0"/>
        <v>0.28904751765844594</v>
      </c>
      <c r="P20" s="1">
        <v>0.63</v>
      </c>
      <c r="Q20" s="1">
        <v>475.87190082644696</v>
      </c>
      <c r="R20" s="1">
        <v>475.87190082644696</v>
      </c>
      <c r="S20" s="1">
        <v>0</v>
      </c>
      <c r="T20" s="1">
        <v>0</v>
      </c>
      <c r="U20">
        <f t="shared" si="3"/>
        <v>-337516.75624470587</v>
      </c>
      <c r="V20">
        <f t="shared" si="3"/>
        <v>289.04751765821857</v>
      </c>
      <c r="W20">
        <f t="shared" si="1"/>
        <v>0</v>
      </c>
      <c r="X20">
        <f t="shared" si="2"/>
        <v>475871.90082644694</v>
      </c>
    </row>
    <row r="21" spans="8:24" x14ac:dyDescent="0.25">
      <c r="H21">
        <v>20</v>
      </c>
      <c r="I21" s="1">
        <v>0.28089700000000001</v>
      </c>
      <c r="J21" s="1">
        <v>465.60002859207776</v>
      </c>
      <c r="K21" s="1">
        <v>1771.8832151632164</v>
      </c>
      <c r="L21" s="1">
        <v>4899.3</v>
      </c>
      <c r="M21" s="1">
        <v>0</v>
      </c>
      <c r="N21" s="1">
        <v>0</v>
      </c>
      <c r="O21" s="19">
        <f t="shared" si="0"/>
        <v>0</v>
      </c>
      <c r="P21" s="1">
        <v>0.63</v>
      </c>
      <c r="Q21" s="1">
        <v>601.45523415978028</v>
      </c>
      <c r="R21" s="1">
        <v>601.45523415978028</v>
      </c>
      <c r="S21" s="1">
        <v>0</v>
      </c>
      <c r="T21" s="1">
        <v>0</v>
      </c>
      <c r="U21">
        <f t="shared" si="3"/>
        <v>-465600.02859207772</v>
      </c>
      <c r="V21">
        <f t="shared" si="3"/>
        <v>0</v>
      </c>
      <c r="W21">
        <f t="shared" si="1"/>
        <v>0</v>
      </c>
      <c r="X21">
        <f t="shared" si="2"/>
        <v>601455.23415978032</v>
      </c>
    </row>
    <row r="22" spans="8:24" x14ac:dyDescent="0.25">
      <c r="H22">
        <v>21</v>
      </c>
      <c r="I22" s="1">
        <v>0.27615600000000001</v>
      </c>
      <c r="J22" s="1">
        <v>512.74202974724938</v>
      </c>
      <c r="K22" s="1">
        <v>1250</v>
      </c>
      <c r="L22" s="1">
        <v>4908</v>
      </c>
      <c r="M22" s="1">
        <v>0</v>
      </c>
      <c r="N22" s="1">
        <v>0</v>
      </c>
      <c r="O22" s="19">
        <f t="shared" si="0"/>
        <v>-0.44118541596719751</v>
      </c>
      <c r="P22" s="1">
        <v>0.63</v>
      </c>
      <c r="Q22" s="1">
        <v>491.00964187327816</v>
      </c>
      <c r="R22" s="1">
        <v>491.00964187327816</v>
      </c>
      <c r="S22" s="1">
        <v>0</v>
      </c>
      <c r="T22" s="1">
        <v>0</v>
      </c>
      <c r="U22">
        <f t="shared" si="3"/>
        <v>-521883.2151632164</v>
      </c>
      <c r="V22">
        <f t="shared" si="3"/>
        <v>8699.9999999998181</v>
      </c>
      <c r="W22">
        <f t="shared" si="1"/>
        <v>0</v>
      </c>
      <c r="X22">
        <f t="shared" si="2"/>
        <v>491009.64187327813</v>
      </c>
    </row>
    <row r="23" spans="8:24" x14ac:dyDescent="0.25">
      <c r="H23">
        <v>22</v>
      </c>
      <c r="I23" s="1">
        <v>0.27117200000000002</v>
      </c>
      <c r="J23" s="1">
        <v>508.74604423543906</v>
      </c>
      <c r="K23" s="1">
        <v>1250</v>
      </c>
      <c r="L23" s="1">
        <v>4399.2539557645614</v>
      </c>
      <c r="M23" s="1">
        <v>0</v>
      </c>
      <c r="N23" s="1">
        <v>0</v>
      </c>
      <c r="O23" s="19">
        <f t="shared" si="0"/>
        <v>4.5474735088646412E-13</v>
      </c>
      <c r="P23" s="1">
        <v>0.63</v>
      </c>
      <c r="Q23" s="1">
        <v>296.34297520661147</v>
      </c>
      <c r="R23" s="1">
        <v>296.34297520661147</v>
      </c>
      <c r="S23" s="1">
        <v>0</v>
      </c>
      <c r="T23" s="1">
        <v>0</v>
      </c>
      <c r="U23">
        <f t="shared" si="3"/>
        <v>0</v>
      </c>
      <c r="V23">
        <f t="shared" si="3"/>
        <v>-508746.04423543857</v>
      </c>
      <c r="W23">
        <f t="shared" si="1"/>
        <v>0</v>
      </c>
      <c r="X23">
        <f t="shared" si="2"/>
        <v>296342.97520661145</v>
      </c>
    </row>
    <row r="24" spans="8:24" x14ac:dyDescent="0.25">
      <c r="H24">
        <v>23</v>
      </c>
      <c r="I24" s="1">
        <v>0.26649</v>
      </c>
      <c r="J24" s="1">
        <v>510.54919361575929</v>
      </c>
      <c r="K24" s="1">
        <v>1250</v>
      </c>
      <c r="L24" s="1">
        <v>3888.7047621488023</v>
      </c>
      <c r="M24" s="1">
        <v>0</v>
      </c>
      <c r="N24" s="1">
        <v>0</v>
      </c>
      <c r="O24" s="19">
        <f t="shared" si="0"/>
        <v>0</v>
      </c>
      <c r="P24" s="1">
        <v>0.63</v>
      </c>
      <c r="Q24" s="1">
        <v>151.92630853994481</v>
      </c>
      <c r="R24" s="1">
        <v>151.92630853994501</v>
      </c>
      <c r="S24" s="1">
        <v>0</v>
      </c>
      <c r="T24" s="1">
        <v>0</v>
      </c>
      <c r="U24">
        <f t="shared" si="3"/>
        <v>0</v>
      </c>
      <c r="V24">
        <f t="shared" si="3"/>
        <v>-510549.19361575914</v>
      </c>
      <c r="W24">
        <f t="shared" si="1"/>
        <v>0</v>
      </c>
      <c r="X24">
        <f t="shared" si="2"/>
        <v>151926.30853994502</v>
      </c>
    </row>
    <row r="25" spans="8:24" x14ac:dyDescent="0.25">
      <c r="H25">
        <v>24</v>
      </c>
      <c r="I25" s="1">
        <v>0.26110800000000001</v>
      </c>
      <c r="J25" s="1">
        <v>500.7014805998985</v>
      </c>
      <c r="K25" s="1">
        <v>1250</v>
      </c>
      <c r="L25" s="1">
        <v>3400</v>
      </c>
      <c r="M25" s="1">
        <v>-12</v>
      </c>
      <c r="N25" s="1">
        <v>0</v>
      </c>
      <c r="O25" s="19">
        <f t="shared" si="0"/>
        <v>-3.2815489037716361E-3</v>
      </c>
      <c r="P25" s="1">
        <v>0.63</v>
      </c>
      <c r="Q25" s="1">
        <v>32.004820936639099</v>
      </c>
      <c r="R25" s="1">
        <v>32.04</v>
      </c>
      <c r="S25" s="1">
        <v>0</v>
      </c>
      <c r="T25" s="1">
        <v>0</v>
      </c>
      <c r="U25">
        <f t="shared" si="3"/>
        <v>0</v>
      </c>
      <c r="V25">
        <f t="shared" si="3"/>
        <v>-488704.76214880229</v>
      </c>
      <c r="W25">
        <f t="shared" si="1"/>
        <v>0</v>
      </c>
      <c r="X25">
        <f t="shared" si="2"/>
        <v>32040</v>
      </c>
    </row>
    <row r="26" spans="8:24" x14ac:dyDescent="0.25">
      <c r="M26" s="1"/>
      <c r="O26" s="19"/>
    </row>
    <row r="27" spans="8:24" x14ac:dyDescent="0.25">
      <c r="M2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4D15-91CA-42B1-B1A7-6CCD15A2CBBF}">
  <dimension ref="A1:X31"/>
  <sheetViews>
    <sheetView topLeftCell="L1" workbookViewId="0">
      <selection activeCell="U2" sqref="U2:U25"/>
    </sheetView>
  </sheetViews>
  <sheetFormatPr defaultRowHeight="15" x14ac:dyDescent="0.25"/>
  <cols>
    <col min="6" max="6" width="2" customWidth="1"/>
    <col min="7" max="7" width="9.140625" hidden="1" customWidth="1"/>
    <col min="8" max="8" width="5.42578125" customWidth="1"/>
    <col min="9" max="9" width="12.140625" customWidth="1"/>
    <col min="13" max="13" width="11.140625" customWidth="1"/>
    <col min="14" max="14" width="12" customWidth="1"/>
    <col min="15" max="15" width="14.42578125" customWidth="1"/>
    <col min="16" max="16" width="19.5703125" customWidth="1"/>
    <col min="17" max="17" width="18.7109375" customWidth="1"/>
    <col min="18" max="18" width="14.5703125" customWidth="1"/>
    <col min="19" max="19" width="14.28515625" customWidth="1"/>
    <col min="20" max="20" width="12.7109375" customWidth="1"/>
    <col min="29" max="29" width="44.28515625" customWidth="1"/>
  </cols>
  <sheetData>
    <row r="1" spans="8:24" x14ac:dyDescent="0.25">
      <c r="H1" s="1" t="s">
        <v>72</v>
      </c>
      <c r="I1" s="1" t="s">
        <v>6</v>
      </c>
      <c r="J1" s="1" t="s">
        <v>3</v>
      </c>
      <c r="K1" s="1" t="s">
        <v>0</v>
      </c>
      <c r="L1" s="1" t="s">
        <v>1</v>
      </c>
      <c r="M1" s="1" t="s">
        <v>63</v>
      </c>
      <c r="N1" s="1" t="s">
        <v>64</v>
      </c>
      <c r="O1" s="1" t="s">
        <v>67</v>
      </c>
      <c r="P1" s="1" t="s">
        <v>29</v>
      </c>
      <c r="Q1" s="1" t="s">
        <v>4</v>
      </c>
      <c r="R1" s="1" t="s">
        <v>65</v>
      </c>
      <c r="S1" s="1" t="s">
        <v>5</v>
      </c>
      <c r="T1" s="1" t="s">
        <v>68</v>
      </c>
      <c r="U1" s="1" t="s">
        <v>75</v>
      </c>
      <c r="V1" s="1" t="s">
        <v>76</v>
      </c>
      <c r="W1" s="1" t="s">
        <v>77</v>
      </c>
      <c r="X1" s="1" t="s">
        <v>65</v>
      </c>
    </row>
    <row r="2" spans="8:24" x14ac:dyDescent="0.25">
      <c r="H2">
        <v>1</v>
      </c>
      <c r="I2" s="1">
        <v>0.26038899999999998</v>
      </c>
      <c r="J2" s="1">
        <v>391.73572530890755</v>
      </c>
      <c r="K2" s="1">
        <v>1250</v>
      </c>
      <c r="L2" s="1">
        <v>3608</v>
      </c>
      <c r="M2" s="1">
        <v>-391.73572530890755</v>
      </c>
      <c r="N2" s="1">
        <v>0</v>
      </c>
      <c r="O2" s="19">
        <v>4.5657184510978404</v>
      </c>
      <c r="P2" s="1">
        <v>0.63</v>
      </c>
      <c r="Q2" s="1">
        <v>62.750000000000007</v>
      </c>
      <c r="R2" s="1">
        <v>62.75</v>
      </c>
      <c r="S2" s="1">
        <v>0</v>
      </c>
      <c r="T2" s="1">
        <v>0</v>
      </c>
      <c r="U2">
        <f>(K2-1250)*1000</f>
        <v>0</v>
      </c>
      <c r="V2">
        <f>(L2-3608)*1000</f>
        <v>0</v>
      </c>
      <c r="W2">
        <f>N2*1000</f>
        <v>0</v>
      </c>
      <c r="X2">
        <f>R2*1000</f>
        <v>62750</v>
      </c>
    </row>
    <row r="3" spans="8:24" x14ac:dyDescent="0.25">
      <c r="H3">
        <v>2</v>
      </c>
      <c r="I3" s="1">
        <v>0.25714300000000001</v>
      </c>
      <c r="J3" s="1">
        <v>395.12728829926812</v>
      </c>
      <c r="K3" s="1">
        <v>1250</v>
      </c>
      <c r="L3" s="1">
        <v>3608</v>
      </c>
      <c r="M3" s="1">
        <v>-395.1</v>
      </c>
      <c r="N3" s="1">
        <v>0</v>
      </c>
      <c r="O3" s="19">
        <v>2.7288299268093397E-2</v>
      </c>
      <c r="P3" s="1">
        <v>0.63</v>
      </c>
      <c r="Q3" s="1">
        <v>62.750000000000007</v>
      </c>
      <c r="R3" s="1">
        <v>62.75</v>
      </c>
      <c r="S3" s="1">
        <v>0</v>
      </c>
      <c r="T3" s="1">
        <v>0</v>
      </c>
      <c r="U3">
        <f>(K3-K2)*1000</f>
        <v>0</v>
      </c>
      <c r="V3">
        <f>(L3-L2)*1000</f>
        <v>0</v>
      </c>
      <c r="W3">
        <f t="shared" ref="W3:W25" si="0">N3*1000</f>
        <v>0</v>
      </c>
      <c r="X3">
        <f t="shared" ref="X3:X25" si="1">R3*1000</f>
        <v>62750</v>
      </c>
    </row>
    <row r="4" spans="8:24" x14ac:dyDescent="0.25">
      <c r="H4">
        <v>3</v>
      </c>
      <c r="I4" s="1">
        <v>0.25442999999999999</v>
      </c>
      <c r="J4" s="1">
        <v>386.83877182354337</v>
      </c>
      <c r="K4" s="1">
        <v>1623.5</v>
      </c>
      <c r="L4" s="1">
        <v>3608</v>
      </c>
      <c r="M4" s="1">
        <v>-760.38</v>
      </c>
      <c r="N4" s="1">
        <v>0</v>
      </c>
      <c r="O4" s="19">
        <v>-4.1228176456627352E-2</v>
      </c>
      <c r="P4" s="1">
        <v>0.63</v>
      </c>
      <c r="Q4" s="1">
        <v>62.750000000000007</v>
      </c>
      <c r="R4" s="1">
        <v>62.75</v>
      </c>
      <c r="S4" s="1">
        <v>0</v>
      </c>
      <c r="T4" s="1">
        <v>0</v>
      </c>
      <c r="U4">
        <f t="shared" ref="U4:V25" si="2">(K4-K3)*1000</f>
        <v>373500</v>
      </c>
      <c r="V4">
        <f t="shared" si="2"/>
        <v>0</v>
      </c>
      <c r="W4">
        <f t="shared" si="0"/>
        <v>0</v>
      </c>
      <c r="X4">
        <f t="shared" si="1"/>
        <v>62750</v>
      </c>
    </row>
    <row r="5" spans="8:24" x14ac:dyDescent="0.25">
      <c r="H5">
        <v>4</v>
      </c>
      <c r="I5" s="1">
        <v>0.25297999999999998</v>
      </c>
      <c r="J5" s="1">
        <v>400.32760079926811</v>
      </c>
      <c r="K5" s="1">
        <v>1997</v>
      </c>
      <c r="L5" s="1">
        <v>3908</v>
      </c>
      <c r="M5" s="1">
        <v>-1073.82</v>
      </c>
      <c r="N5" s="1">
        <v>0</v>
      </c>
      <c r="O5" s="19">
        <v>7.6007992681752512E-3</v>
      </c>
      <c r="P5" s="1">
        <v>0.63</v>
      </c>
      <c r="Q5" s="1">
        <v>62.750000000000007</v>
      </c>
      <c r="R5" s="1">
        <v>62.75</v>
      </c>
      <c r="S5" s="1">
        <v>0</v>
      </c>
      <c r="T5" s="1">
        <v>0</v>
      </c>
      <c r="U5">
        <f t="shared" si="2"/>
        <v>373500</v>
      </c>
      <c r="V5">
        <f t="shared" si="2"/>
        <v>300000</v>
      </c>
      <c r="W5">
        <f t="shared" si="0"/>
        <v>0</v>
      </c>
      <c r="X5">
        <f t="shared" si="1"/>
        <v>62750</v>
      </c>
    </row>
    <row r="6" spans="8:24" x14ac:dyDescent="0.25">
      <c r="H6">
        <v>5</v>
      </c>
      <c r="I6" s="1">
        <v>0.25274999999999997</v>
      </c>
      <c r="J6" s="1">
        <v>398.28908432354336</v>
      </c>
      <c r="K6" s="1">
        <v>2370.5</v>
      </c>
      <c r="L6" s="1">
        <v>4650</v>
      </c>
      <c r="M6" s="1">
        <v>-1513.8</v>
      </c>
      <c r="N6" s="1">
        <v>0</v>
      </c>
      <c r="O6" s="19">
        <v>-1.0915676456590973E-2</v>
      </c>
      <c r="P6" s="1">
        <v>0.63</v>
      </c>
      <c r="Q6" s="1">
        <v>62.750000000000007</v>
      </c>
      <c r="R6" s="1">
        <v>62.75</v>
      </c>
      <c r="S6" s="1">
        <v>0</v>
      </c>
      <c r="T6" s="1">
        <v>0</v>
      </c>
      <c r="U6">
        <f t="shared" si="2"/>
        <v>373500</v>
      </c>
      <c r="V6">
        <f t="shared" si="2"/>
        <v>742000</v>
      </c>
      <c r="W6">
        <f t="shared" si="0"/>
        <v>0</v>
      </c>
      <c r="X6">
        <f t="shared" si="1"/>
        <v>62750</v>
      </c>
    </row>
    <row r="7" spans="8:24" x14ac:dyDescent="0.25">
      <c r="H7">
        <v>6</v>
      </c>
      <c r="I7" s="1">
        <v>0.25497999999999998</v>
      </c>
      <c r="J7" s="1">
        <v>485.74616169024517</v>
      </c>
      <c r="K7" s="1">
        <v>1884.7538383097549</v>
      </c>
      <c r="L7" s="1">
        <v>5772.4309999999996</v>
      </c>
      <c r="M7" s="1">
        <v>-1122.4309999999996</v>
      </c>
      <c r="N7" s="1">
        <v>0</v>
      </c>
      <c r="O7" s="19">
        <v>0</v>
      </c>
      <c r="P7" s="1">
        <v>0.63</v>
      </c>
      <c r="Q7" s="1">
        <v>89.092975206611584</v>
      </c>
      <c r="R7" s="1">
        <v>89.092975206611584</v>
      </c>
      <c r="S7" s="1">
        <v>0</v>
      </c>
      <c r="T7" s="1">
        <v>0</v>
      </c>
      <c r="U7">
        <f t="shared" si="2"/>
        <v>-485746.16169024509</v>
      </c>
      <c r="V7">
        <f t="shared" si="2"/>
        <v>1122430.9999999995</v>
      </c>
      <c r="W7">
        <f t="shared" si="0"/>
        <v>0</v>
      </c>
      <c r="X7">
        <f t="shared" si="1"/>
        <v>89092.975206611591</v>
      </c>
    </row>
    <row r="8" spans="8:24" x14ac:dyDescent="0.25">
      <c r="H8">
        <v>7</v>
      </c>
      <c r="I8" s="1">
        <v>0.26271</v>
      </c>
      <c r="J8" s="1">
        <v>487.65694417347407</v>
      </c>
      <c r="K8" s="1">
        <v>1397.0968941362808</v>
      </c>
      <c r="L8" s="1">
        <v>5772.4309999999996</v>
      </c>
      <c r="M8" s="1">
        <v>0</v>
      </c>
      <c r="N8" s="1">
        <v>0</v>
      </c>
      <c r="O8" s="19">
        <v>0</v>
      </c>
      <c r="P8" s="1">
        <v>0.63</v>
      </c>
      <c r="Q8" s="1">
        <v>608.33334516176456</v>
      </c>
      <c r="R8" s="1">
        <v>608.33334516176456</v>
      </c>
      <c r="S8" s="1">
        <v>0</v>
      </c>
      <c r="T8" s="1">
        <v>0</v>
      </c>
      <c r="U8">
        <f t="shared" si="2"/>
        <v>-487656.94417347416</v>
      </c>
      <c r="V8">
        <f t="shared" si="2"/>
        <v>0</v>
      </c>
      <c r="W8">
        <f t="shared" si="0"/>
        <v>0</v>
      </c>
      <c r="X8">
        <f t="shared" si="1"/>
        <v>608333.34516176453</v>
      </c>
    </row>
    <row r="9" spans="8:24" x14ac:dyDescent="0.25">
      <c r="H9">
        <v>8</v>
      </c>
      <c r="I9" s="1">
        <v>0.269783</v>
      </c>
      <c r="J9" s="1">
        <v>514.64853260860855</v>
      </c>
      <c r="K9" s="1">
        <v>1397.097</v>
      </c>
      <c r="L9" s="1">
        <v>5257.782467391391</v>
      </c>
      <c r="M9" s="1">
        <v>0</v>
      </c>
      <c r="N9" s="1">
        <v>0</v>
      </c>
      <c r="O9" s="19">
        <v>1.0586371922727267E-4</v>
      </c>
      <c r="P9" s="1">
        <v>0.63</v>
      </c>
      <c r="Q9" s="1">
        <v>1032.7789374482654</v>
      </c>
      <c r="R9" s="1">
        <v>1032.7789374482654</v>
      </c>
      <c r="S9" s="1">
        <v>0</v>
      </c>
      <c r="T9" s="1">
        <v>0</v>
      </c>
      <c r="U9">
        <f t="shared" si="2"/>
        <v>0.10586371922727267</v>
      </c>
      <c r="V9">
        <f t="shared" si="2"/>
        <v>-514648.53260860854</v>
      </c>
      <c r="W9">
        <f t="shared" si="0"/>
        <v>0</v>
      </c>
      <c r="X9">
        <f t="shared" si="1"/>
        <v>1032778.9374482654</v>
      </c>
    </row>
    <row r="10" spans="8:24" x14ac:dyDescent="0.25">
      <c r="H10">
        <v>9</v>
      </c>
      <c r="I10" s="1">
        <v>0.27707500000000002</v>
      </c>
      <c r="J10" s="1">
        <v>272.920665990369</v>
      </c>
      <c r="K10" s="1">
        <v>1397.097</v>
      </c>
      <c r="L10" s="1">
        <v>4984.8618014010217</v>
      </c>
      <c r="M10" s="1">
        <v>0</v>
      </c>
      <c r="N10" s="1">
        <v>0</v>
      </c>
      <c r="O10" s="19">
        <v>0</v>
      </c>
      <c r="P10" s="1">
        <v>0.63</v>
      </c>
      <c r="Q10" s="1">
        <v>1047.9166784950978</v>
      </c>
      <c r="R10" s="1">
        <v>1047.9166784950978</v>
      </c>
      <c r="S10" s="1">
        <v>0</v>
      </c>
      <c r="T10" s="1">
        <v>0</v>
      </c>
      <c r="U10">
        <f t="shared" si="2"/>
        <v>0</v>
      </c>
      <c r="V10">
        <f t="shared" si="2"/>
        <v>-272920.66599036934</v>
      </c>
      <c r="W10">
        <f t="shared" si="0"/>
        <v>0</v>
      </c>
      <c r="X10">
        <f t="shared" si="1"/>
        <v>1047916.6784950978</v>
      </c>
    </row>
    <row r="11" spans="8:24" x14ac:dyDescent="0.25">
      <c r="H11">
        <v>10</v>
      </c>
      <c r="I11" s="1">
        <v>0.27672799999999997</v>
      </c>
      <c r="J11" s="1">
        <v>-477.49126111273267</v>
      </c>
      <c r="K11" s="1">
        <v>1874.5882611127327</v>
      </c>
      <c r="L11" s="1">
        <v>4984.8618014010217</v>
      </c>
      <c r="M11" s="1">
        <v>0</v>
      </c>
      <c r="N11" s="1">
        <v>0</v>
      </c>
      <c r="O11" s="19">
        <v>0</v>
      </c>
      <c r="P11" s="1">
        <v>0.63</v>
      </c>
      <c r="Q11" s="1">
        <v>857.7355490185148</v>
      </c>
      <c r="R11" s="1">
        <v>857.7355490185148</v>
      </c>
      <c r="S11" s="1">
        <v>0</v>
      </c>
      <c r="T11" s="1">
        <v>0</v>
      </c>
      <c r="U11">
        <f t="shared" si="2"/>
        <v>477491.2611127327</v>
      </c>
      <c r="V11">
        <f t="shared" si="2"/>
        <v>0</v>
      </c>
      <c r="W11">
        <f t="shared" si="0"/>
        <v>0</v>
      </c>
      <c r="X11">
        <f t="shared" si="1"/>
        <v>857735.54901851481</v>
      </c>
    </row>
    <row r="12" spans="8:24" x14ac:dyDescent="0.25">
      <c r="H12">
        <v>11</v>
      </c>
      <c r="I12" s="1">
        <v>0.27678199999999997</v>
      </c>
      <c r="J12" s="1">
        <v>-1103.960302315015</v>
      </c>
      <c r="K12" s="1">
        <v>2190.5250000000001</v>
      </c>
      <c r="L12" s="1">
        <v>5772.8</v>
      </c>
      <c r="M12" s="1">
        <v>0</v>
      </c>
      <c r="N12" s="1">
        <v>0</v>
      </c>
      <c r="O12" s="19">
        <v>-8.5364828769115775E-2</v>
      </c>
      <c r="P12" s="1">
        <v>0.63</v>
      </c>
      <c r="Q12" s="1">
        <v>744.06406141520824</v>
      </c>
      <c r="R12" s="1">
        <v>744.06406141520824</v>
      </c>
      <c r="S12" s="1">
        <v>0</v>
      </c>
      <c r="T12" s="1">
        <v>0</v>
      </c>
      <c r="U12">
        <f t="shared" si="2"/>
        <v>315936.73888726742</v>
      </c>
      <c r="V12">
        <f t="shared" si="2"/>
        <v>787938.19859897846</v>
      </c>
      <c r="W12">
        <f t="shared" si="0"/>
        <v>0</v>
      </c>
      <c r="X12">
        <f t="shared" si="1"/>
        <v>744064.06141520827</v>
      </c>
    </row>
    <row r="13" spans="8:24" x14ac:dyDescent="0.25">
      <c r="H13">
        <v>12</v>
      </c>
      <c r="I13" s="1">
        <v>0.270368</v>
      </c>
      <c r="J13" s="1">
        <v>-725.24508765140502</v>
      </c>
      <c r="K13" s="1">
        <v>2575.125</v>
      </c>
      <c r="L13" s="1">
        <v>5772.8</v>
      </c>
      <c r="M13" s="1">
        <v>340.625</v>
      </c>
      <c r="N13" s="1">
        <v>0</v>
      </c>
      <c r="O13" s="19">
        <v>-2.0087651405106044E-2</v>
      </c>
      <c r="P13" s="1">
        <v>0.63</v>
      </c>
      <c r="Q13" s="1">
        <v>763.97576980125007</v>
      </c>
      <c r="R13" s="1">
        <v>763.97576980125007</v>
      </c>
      <c r="S13" s="1">
        <v>0</v>
      </c>
      <c r="T13" s="1">
        <v>0</v>
      </c>
      <c r="U13">
        <f t="shared" si="2"/>
        <v>384599.99999999988</v>
      </c>
      <c r="V13">
        <f t="shared" si="2"/>
        <v>0</v>
      </c>
      <c r="W13">
        <f t="shared" si="0"/>
        <v>0</v>
      </c>
      <c r="X13">
        <f t="shared" si="1"/>
        <v>763975.76980125008</v>
      </c>
    </row>
    <row r="14" spans="8:24" x14ac:dyDescent="0.25">
      <c r="H14">
        <v>13</v>
      </c>
      <c r="I14" s="1">
        <v>0.266897</v>
      </c>
      <c r="J14" s="1">
        <v>-860.68715094549304</v>
      </c>
      <c r="K14" s="1">
        <v>2575.125</v>
      </c>
      <c r="L14" s="1">
        <v>5772.8</v>
      </c>
      <c r="M14" s="1">
        <v>860.68700000000001</v>
      </c>
      <c r="N14" s="1">
        <v>0</v>
      </c>
      <c r="O14" s="19">
        <v>-1.5094549303285021E-4</v>
      </c>
      <c r="P14" s="1">
        <v>0.63</v>
      </c>
      <c r="Q14" s="1">
        <v>718.98072808187499</v>
      </c>
      <c r="R14" s="1">
        <v>718.98072808187499</v>
      </c>
      <c r="S14" s="1">
        <v>0</v>
      </c>
      <c r="T14" s="1">
        <v>0</v>
      </c>
      <c r="U14">
        <f t="shared" si="2"/>
        <v>0</v>
      </c>
      <c r="V14">
        <f t="shared" si="2"/>
        <v>0</v>
      </c>
      <c r="W14">
        <f t="shared" si="0"/>
        <v>0</v>
      </c>
      <c r="X14">
        <f t="shared" si="1"/>
        <v>718980.72808187502</v>
      </c>
    </row>
    <row r="15" spans="8:24" x14ac:dyDescent="0.25">
      <c r="H15">
        <v>14</v>
      </c>
      <c r="I15" s="1">
        <v>0.26474700000000001</v>
      </c>
      <c r="J15" s="1">
        <v>-423.8448318208292</v>
      </c>
      <c r="K15" s="1">
        <v>2575.125</v>
      </c>
      <c r="L15" s="1">
        <v>5772.8</v>
      </c>
      <c r="M15" s="1">
        <v>423.84500000000003</v>
      </c>
      <c r="N15" s="1">
        <v>0</v>
      </c>
      <c r="O15" s="19">
        <v>1.6817917082789791E-4</v>
      </c>
      <c r="P15" s="1">
        <v>0.63</v>
      </c>
      <c r="Q15" s="1">
        <v>719.56888235184806</v>
      </c>
      <c r="R15" s="1">
        <v>719.56888235184806</v>
      </c>
      <c r="S15" s="1">
        <v>0</v>
      </c>
      <c r="T15" s="1">
        <v>0</v>
      </c>
      <c r="U15">
        <f t="shared" si="2"/>
        <v>0</v>
      </c>
      <c r="V15">
        <f t="shared" si="2"/>
        <v>0</v>
      </c>
      <c r="W15">
        <f t="shared" si="0"/>
        <v>0</v>
      </c>
      <c r="X15">
        <f t="shared" si="1"/>
        <v>719568.88235184806</v>
      </c>
    </row>
    <row r="16" spans="8:24" x14ac:dyDescent="0.25">
      <c r="H16">
        <v>15</v>
      </c>
      <c r="I16" s="1">
        <v>0.26649400000000001</v>
      </c>
      <c r="J16" s="1">
        <v>-910.68031963267845</v>
      </c>
      <c r="K16" s="1">
        <v>2575.125</v>
      </c>
      <c r="L16" s="1">
        <v>5772.8</v>
      </c>
      <c r="M16" s="1">
        <v>910.68</v>
      </c>
      <c r="N16" s="1">
        <v>0</v>
      </c>
      <c r="O16" s="19">
        <v>-3.1963267849732802E-4</v>
      </c>
      <c r="P16" s="1">
        <v>0.63</v>
      </c>
      <c r="Q16" s="1">
        <v>694.40221568518132</v>
      </c>
      <c r="R16" s="1">
        <v>694.40221568518132</v>
      </c>
      <c r="S16" s="1">
        <v>0</v>
      </c>
      <c r="T16" s="1">
        <v>0</v>
      </c>
      <c r="U16">
        <f t="shared" si="2"/>
        <v>0</v>
      </c>
      <c r="V16">
        <f t="shared" si="2"/>
        <v>0</v>
      </c>
      <c r="W16">
        <f t="shared" si="0"/>
        <v>0</v>
      </c>
      <c r="X16">
        <f t="shared" si="1"/>
        <v>694402.21568518132</v>
      </c>
    </row>
    <row r="17" spans="1:24" x14ac:dyDescent="0.25">
      <c r="H17">
        <v>16</v>
      </c>
      <c r="I17" s="1">
        <v>0.270067</v>
      </c>
      <c r="J17" s="1">
        <v>-930.26000212080044</v>
      </c>
      <c r="K17" s="1">
        <v>2575.125</v>
      </c>
      <c r="L17" s="1">
        <v>5772.8</v>
      </c>
      <c r="M17" s="1">
        <v>930.26</v>
      </c>
      <c r="N17" s="1">
        <v>0</v>
      </c>
      <c r="O17" s="19">
        <v>-2.1208004454820184E-6</v>
      </c>
      <c r="P17" s="1">
        <v>0.63</v>
      </c>
      <c r="Q17" s="1">
        <v>720.15703662181977</v>
      </c>
      <c r="R17" s="1">
        <v>720.15703662181977</v>
      </c>
      <c r="S17" s="1">
        <v>0</v>
      </c>
      <c r="T17" s="1">
        <v>0</v>
      </c>
      <c r="U17">
        <f t="shared" si="2"/>
        <v>0</v>
      </c>
      <c r="V17">
        <f t="shared" si="2"/>
        <v>0</v>
      </c>
      <c r="W17">
        <f t="shared" si="0"/>
        <v>0</v>
      </c>
      <c r="X17">
        <f t="shared" si="1"/>
        <v>720157.03662181972</v>
      </c>
    </row>
    <row r="18" spans="1:24" x14ac:dyDescent="0.25">
      <c r="H18">
        <v>17</v>
      </c>
      <c r="I18" s="1">
        <v>0.27431899999999998</v>
      </c>
      <c r="J18" s="1">
        <v>-999.70317832699141</v>
      </c>
      <c r="K18" s="1">
        <v>2575.125</v>
      </c>
      <c r="L18" s="1">
        <v>5772.4314534781524</v>
      </c>
      <c r="M18" s="1">
        <v>1000</v>
      </c>
      <c r="N18" s="1">
        <v>0</v>
      </c>
      <c r="O18" s="19">
        <v>-7.172484883915331E-2</v>
      </c>
      <c r="P18" s="1">
        <v>0.63</v>
      </c>
      <c r="Q18" s="1">
        <v>765.23541167452811</v>
      </c>
      <c r="R18" s="1">
        <v>765.23541167452811</v>
      </c>
      <c r="S18" s="1">
        <v>0</v>
      </c>
      <c r="T18" s="1">
        <v>0</v>
      </c>
      <c r="U18">
        <f t="shared" si="2"/>
        <v>0</v>
      </c>
      <c r="V18">
        <f t="shared" si="2"/>
        <v>-368.5465218477475</v>
      </c>
      <c r="W18">
        <f t="shared" si="0"/>
        <v>0</v>
      </c>
      <c r="X18">
        <f t="shared" si="1"/>
        <v>765235.41167452815</v>
      </c>
    </row>
    <row r="19" spans="1:24" x14ac:dyDescent="0.25">
      <c r="H19">
        <v>18</v>
      </c>
      <c r="I19" s="1">
        <v>0.27111299999999999</v>
      </c>
      <c r="J19" s="1">
        <v>-114.51877415535122</v>
      </c>
      <c r="K19" s="1">
        <v>2575.125</v>
      </c>
      <c r="L19" s="1">
        <v>5772.4314534781524</v>
      </c>
      <c r="M19" s="1">
        <v>114.51900000000001</v>
      </c>
      <c r="N19" s="1">
        <v>0</v>
      </c>
      <c r="O19" s="19">
        <v>2.2584464878150357E-4</v>
      </c>
      <c r="P19" s="1">
        <v>0.63</v>
      </c>
      <c r="Q19" s="1">
        <v>745.32370328848651</v>
      </c>
      <c r="R19" s="1">
        <v>745.32370328848651</v>
      </c>
      <c r="S19" s="1">
        <v>0</v>
      </c>
      <c r="T19" s="1">
        <v>0</v>
      </c>
      <c r="U19">
        <f t="shared" si="2"/>
        <v>0</v>
      </c>
      <c r="V19">
        <f t="shared" si="2"/>
        <v>0</v>
      </c>
      <c r="W19">
        <f t="shared" si="0"/>
        <v>0</v>
      </c>
      <c r="X19">
        <f t="shared" si="1"/>
        <v>745323.70328848646</v>
      </c>
    </row>
    <row r="20" spans="1:24" x14ac:dyDescent="0.25">
      <c r="H20">
        <v>19</v>
      </c>
      <c r="I20" s="1">
        <v>0.28212799999999999</v>
      </c>
      <c r="J20" s="1">
        <v>337.51675624470613</v>
      </c>
      <c r="K20" s="1">
        <v>2237.6082437552941</v>
      </c>
      <c r="L20" s="1">
        <v>5114.4309999999996</v>
      </c>
      <c r="M20" s="1">
        <v>658</v>
      </c>
      <c r="N20" s="1">
        <v>0</v>
      </c>
      <c r="O20" s="19">
        <v>-4.5347815262175573E-4</v>
      </c>
      <c r="P20" s="1">
        <v>0.63</v>
      </c>
      <c r="Q20" s="1">
        <v>475.87190082644696</v>
      </c>
      <c r="R20" s="1">
        <v>475.87190082644696</v>
      </c>
      <c r="S20" s="1">
        <v>0</v>
      </c>
      <c r="T20" s="1">
        <v>0</v>
      </c>
      <c r="U20">
        <f t="shared" si="2"/>
        <v>-337516.75624470587</v>
      </c>
      <c r="V20">
        <f t="shared" si="2"/>
        <v>-658000.45347815286</v>
      </c>
      <c r="W20">
        <f t="shared" si="0"/>
        <v>0</v>
      </c>
      <c r="X20">
        <f t="shared" si="1"/>
        <v>475871.90082644694</v>
      </c>
    </row>
    <row r="21" spans="1:24" x14ac:dyDescent="0.25">
      <c r="H21">
        <v>20</v>
      </c>
      <c r="I21" s="1">
        <v>0.28089700000000001</v>
      </c>
      <c r="J21" s="1">
        <v>465.60002859207776</v>
      </c>
      <c r="K21" s="1">
        <v>1772.0082151632164</v>
      </c>
      <c r="L21" s="1">
        <v>5114.4309999999996</v>
      </c>
      <c r="M21" s="1">
        <v>0</v>
      </c>
      <c r="N21" s="1">
        <v>0</v>
      </c>
      <c r="O21" s="19">
        <v>0</v>
      </c>
      <c r="P21" s="1">
        <v>0.63</v>
      </c>
      <c r="Q21" s="1">
        <v>601.45523415978028</v>
      </c>
      <c r="R21" s="1">
        <v>601.45523415978028</v>
      </c>
      <c r="S21" s="1">
        <v>0</v>
      </c>
      <c r="T21" s="1">
        <v>0</v>
      </c>
      <c r="U21">
        <f t="shared" si="2"/>
        <v>-465600.02859207772</v>
      </c>
      <c r="V21">
        <f t="shared" si="2"/>
        <v>0</v>
      </c>
      <c r="W21">
        <f t="shared" si="0"/>
        <v>0</v>
      </c>
      <c r="X21">
        <f t="shared" si="1"/>
        <v>601455.23415978032</v>
      </c>
    </row>
    <row r="22" spans="1:24" x14ac:dyDescent="0.25">
      <c r="H22">
        <v>21</v>
      </c>
      <c r="I22" s="1">
        <v>0.27615600000000001</v>
      </c>
      <c r="J22" s="1">
        <v>512.74202974724938</v>
      </c>
      <c r="K22" s="1">
        <v>1259.2661854159669</v>
      </c>
      <c r="L22" s="1">
        <v>5114.4309999999996</v>
      </c>
      <c r="M22" s="1">
        <v>0</v>
      </c>
      <c r="N22" s="1">
        <v>0</v>
      </c>
      <c r="O22" s="19">
        <v>0</v>
      </c>
      <c r="P22" s="1">
        <v>0.63</v>
      </c>
      <c r="Q22" s="1">
        <v>491.00964187327816</v>
      </c>
      <c r="R22" s="1">
        <v>491.00964187327816</v>
      </c>
      <c r="S22" s="1">
        <v>0</v>
      </c>
      <c r="T22" s="1">
        <v>0</v>
      </c>
      <c r="U22">
        <f t="shared" si="2"/>
        <v>-512742.0297472495</v>
      </c>
      <c r="V22">
        <f t="shared" si="2"/>
        <v>0</v>
      </c>
      <c r="W22">
        <f t="shared" si="0"/>
        <v>0</v>
      </c>
      <c r="X22">
        <f t="shared" si="1"/>
        <v>491009.64187327813</v>
      </c>
    </row>
    <row r="23" spans="1:24" x14ac:dyDescent="0.25">
      <c r="H23">
        <v>22</v>
      </c>
      <c r="I23" s="1">
        <v>0.27117200000000002</v>
      </c>
      <c r="J23" s="1">
        <v>508.74604423543906</v>
      </c>
      <c r="K23" s="1">
        <v>1250</v>
      </c>
      <c r="L23" s="1">
        <v>4614.6849557645601</v>
      </c>
      <c r="M23" s="1">
        <v>0</v>
      </c>
      <c r="N23" s="1">
        <v>0</v>
      </c>
      <c r="O23" s="19">
        <v>-0.26618541596735668</v>
      </c>
      <c r="P23" s="1">
        <v>0.63</v>
      </c>
      <c r="Q23" s="1">
        <v>296.34297520661147</v>
      </c>
      <c r="R23" s="1">
        <v>296.34297520661147</v>
      </c>
      <c r="S23" s="1">
        <v>0</v>
      </c>
      <c r="T23" s="1">
        <v>0</v>
      </c>
      <c r="U23">
        <f t="shared" si="2"/>
        <v>-9266.1854159669019</v>
      </c>
      <c r="V23">
        <f t="shared" si="2"/>
        <v>-499746.04423543951</v>
      </c>
      <c r="W23">
        <f t="shared" si="0"/>
        <v>0</v>
      </c>
      <c r="X23">
        <f t="shared" si="1"/>
        <v>296342.97520661145</v>
      </c>
    </row>
    <row r="24" spans="1:24" x14ac:dyDescent="0.25">
      <c r="H24">
        <v>23</v>
      </c>
      <c r="I24" s="1">
        <v>0.26649</v>
      </c>
      <c r="J24" s="1">
        <v>510.54919361575929</v>
      </c>
      <c r="K24" s="1">
        <v>1250</v>
      </c>
      <c r="L24" s="1">
        <v>4104.1357621488005</v>
      </c>
      <c r="M24" s="1">
        <v>0</v>
      </c>
      <c r="N24" s="1">
        <v>0</v>
      </c>
      <c r="O24" s="19">
        <v>0</v>
      </c>
      <c r="P24" s="1">
        <v>0.63</v>
      </c>
      <c r="Q24" s="1">
        <v>151.92630853994481</v>
      </c>
      <c r="R24" s="1">
        <v>151.92630853994481</v>
      </c>
      <c r="S24" s="1">
        <v>0</v>
      </c>
      <c r="T24" s="1">
        <v>0</v>
      </c>
      <c r="U24">
        <f t="shared" si="2"/>
        <v>0</v>
      </c>
      <c r="V24">
        <f t="shared" si="2"/>
        <v>-510549.19361575961</v>
      </c>
      <c r="W24">
        <f t="shared" si="0"/>
        <v>0</v>
      </c>
      <c r="X24">
        <f t="shared" si="1"/>
        <v>151926.30853994482</v>
      </c>
    </row>
    <row r="25" spans="1:24" x14ac:dyDescent="0.25">
      <c r="H25">
        <v>24</v>
      </c>
      <c r="I25" s="1">
        <v>0.26110800000000001</v>
      </c>
      <c r="J25" s="1">
        <v>500.7014805998985</v>
      </c>
      <c r="K25" s="1">
        <v>1250</v>
      </c>
      <c r="L25" s="1">
        <v>3603.4342815489022</v>
      </c>
      <c r="M25" s="1">
        <v>0</v>
      </c>
      <c r="N25" s="1">
        <v>0</v>
      </c>
      <c r="O25" s="19">
        <v>0</v>
      </c>
      <c r="P25" s="1">
        <v>0.63</v>
      </c>
      <c r="Q25" s="1">
        <v>32.004820936639099</v>
      </c>
      <c r="R25" s="1">
        <v>32.04</v>
      </c>
      <c r="S25" s="1">
        <v>0</v>
      </c>
      <c r="T25" s="1">
        <v>0</v>
      </c>
      <c r="U25">
        <f t="shared" si="2"/>
        <v>0</v>
      </c>
      <c r="V25">
        <f t="shared" si="2"/>
        <v>-500701.48059989832</v>
      </c>
      <c r="W25">
        <f t="shared" si="0"/>
        <v>0</v>
      </c>
      <c r="X25">
        <f t="shared" si="1"/>
        <v>32040</v>
      </c>
    </row>
    <row r="26" spans="1:24" x14ac:dyDescent="0.25">
      <c r="M26" s="1"/>
      <c r="O26" s="19"/>
    </row>
    <row r="31" spans="1:24" x14ac:dyDescent="0.25">
      <c r="A31" t="s">
        <v>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9D86-55BC-4E32-B978-2EE4E7AC6A00}">
  <dimension ref="A1:BC31"/>
  <sheetViews>
    <sheetView topLeftCell="N1" workbookViewId="0">
      <selection activeCell="W2" sqref="W2:W25"/>
    </sheetView>
  </sheetViews>
  <sheetFormatPr defaultRowHeight="15" x14ac:dyDescent="0.25"/>
  <cols>
    <col min="6" max="6" width="2" customWidth="1"/>
    <col min="7" max="7" width="9.140625" hidden="1" customWidth="1"/>
    <col min="8" max="8" width="5.42578125" customWidth="1"/>
    <col min="9" max="9" width="12.140625" customWidth="1"/>
    <col min="13" max="13" width="11.140625" customWidth="1"/>
    <col min="14" max="14" width="12" customWidth="1"/>
    <col min="15" max="15" width="14.42578125" customWidth="1"/>
    <col min="16" max="16" width="19.5703125" customWidth="1"/>
    <col min="17" max="17" width="18.7109375" customWidth="1"/>
    <col min="18" max="18" width="14.5703125" customWidth="1"/>
    <col min="19" max="19" width="14.28515625" customWidth="1"/>
    <col min="20" max="20" width="12.7109375" customWidth="1"/>
    <col min="32" max="32" width="44.28515625" customWidth="1"/>
  </cols>
  <sheetData>
    <row r="1" spans="8:55" x14ac:dyDescent="0.25">
      <c r="I1" s="1" t="s">
        <v>6</v>
      </c>
      <c r="J1" s="1" t="s">
        <v>3</v>
      </c>
      <c r="K1" s="1" t="s">
        <v>0</v>
      </c>
      <c r="L1" s="1" t="s">
        <v>1</v>
      </c>
      <c r="M1" s="1" t="s">
        <v>63</v>
      </c>
      <c r="N1" s="1" t="s">
        <v>64</v>
      </c>
      <c r="O1" s="1" t="s">
        <v>67</v>
      </c>
      <c r="P1" s="1" t="s">
        <v>71</v>
      </c>
      <c r="Q1" s="1" t="s">
        <v>4</v>
      </c>
      <c r="R1" s="1" t="s">
        <v>65</v>
      </c>
      <c r="S1" s="1" t="s">
        <v>5</v>
      </c>
      <c r="T1" s="1" t="s">
        <v>68</v>
      </c>
      <c r="U1" s="1" t="s">
        <v>75</v>
      </c>
      <c r="V1" s="1" t="s">
        <v>76</v>
      </c>
      <c r="W1" s="1" t="s">
        <v>77</v>
      </c>
      <c r="X1" s="1" t="s">
        <v>65</v>
      </c>
      <c r="AG1">
        <v>0.25714300000000001</v>
      </c>
      <c r="AH1">
        <v>0.25442999999999999</v>
      </c>
      <c r="AI1">
        <v>0.25297999999999998</v>
      </c>
      <c r="AJ1">
        <v>0.25274999999999997</v>
      </c>
      <c r="AK1">
        <v>0.25497999999999998</v>
      </c>
      <c r="AL1">
        <v>0.20627100000000001</v>
      </c>
      <c r="AM1">
        <v>0.269783</v>
      </c>
      <c r="AN1">
        <v>0.27707500000000002</v>
      </c>
      <c r="AO1">
        <v>0.27672799999999997</v>
      </c>
      <c r="AP1">
        <v>0.27678199999999997</v>
      </c>
      <c r="AQ1">
        <v>0.270368</v>
      </c>
      <c r="AR1">
        <v>0.266897</v>
      </c>
      <c r="AS1">
        <v>0.26474700000000001</v>
      </c>
      <c r="AT1">
        <v>0.26649400000000001</v>
      </c>
      <c r="AU1">
        <v>0.270067</v>
      </c>
      <c r="AV1">
        <v>0.27431899999999998</v>
      </c>
      <c r="AW1">
        <v>0.27111299999999999</v>
      </c>
      <c r="AX1">
        <v>0.28212799999999999</v>
      </c>
      <c r="AY1">
        <v>0.28089700000000001</v>
      </c>
      <c r="AZ1">
        <v>0.27615600000000001</v>
      </c>
      <c r="BA1">
        <v>0.27117200000000002</v>
      </c>
      <c r="BB1">
        <v>6.6489999999999994E-2</v>
      </c>
      <c r="BC1">
        <v>6.1108000000000003E-2</v>
      </c>
    </row>
    <row r="2" spans="8:55" x14ac:dyDescent="0.25">
      <c r="H2">
        <v>1</v>
      </c>
      <c r="I2" s="1">
        <v>0.26038899999999998</v>
      </c>
      <c r="J2" s="1">
        <v>391.73572530890755</v>
      </c>
      <c r="K2" s="1">
        <v>1250</v>
      </c>
      <c r="L2" s="1">
        <v>3608</v>
      </c>
      <c r="M2" s="1">
        <v>0</v>
      </c>
      <c r="N2" s="1">
        <v>-391.73</v>
      </c>
      <c r="O2" s="19">
        <f>+J2+((K2-K25)+(L2-L25)+M2+(N2))</f>
        <v>5.7253089075288699E-3</v>
      </c>
      <c r="P2" s="1">
        <v>0.63</v>
      </c>
      <c r="Q2" s="1">
        <v>62.750000000000007</v>
      </c>
      <c r="R2" s="1">
        <v>62.75</v>
      </c>
      <c r="S2" s="1">
        <v>0</v>
      </c>
      <c r="T2" s="1">
        <v>0</v>
      </c>
      <c r="U2">
        <f>(K2-1250)*1000</f>
        <v>0</v>
      </c>
      <c r="V2">
        <f>(L2-3608)*1000</f>
        <v>0</v>
      </c>
      <c r="W2">
        <f>N2*1000</f>
        <v>-391730</v>
      </c>
      <c r="X2">
        <f>R2*1000</f>
        <v>62750</v>
      </c>
    </row>
    <row r="3" spans="8:55" x14ac:dyDescent="0.25">
      <c r="H3">
        <v>2</v>
      </c>
      <c r="I3" s="1">
        <v>0.25714300000000001</v>
      </c>
      <c r="J3" s="1">
        <v>395.12728829926812</v>
      </c>
      <c r="K3" s="1">
        <v>1250</v>
      </c>
      <c r="L3" s="1">
        <v>3215.873</v>
      </c>
      <c r="M3" s="1">
        <v>0</v>
      </c>
      <c r="N3" s="1">
        <v>0</v>
      </c>
      <c r="O3" s="19">
        <f>+J3+((K3-K2)+(L3-L2)+M3+(N3))</f>
        <v>3.0002882992681634</v>
      </c>
      <c r="P3" s="1">
        <v>0.63</v>
      </c>
      <c r="Q3" s="1">
        <v>62.750000000000007</v>
      </c>
      <c r="R3" s="1">
        <v>62.75</v>
      </c>
      <c r="S3" s="1">
        <v>0</v>
      </c>
      <c r="T3" s="1">
        <v>0</v>
      </c>
      <c r="U3">
        <f>(K3-K2)*1000</f>
        <v>0</v>
      </c>
      <c r="V3">
        <f>(L3-L2)*1000</f>
        <v>-392126.99999999994</v>
      </c>
      <c r="W3">
        <f t="shared" ref="W3:W25" si="0">N3*1000</f>
        <v>0</v>
      </c>
      <c r="X3">
        <f t="shared" ref="X3:X25" si="1">R3*1000</f>
        <v>62750</v>
      </c>
    </row>
    <row r="4" spans="8:55" x14ac:dyDescent="0.25">
      <c r="H4">
        <v>3</v>
      </c>
      <c r="I4" s="1">
        <v>0.25442999999999999</v>
      </c>
      <c r="J4" s="1">
        <v>386.83877182354337</v>
      </c>
      <c r="K4" s="1">
        <v>1623.5</v>
      </c>
      <c r="L4" s="1">
        <v>2447.23422817646</v>
      </c>
      <c r="M4" s="1">
        <v>0</v>
      </c>
      <c r="N4" s="1">
        <v>0</v>
      </c>
      <c r="O4" s="19">
        <f t="shared" ref="O4:O25" si="2">+J4+((K4-K3)+(L4-L3)+M4+(N4))</f>
        <v>-8.2999999999967145</v>
      </c>
      <c r="P4" s="1">
        <v>0.63</v>
      </c>
      <c r="Q4" s="1">
        <v>62.750000000000007</v>
      </c>
      <c r="R4" s="1">
        <v>62.75</v>
      </c>
      <c r="S4" s="1">
        <v>0</v>
      </c>
      <c r="T4" s="1">
        <v>0</v>
      </c>
      <c r="U4">
        <f t="shared" ref="U4:V25" si="3">(K4-K3)*1000</f>
        <v>373500</v>
      </c>
      <c r="V4">
        <f t="shared" si="3"/>
        <v>-768638.7718235401</v>
      </c>
      <c r="W4">
        <f t="shared" si="0"/>
        <v>0</v>
      </c>
      <c r="X4">
        <f t="shared" si="1"/>
        <v>62750</v>
      </c>
    </row>
    <row r="5" spans="8:55" x14ac:dyDescent="0.25">
      <c r="H5">
        <v>4</v>
      </c>
      <c r="I5" s="1">
        <v>0.25297999999999998</v>
      </c>
      <c r="J5" s="1">
        <v>400.32760079926811</v>
      </c>
      <c r="K5" s="1">
        <v>1999.8</v>
      </c>
      <c r="L5" s="1">
        <v>1884.0342281764599</v>
      </c>
      <c r="M5" s="1">
        <v>0</v>
      </c>
      <c r="N5" s="1">
        <v>-200</v>
      </c>
      <c r="O5" s="19">
        <f t="shared" si="2"/>
        <v>13.427600799268021</v>
      </c>
      <c r="P5" s="1">
        <v>0.63</v>
      </c>
      <c r="Q5" s="1">
        <v>62.750000000000007</v>
      </c>
      <c r="R5" s="1">
        <v>62.75</v>
      </c>
      <c r="S5" s="1">
        <v>0</v>
      </c>
      <c r="T5" s="1">
        <v>0</v>
      </c>
      <c r="U5">
        <f t="shared" si="3"/>
        <v>376299.99999999994</v>
      </c>
      <c r="V5">
        <f t="shared" si="3"/>
        <v>-563200</v>
      </c>
      <c r="W5">
        <f t="shared" si="0"/>
        <v>-200000</v>
      </c>
      <c r="X5">
        <f t="shared" si="1"/>
        <v>62750</v>
      </c>
    </row>
    <row r="6" spans="8:55" x14ac:dyDescent="0.25">
      <c r="H6">
        <v>5</v>
      </c>
      <c r="I6" s="1">
        <v>0.25274999999999997</v>
      </c>
      <c r="J6" s="1">
        <v>398.28908432354336</v>
      </c>
      <c r="K6" s="1">
        <v>2370.5</v>
      </c>
      <c r="L6" s="1">
        <v>1105.2451438529131</v>
      </c>
      <c r="M6" s="1">
        <v>0</v>
      </c>
      <c r="N6" s="1">
        <v>0</v>
      </c>
      <c r="O6" s="19">
        <f t="shared" si="2"/>
        <v>-9.800000000003422</v>
      </c>
      <c r="P6" s="1">
        <v>0.63</v>
      </c>
      <c r="Q6" s="1">
        <v>62.750000000000007</v>
      </c>
      <c r="R6" s="1">
        <v>62.75</v>
      </c>
      <c r="S6" s="1">
        <v>0</v>
      </c>
      <c r="T6" s="1">
        <v>0</v>
      </c>
      <c r="U6">
        <f t="shared" si="3"/>
        <v>370700.00000000006</v>
      </c>
      <c r="V6">
        <f t="shared" si="3"/>
        <v>-778789.08432354685</v>
      </c>
      <c r="W6">
        <f t="shared" si="0"/>
        <v>0</v>
      </c>
      <c r="X6">
        <f t="shared" si="1"/>
        <v>62750</v>
      </c>
    </row>
    <row r="7" spans="8:55" x14ac:dyDescent="0.25">
      <c r="H7">
        <v>6</v>
      </c>
      <c r="I7" s="1">
        <v>0.25497999999999998</v>
      </c>
      <c r="J7" s="1">
        <v>485.246161690245</v>
      </c>
      <c r="K7" s="1">
        <v>2370</v>
      </c>
      <c r="L7" s="1">
        <v>1088</v>
      </c>
      <c r="M7" s="1">
        <v>-80.5</v>
      </c>
      <c r="N7" s="1">
        <v>-387</v>
      </c>
      <c r="O7" s="19">
        <f t="shared" si="2"/>
        <v>1.0178373319149614E-3</v>
      </c>
      <c r="P7" s="1">
        <v>0.63</v>
      </c>
      <c r="Q7" s="1">
        <v>89.092975206611584</v>
      </c>
      <c r="R7" s="1">
        <v>89.092975206611584</v>
      </c>
      <c r="S7" s="1">
        <v>0</v>
      </c>
      <c r="T7" s="1">
        <v>0</v>
      </c>
      <c r="U7">
        <f t="shared" si="3"/>
        <v>-500</v>
      </c>
      <c r="V7">
        <f t="shared" si="3"/>
        <v>-17245.14385291309</v>
      </c>
      <c r="W7">
        <f t="shared" si="0"/>
        <v>-387000</v>
      </c>
      <c r="X7">
        <f t="shared" si="1"/>
        <v>89092.975206611591</v>
      </c>
    </row>
    <row r="8" spans="8:55" x14ac:dyDescent="0.25">
      <c r="H8">
        <v>7</v>
      </c>
      <c r="I8" s="1">
        <v>0.26271</v>
      </c>
      <c r="J8" s="1">
        <v>487.65694417347407</v>
      </c>
      <c r="K8" s="1">
        <v>2370</v>
      </c>
      <c r="L8" s="1">
        <v>1088</v>
      </c>
      <c r="M8" s="1">
        <v>0</v>
      </c>
      <c r="N8" s="1">
        <v>-487.66</v>
      </c>
      <c r="O8" s="19">
        <f>+J8+((K8-K7)+(L8-L7)+M8+(N8))</f>
        <v>-3.0558265259514883E-3</v>
      </c>
      <c r="P8" s="1">
        <v>0.63</v>
      </c>
      <c r="Q8" s="1">
        <v>608.33334516176456</v>
      </c>
      <c r="R8" s="1">
        <v>608.33334516176456</v>
      </c>
      <c r="S8" s="1">
        <v>0</v>
      </c>
      <c r="T8" s="1">
        <v>0</v>
      </c>
      <c r="U8">
        <f t="shared" si="3"/>
        <v>0</v>
      </c>
      <c r="V8">
        <f t="shared" si="3"/>
        <v>0</v>
      </c>
      <c r="W8">
        <f t="shared" si="0"/>
        <v>-487660</v>
      </c>
      <c r="X8">
        <f t="shared" si="1"/>
        <v>608333.34516176453</v>
      </c>
    </row>
    <row r="9" spans="8:55" x14ac:dyDescent="0.25">
      <c r="H9">
        <v>8</v>
      </c>
      <c r="I9" s="1">
        <v>0.269783</v>
      </c>
      <c r="J9" s="1">
        <v>514.64853260860855</v>
      </c>
      <c r="K9" s="1">
        <v>1855.3514673913915</v>
      </c>
      <c r="L9" s="1">
        <v>1088</v>
      </c>
      <c r="M9" s="1">
        <v>0</v>
      </c>
      <c r="N9" s="1">
        <v>0</v>
      </c>
      <c r="O9" s="19">
        <f t="shared" si="2"/>
        <v>0</v>
      </c>
      <c r="P9" s="1">
        <v>0.63</v>
      </c>
      <c r="Q9" s="1">
        <v>1032.7789374482654</v>
      </c>
      <c r="R9" s="1">
        <v>1032.7789374482654</v>
      </c>
      <c r="S9" s="1">
        <v>0</v>
      </c>
      <c r="T9" s="1">
        <v>0</v>
      </c>
      <c r="U9">
        <f t="shared" si="3"/>
        <v>-514648.53260860854</v>
      </c>
      <c r="V9">
        <f t="shared" si="3"/>
        <v>0</v>
      </c>
      <c r="W9">
        <f t="shared" si="0"/>
        <v>0</v>
      </c>
      <c r="X9">
        <f t="shared" si="1"/>
        <v>1032778.9374482654</v>
      </c>
    </row>
    <row r="10" spans="8:55" x14ac:dyDescent="0.25">
      <c r="H10">
        <v>9</v>
      </c>
      <c r="I10" s="1">
        <v>0.27707500000000002</v>
      </c>
      <c r="J10" s="1">
        <v>272.920665990369</v>
      </c>
      <c r="K10" s="1">
        <v>1582.4308014010226</v>
      </c>
      <c r="L10" s="1">
        <v>1088</v>
      </c>
      <c r="M10" s="1">
        <v>0</v>
      </c>
      <c r="N10" s="1">
        <v>0</v>
      </c>
      <c r="O10" s="19">
        <f t="shared" si="2"/>
        <v>0</v>
      </c>
      <c r="P10" s="1">
        <v>0.63</v>
      </c>
      <c r="Q10" s="1">
        <v>1047.9166784950978</v>
      </c>
      <c r="R10" s="1">
        <v>1047.9166784950978</v>
      </c>
      <c r="S10" s="1">
        <v>0</v>
      </c>
      <c r="T10" s="1">
        <v>0</v>
      </c>
      <c r="U10">
        <f t="shared" si="3"/>
        <v>-272920.66599036887</v>
      </c>
      <c r="V10">
        <f t="shared" si="3"/>
        <v>0</v>
      </c>
      <c r="W10">
        <f t="shared" si="0"/>
        <v>0</v>
      </c>
      <c r="X10">
        <f t="shared" si="1"/>
        <v>1047916.6784950978</v>
      </c>
    </row>
    <row r="11" spans="8:55" x14ac:dyDescent="0.25">
      <c r="H11">
        <v>10</v>
      </c>
      <c r="I11" s="1">
        <v>0.27672799999999997</v>
      </c>
      <c r="J11" s="1">
        <v>-477.49126111273267</v>
      </c>
      <c r="K11" s="1">
        <v>1582.431</v>
      </c>
      <c r="L11" s="1">
        <v>1565.4912611127327</v>
      </c>
      <c r="M11" s="1">
        <v>0</v>
      </c>
      <c r="N11" s="1">
        <v>0</v>
      </c>
      <c r="O11" s="19">
        <f t="shared" si="2"/>
        <v>1.9859897747664945E-4</v>
      </c>
      <c r="P11" s="1">
        <v>0.63</v>
      </c>
      <c r="Q11" s="1">
        <v>857.7355490185148</v>
      </c>
      <c r="R11" s="1">
        <v>857.7355490185148</v>
      </c>
      <c r="S11" s="1">
        <v>0</v>
      </c>
      <c r="T11" s="1">
        <v>0</v>
      </c>
      <c r="U11">
        <f t="shared" si="3"/>
        <v>0.19859897747664945</v>
      </c>
      <c r="V11">
        <f t="shared" si="3"/>
        <v>477491.2611127327</v>
      </c>
      <c r="W11">
        <f t="shared" si="0"/>
        <v>0</v>
      </c>
      <c r="X11">
        <f t="shared" si="1"/>
        <v>857735.54901851481</v>
      </c>
    </row>
    <row r="12" spans="8:55" x14ac:dyDescent="0.25">
      <c r="H12">
        <v>11</v>
      </c>
      <c r="I12" s="1">
        <v>0.27678199999999997</v>
      </c>
      <c r="J12" s="1">
        <v>-1103.960302315015</v>
      </c>
      <c r="K12" s="1">
        <v>1582.431</v>
      </c>
      <c r="L12" s="1">
        <v>2669.4515634277477</v>
      </c>
      <c r="M12" s="1">
        <v>0</v>
      </c>
      <c r="N12" s="1">
        <v>0</v>
      </c>
      <c r="O12" s="19">
        <f t="shared" si="2"/>
        <v>0</v>
      </c>
      <c r="P12" s="1">
        <v>0.63</v>
      </c>
      <c r="Q12" s="1">
        <v>744.06406141520824</v>
      </c>
      <c r="R12" s="1">
        <v>744.06406141520824</v>
      </c>
      <c r="S12" s="1">
        <v>0</v>
      </c>
      <c r="T12" s="1">
        <v>0</v>
      </c>
      <c r="U12">
        <f t="shared" si="3"/>
        <v>0</v>
      </c>
      <c r="V12">
        <f t="shared" si="3"/>
        <v>1103960.3023150151</v>
      </c>
      <c r="W12">
        <f t="shared" si="0"/>
        <v>0</v>
      </c>
      <c r="X12">
        <f t="shared" si="1"/>
        <v>744064.06141520827</v>
      </c>
    </row>
    <row r="13" spans="8:55" x14ac:dyDescent="0.25">
      <c r="H13">
        <v>12</v>
      </c>
      <c r="I13" s="1">
        <v>0.270368</v>
      </c>
      <c r="J13" s="1">
        <v>-725.24508765140502</v>
      </c>
      <c r="K13" s="1">
        <v>1582.431</v>
      </c>
      <c r="L13" s="1">
        <v>3394.6966510791526</v>
      </c>
      <c r="M13" s="1">
        <v>0</v>
      </c>
      <c r="N13" s="1">
        <v>0</v>
      </c>
      <c r="O13" s="19">
        <f t="shared" si="2"/>
        <v>0</v>
      </c>
      <c r="P13" s="1">
        <v>0.63</v>
      </c>
      <c r="Q13" s="1">
        <v>763.97576980125007</v>
      </c>
      <c r="R13" s="1">
        <v>763.97576980125007</v>
      </c>
      <c r="S13" s="1">
        <v>0</v>
      </c>
      <c r="T13" s="1">
        <v>0</v>
      </c>
      <c r="U13">
        <f t="shared" si="3"/>
        <v>0</v>
      </c>
      <c r="V13">
        <f t="shared" si="3"/>
        <v>725245.0876514049</v>
      </c>
      <c r="W13">
        <f t="shared" si="0"/>
        <v>0</v>
      </c>
      <c r="X13">
        <f t="shared" si="1"/>
        <v>763975.76980125008</v>
      </c>
    </row>
    <row r="14" spans="8:55" x14ac:dyDescent="0.25">
      <c r="H14">
        <v>13</v>
      </c>
      <c r="I14" s="1">
        <v>0.266897</v>
      </c>
      <c r="J14" s="1">
        <v>-860.68715094549304</v>
      </c>
      <c r="K14" s="1">
        <v>1582.431</v>
      </c>
      <c r="L14" s="1">
        <v>4255.3838020246458</v>
      </c>
      <c r="M14" s="1">
        <v>0</v>
      </c>
      <c r="N14" s="1">
        <v>0</v>
      </c>
      <c r="O14" s="19">
        <f t="shared" si="2"/>
        <v>0</v>
      </c>
      <c r="P14" s="1">
        <v>0.63</v>
      </c>
      <c r="Q14" s="1">
        <v>718.98072808187499</v>
      </c>
      <c r="R14" s="1">
        <v>718.98072808187499</v>
      </c>
      <c r="S14" s="1">
        <v>0</v>
      </c>
      <c r="T14" s="1">
        <v>0</v>
      </c>
      <c r="U14">
        <f t="shared" si="3"/>
        <v>0</v>
      </c>
      <c r="V14">
        <f t="shared" si="3"/>
        <v>860687.15094549314</v>
      </c>
      <c r="W14">
        <f t="shared" si="0"/>
        <v>0</v>
      </c>
      <c r="X14">
        <f t="shared" si="1"/>
        <v>718980.72808187502</v>
      </c>
    </row>
    <row r="15" spans="8:55" x14ac:dyDescent="0.25">
      <c r="H15">
        <v>14</v>
      </c>
      <c r="I15" s="1">
        <v>0.26474700000000001</v>
      </c>
      <c r="J15" s="1">
        <v>-423.84483182082897</v>
      </c>
      <c r="K15" s="1">
        <v>1582.431</v>
      </c>
      <c r="L15" s="1">
        <v>4679.2286338454751</v>
      </c>
      <c r="M15" s="1">
        <v>0</v>
      </c>
      <c r="N15" s="1">
        <v>0</v>
      </c>
      <c r="O15" s="19">
        <f t="shared" si="2"/>
        <v>0</v>
      </c>
      <c r="P15" s="1">
        <v>0.63</v>
      </c>
      <c r="Q15" s="1">
        <v>719.56888235184806</v>
      </c>
      <c r="R15" s="1">
        <v>719.56888235184806</v>
      </c>
      <c r="S15" s="1">
        <v>0</v>
      </c>
      <c r="T15" s="1">
        <v>0</v>
      </c>
      <c r="U15">
        <f t="shared" si="3"/>
        <v>0</v>
      </c>
      <c r="V15">
        <f t="shared" si="3"/>
        <v>423844.83182082931</v>
      </c>
      <c r="W15">
        <f t="shared" si="0"/>
        <v>0</v>
      </c>
      <c r="X15">
        <f t="shared" si="1"/>
        <v>719568.88235184806</v>
      </c>
    </row>
    <row r="16" spans="8:55" x14ac:dyDescent="0.25">
      <c r="H16">
        <v>15</v>
      </c>
      <c r="I16" s="1">
        <v>0.26649400000000001</v>
      </c>
      <c r="J16" s="1">
        <v>-910.68031963267845</v>
      </c>
      <c r="K16" s="1">
        <v>2493.1113196326787</v>
      </c>
      <c r="L16" s="1">
        <v>4679.2286338454751</v>
      </c>
      <c r="M16" s="1">
        <v>0</v>
      </c>
      <c r="N16" s="1">
        <v>0</v>
      </c>
      <c r="O16" s="19">
        <f t="shared" si="2"/>
        <v>0</v>
      </c>
      <c r="P16" s="1">
        <v>0.63</v>
      </c>
      <c r="Q16" s="1">
        <v>694.40221568518132</v>
      </c>
      <c r="R16" s="1">
        <v>694.40221568518132</v>
      </c>
      <c r="S16" s="1">
        <v>0</v>
      </c>
      <c r="T16" s="1">
        <v>0</v>
      </c>
      <c r="U16">
        <f t="shared" si="3"/>
        <v>910680.31963267864</v>
      </c>
      <c r="V16">
        <f t="shared" si="3"/>
        <v>0</v>
      </c>
      <c r="W16">
        <f t="shared" si="0"/>
        <v>0</v>
      </c>
      <c r="X16">
        <f t="shared" si="1"/>
        <v>694402.21568518132</v>
      </c>
    </row>
    <row r="17" spans="1:24" x14ac:dyDescent="0.25">
      <c r="H17">
        <v>16</v>
      </c>
      <c r="I17" s="1">
        <v>0.270067</v>
      </c>
      <c r="J17" s="1">
        <v>-930.26000212080044</v>
      </c>
      <c r="K17" s="1">
        <v>2575</v>
      </c>
      <c r="L17" s="1">
        <v>4027.6</v>
      </c>
      <c r="M17" s="1">
        <v>1500</v>
      </c>
      <c r="N17" s="1">
        <v>0</v>
      </c>
      <c r="O17" s="19">
        <f t="shared" si="2"/>
        <v>4.440104567038361E-5</v>
      </c>
      <c r="P17" s="1">
        <v>0.63</v>
      </c>
      <c r="Q17" s="1">
        <v>720.15703662181977</v>
      </c>
      <c r="R17" s="1">
        <v>720.15703662181977</v>
      </c>
      <c r="S17" s="1">
        <v>0</v>
      </c>
      <c r="T17" s="1">
        <v>0</v>
      </c>
      <c r="U17">
        <f t="shared" si="3"/>
        <v>81888.680367321285</v>
      </c>
      <c r="V17">
        <f t="shared" si="3"/>
        <v>-651628.63384547515</v>
      </c>
      <c r="W17">
        <f t="shared" si="0"/>
        <v>0</v>
      </c>
      <c r="X17">
        <f t="shared" si="1"/>
        <v>720157.03662181972</v>
      </c>
    </row>
    <row r="18" spans="1:24" x14ac:dyDescent="0.25">
      <c r="H18">
        <v>17</v>
      </c>
      <c r="I18" s="1">
        <v>0.27431899999999998</v>
      </c>
      <c r="J18" s="1">
        <v>-999.70317832699141</v>
      </c>
      <c r="K18" s="1">
        <v>3574.7031783269913</v>
      </c>
      <c r="L18" s="1">
        <v>4027.6</v>
      </c>
      <c r="M18" s="1">
        <v>0</v>
      </c>
      <c r="N18" s="1">
        <v>0</v>
      </c>
      <c r="O18" s="19">
        <f t="shared" si="2"/>
        <v>0</v>
      </c>
      <c r="P18" s="1">
        <v>0.63</v>
      </c>
      <c r="Q18" s="1">
        <v>765.23541167452811</v>
      </c>
      <c r="R18" s="1">
        <v>765.23541167452811</v>
      </c>
      <c r="S18" s="1">
        <v>0</v>
      </c>
      <c r="T18" s="1">
        <v>0</v>
      </c>
      <c r="U18">
        <f t="shared" si="3"/>
        <v>999703.17832699127</v>
      </c>
      <c r="V18">
        <f t="shared" si="3"/>
        <v>0</v>
      </c>
      <c r="W18">
        <f t="shared" si="0"/>
        <v>0</v>
      </c>
      <c r="X18">
        <f t="shared" si="1"/>
        <v>765235.41167452815</v>
      </c>
    </row>
    <row r="19" spans="1:24" x14ac:dyDescent="0.25">
      <c r="H19">
        <v>18</v>
      </c>
      <c r="I19" s="1">
        <v>0.27111299999999999</v>
      </c>
      <c r="J19" s="1">
        <v>-114.51877415535122</v>
      </c>
      <c r="K19" s="1">
        <v>3574.7</v>
      </c>
      <c r="L19" s="1">
        <v>4142.1187741553513</v>
      </c>
      <c r="M19" s="1">
        <v>0</v>
      </c>
      <c r="N19" s="1">
        <v>0</v>
      </c>
      <c r="O19" s="19">
        <f t="shared" si="2"/>
        <v>-3.1783269913319145E-3</v>
      </c>
      <c r="P19" s="1">
        <v>0.63</v>
      </c>
      <c r="Q19" s="1">
        <v>745.32370328848651</v>
      </c>
      <c r="R19" s="1">
        <v>745.32370328848651</v>
      </c>
      <c r="S19" s="1">
        <v>0</v>
      </c>
      <c r="T19" s="1">
        <v>0</v>
      </c>
      <c r="U19">
        <f t="shared" si="3"/>
        <v>-3.1783269914740231</v>
      </c>
      <c r="V19">
        <f t="shared" si="3"/>
        <v>114518.77415535136</v>
      </c>
      <c r="W19">
        <f t="shared" si="0"/>
        <v>0</v>
      </c>
      <c r="X19">
        <f t="shared" si="1"/>
        <v>745323.70328848646</v>
      </c>
    </row>
    <row r="20" spans="1:24" x14ac:dyDescent="0.25">
      <c r="H20">
        <v>19</v>
      </c>
      <c r="I20" s="1">
        <v>0.28212799999999999</v>
      </c>
      <c r="J20" s="1">
        <v>337.51675624470613</v>
      </c>
      <c r="K20" s="1">
        <v>3237.1832437552939</v>
      </c>
      <c r="L20" s="1">
        <v>4142.1187741553513</v>
      </c>
      <c r="M20" s="1">
        <v>0</v>
      </c>
      <c r="N20" s="1">
        <v>0</v>
      </c>
      <c r="O20" s="19">
        <f t="shared" si="2"/>
        <v>0</v>
      </c>
      <c r="P20" s="1">
        <v>0.63</v>
      </c>
      <c r="Q20" s="1">
        <v>475.87190082644696</v>
      </c>
      <c r="R20" s="1">
        <v>475.87190082644696</v>
      </c>
      <c r="S20" s="1">
        <v>0</v>
      </c>
      <c r="T20" s="1">
        <v>0</v>
      </c>
      <c r="U20">
        <f t="shared" si="3"/>
        <v>-337516.75624470587</v>
      </c>
      <c r="V20">
        <f t="shared" si="3"/>
        <v>0</v>
      </c>
      <c r="W20">
        <f t="shared" si="0"/>
        <v>0</v>
      </c>
      <c r="X20">
        <f t="shared" si="1"/>
        <v>475871.90082644694</v>
      </c>
    </row>
    <row r="21" spans="1:24" x14ac:dyDescent="0.25">
      <c r="H21">
        <v>20</v>
      </c>
      <c r="I21" s="1">
        <v>0.28089700000000001</v>
      </c>
      <c r="J21" s="1">
        <v>465.60002859207776</v>
      </c>
      <c r="K21" s="1">
        <v>2771.5832151632162</v>
      </c>
      <c r="L21" s="1">
        <v>4142.1187741553513</v>
      </c>
      <c r="M21" s="1">
        <v>0</v>
      </c>
      <c r="N21" s="1">
        <v>0</v>
      </c>
      <c r="O21" s="19">
        <f t="shared" si="2"/>
        <v>0</v>
      </c>
      <c r="P21" s="1">
        <v>0.63</v>
      </c>
      <c r="Q21" s="1">
        <v>601.45523415978028</v>
      </c>
      <c r="R21" s="1">
        <v>601.45523415978028</v>
      </c>
      <c r="S21" s="1">
        <v>0</v>
      </c>
      <c r="T21" s="1">
        <v>0</v>
      </c>
      <c r="U21">
        <f t="shared" si="3"/>
        <v>-465600.02859207772</v>
      </c>
      <c r="V21">
        <f t="shared" si="3"/>
        <v>0</v>
      </c>
      <c r="W21">
        <f t="shared" si="0"/>
        <v>0</v>
      </c>
      <c r="X21">
        <f t="shared" si="1"/>
        <v>601455.23415978032</v>
      </c>
    </row>
    <row r="22" spans="1:24" x14ac:dyDescent="0.25">
      <c r="H22">
        <v>21</v>
      </c>
      <c r="I22" s="1">
        <v>0.27615600000000001</v>
      </c>
      <c r="J22" s="1">
        <v>512.74202974724938</v>
      </c>
      <c r="K22" s="1">
        <v>2258.8411854159667</v>
      </c>
      <c r="L22" s="1">
        <v>4142.1187741553513</v>
      </c>
      <c r="M22" s="1">
        <v>0</v>
      </c>
      <c r="N22" s="1">
        <v>0</v>
      </c>
      <c r="O22" s="19">
        <f t="shared" si="2"/>
        <v>0</v>
      </c>
      <c r="P22" s="1">
        <v>0.63</v>
      </c>
      <c r="Q22" s="1">
        <v>491.00964187327816</v>
      </c>
      <c r="R22" s="1">
        <v>491.00964187327816</v>
      </c>
      <c r="S22" s="1">
        <v>0</v>
      </c>
      <c r="T22" s="1">
        <v>0</v>
      </c>
      <c r="U22">
        <f t="shared" si="3"/>
        <v>-512742.0297472495</v>
      </c>
      <c r="V22">
        <f t="shared" si="3"/>
        <v>0</v>
      </c>
      <c r="W22">
        <f t="shared" si="0"/>
        <v>0</v>
      </c>
      <c r="X22">
        <f t="shared" si="1"/>
        <v>491009.64187327813</v>
      </c>
    </row>
    <row r="23" spans="1:24" x14ac:dyDescent="0.25">
      <c r="H23">
        <v>22</v>
      </c>
      <c r="I23" s="1">
        <v>0.27117200000000002</v>
      </c>
      <c r="J23" s="1">
        <v>508.74604423543906</v>
      </c>
      <c r="K23" s="1">
        <v>1750.0951411805277</v>
      </c>
      <c r="L23" s="1">
        <v>4142.1187741553513</v>
      </c>
      <c r="M23" s="1">
        <v>0</v>
      </c>
      <c r="N23" s="1">
        <v>0</v>
      </c>
      <c r="O23" s="19">
        <f t="shared" si="2"/>
        <v>0</v>
      </c>
      <c r="P23" s="1">
        <v>0.63</v>
      </c>
      <c r="Q23" s="1">
        <v>296.34297520661147</v>
      </c>
      <c r="R23" s="1">
        <v>296.34297520661147</v>
      </c>
      <c r="S23" s="1">
        <v>0</v>
      </c>
      <c r="T23" s="1">
        <v>0</v>
      </c>
      <c r="U23">
        <f t="shared" si="3"/>
        <v>-508746.04423543904</v>
      </c>
      <c r="V23">
        <f t="shared" si="3"/>
        <v>0</v>
      </c>
      <c r="W23">
        <f t="shared" si="0"/>
        <v>0</v>
      </c>
      <c r="X23">
        <f t="shared" si="1"/>
        <v>296342.97520661145</v>
      </c>
    </row>
    <row r="24" spans="1:24" x14ac:dyDescent="0.25">
      <c r="H24">
        <v>23</v>
      </c>
      <c r="I24" s="1">
        <v>0.26649</v>
      </c>
      <c r="J24" s="1">
        <v>510.54919361575929</v>
      </c>
      <c r="K24" s="1">
        <v>1250</v>
      </c>
      <c r="L24" s="1">
        <v>4131.6647217201198</v>
      </c>
      <c r="M24" s="1">
        <v>0</v>
      </c>
      <c r="N24" s="1">
        <v>0</v>
      </c>
      <c r="O24" s="19">
        <f t="shared" si="2"/>
        <v>0</v>
      </c>
      <c r="P24" s="1">
        <v>0.63</v>
      </c>
      <c r="Q24" s="1">
        <v>151.92630853994481</v>
      </c>
      <c r="R24" s="1">
        <v>151.92630853994481</v>
      </c>
      <c r="S24" s="1">
        <v>0</v>
      </c>
      <c r="T24" s="1">
        <v>0</v>
      </c>
      <c r="U24">
        <f t="shared" si="3"/>
        <v>-500095.14118052769</v>
      </c>
      <c r="V24">
        <f t="shared" si="3"/>
        <v>-10454.052435231461</v>
      </c>
      <c r="W24">
        <f t="shared" si="0"/>
        <v>0</v>
      </c>
      <c r="X24">
        <f t="shared" si="1"/>
        <v>151926.30853994482</v>
      </c>
    </row>
    <row r="25" spans="1:24" x14ac:dyDescent="0.25">
      <c r="H25">
        <v>24</v>
      </c>
      <c r="I25" s="1">
        <v>0.26110800000000001</v>
      </c>
      <c r="J25" s="1">
        <v>500.7014805998985</v>
      </c>
      <c r="K25" s="1">
        <v>1250</v>
      </c>
      <c r="L25" s="1">
        <v>3608</v>
      </c>
      <c r="M25" s="1">
        <v>0</v>
      </c>
      <c r="N25" s="1">
        <v>22.9</v>
      </c>
      <c r="O25" s="19">
        <f t="shared" si="2"/>
        <v>-6.3241120221334768E-2</v>
      </c>
      <c r="P25" s="1">
        <v>0.63</v>
      </c>
      <c r="Q25" s="1">
        <v>32.004820936639099</v>
      </c>
      <c r="R25" s="1">
        <v>32.04</v>
      </c>
      <c r="S25" s="1">
        <v>0</v>
      </c>
      <c r="T25" s="1">
        <v>0</v>
      </c>
      <c r="U25">
        <f t="shared" si="3"/>
        <v>0</v>
      </c>
      <c r="V25">
        <f t="shared" si="3"/>
        <v>-523664.72172011982</v>
      </c>
      <c r="W25">
        <f t="shared" si="0"/>
        <v>22900</v>
      </c>
      <c r="X25">
        <f t="shared" si="1"/>
        <v>32040</v>
      </c>
    </row>
    <row r="26" spans="1:24" x14ac:dyDescent="0.25">
      <c r="M26" s="1"/>
      <c r="O26" s="19"/>
    </row>
    <row r="31" spans="1:24" x14ac:dyDescent="0.25">
      <c r="A31" t="s">
        <v>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0E6B-4108-46F7-8DAB-8ECFFC7688AB}">
  <dimension ref="G1:AZ26"/>
  <sheetViews>
    <sheetView topLeftCell="P1" workbookViewId="0">
      <selection activeCell="X2" sqref="X2:X25"/>
    </sheetView>
  </sheetViews>
  <sheetFormatPr defaultRowHeight="15" x14ac:dyDescent="0.25"/>
  <cols>
    <col min="3" max="3" width="5.5703125" customWidth="1"/>
    <col min="4" max="4" width="6.42578125" customWidth="1"/>
    <col min="5" max="5" width="6.140625" customWidth="1"/>
    <col min="6" max="6" width="2" customWidth="1"/>
    <col min="7" max="7" width="9.140625" hidden="1" customWidth="1"/>
    <col min="8" max="8" width="5.42578125" customWidth="1"/>
    <col min="9" max="9" width="12.140625" customWidth="1"/>
    <col min="14" max="14" width="9.140625" customWidth="1"/>
    <col min="15" max="15" width="14.42578125" customWidth="1"/>
    <col min="16" max="16" width="19.5703125" customWidth="1"/>
    <col min="17" max="17" width="18.7109375" customWidth="1"/>
    <col min="18" max="18" width="14.5703125" customWidth="1"/>
    <col min="19" max="19" width="14.28515625" customWidth="1"/>
    <col min="20" max="20" width="12.7109375" customWidth="1"/>
    <col min="29" max="29" width="44.28515625" customWidth="1"/>
  </cols>
  <sheetData>
    <row r="1" spans="8:52" x14ac:dyDescent="0.25">
      <c r="H1" s="1" t="s">
        <v>73</v>
      </c>
      <c r="I1" s="1" t="s">
        <v>6</v>
      </c>
      <c r="J1" s="1" t="s">
        <v>3</v>
      </c>
      <c r="K1" s="1" t="s">
        <v>0</v>
      </c>
      <c r="L1" s="1" t="s">
        <v>1</v>
      </c>
      <c r="M1" s="1" t="s">
        <v>63</v>
      </c>
      <c r="N1" s="1" t="s">
        <v>64</v>
      </c>
      <c r="O1" s="1" t="s">
        <v>74</v>
      </c>
      <c r="P1" s="1" t="s">
        <v>29</v>
      </c>
      <c r="Q1" s="1" t="s">
        <v>4</v>
      </c>
      <c r="R1" s="1" t="s">
        <v>65</v>
      </c>
      <c r="S1" s="1" t="s">
        <v>5</v>
      </c>
      <c r="T1" s="1" t="s">
        <v>68</v>
      </c>
      <c r="U1" s="1" t="s">
        <v>75</v>
      </c>
      <c r="V1" s="1" t="s">
        <v>76</v>
      </c>
      <c r="W1" s="1" t="s">
        <v>77</v>
      </c>
      <c r="X1" s="1" t="s">
        <v>65</v>
      </c>
      <c r="AD1">
        <v>0.25714300000000001</v>
      </c>
      <c r="AE1">
        <v>0.25442999999999999</v>
      </c>
      <c r="AF1">
        <v>0.25297999999999998</v>
      </c>
      <c r="AG1">
        <v>0.25274999999999997</v>
      </c>
      <c r="AH1">
        <v>0.25497999999999998</v>
      </c>
      <c r="AI1">
        <v>0.20627100000000001</v>
      </c>
      <c r="AJ1">
        <v>0.269783</v>
      </c>
      <c r="AK1">
        <v>0.27707500000000002</v>
      </c>
      <c r="AL1">
        <v>0.27672799999999997</v>
      </c>
      <c r="AM1">
        <v>0.27678199999999997</v>
      </c>
      <c r="AN1">
        <v>0.270368</v>
      </c>
      <c r="AO1">
        <v>0.266897</v>
      </c>
      <c r="AP1">
        <v>0.26474700000000001</v>
      </c>
      <c r="AQ1">
        <v>0.26649400000000001</v>
      </c>
      <c r="AR1">
        <v>0.270067</v>
      </c>
      <c r="AS1">
        <v>0.27431899999999998</v>
      </c>
      <c r="AT1">
        <v>0.27111299999999999</v>
      </c>
      <c r="AU1">
        <v>0.28212799999999999</v>
      </c>
      <c r="AV1">
        <v>0.28089700000000001</v>
      </c>
      <c r="AW1">
        <v>0.27615600000000001</v>
      </c>
      <c r="AX1">
        <v>0.27117200000000002</v>
      </c>
      <c r="AY1">
        <v>6.6489999999999994E-2</v>
      </c>
      <c r="AZ1">
        <v>6.1108000000000003E-2</v>
      </c>
    </row>
    <row r="2" spans="8:52" x14ac:dyDescent="0.25">
      <c r="H2">
        <v>1</v>
      </c>
      <c r="I2" s="1">
        <v>0.26038899999999998</v>
      </c>
      <c r="J2" s="1">
        <v>391.73572530890755</v>
      </c>
      <c r="K2" s="1">
        <v>1250</v>
      </c>
      <c r="L2" s="1">
        <v>3200</v>
      </c>
      <c r="M2" s="1">
        <v>-393.73</v>
      </c>
      <c r="N2" s="1">
        <v>0</v>
      </c>
      <c r="O2" s="19">
        <f>+J2+((K2-K25)+(L2-L25)+M2+N2)</f>
        <v>5.7253089075288699E-3</v>
      </c>
      <c r="P2" s="1">
        <v>0.63</v>
      </c>
      <c r="Q2" s="1">
        <v>62.750000000000007</v>
      </c>
      <c r="R2" s="1">
        <v>62.75</v>
      </c>
      <c r="S2" s="1">
        <v>0</v>
      </c>
      <c r="T2" s="1">
        <v>0</v>
      </c>
      <c r="U2">
        <f>(K2-1250)*1000</f>
        <v>0</v>
      </c>
      <c r="V2">
        <f>(L2-3608)*1000</f>
        <v>-408000</v>
      </c>
      <c r="W2">
        <f>N2*1000</f>
        <v>0</v>
      </c>
      <c r="X2">
        <f>R2*1000</f>
        <v>62750</v>
      </c>
    </row>
    <row r="3" spans="8:52" x14ac:dyDescent="0.25">
      <c r="H3">
        <v>2</v>
      </c>
      <c r="I3" s="1">
        <v>0.25714300000000001</v>
      </c>
      <c r="J3" s="1">
        <v>395.12728829926812</v>
      </c>
      <c r="K3" s="1">
        <v>1250</v>
      </c>
      <c r="L3" s="1">
        <v>3200</v>
      </c>
      <c r="M3" s="1">
        <v>-395.12728829926812</v>
      </c>
      <c r="N3" s="1">
        <v>0</v>
      </c>
      <c r="O3" s="19">
        <f>+J3+((K3-K2)+(L3-L2)+M3+N3)</f>
        <v>0</v>
      </c>
      <c r="P3" s="1">
        <v>0.63</v>
      </c>
      <c r="Q3" s="1">
        <v>62.750000000000007</v>
      </c>
      <c r="R3" s="1">
        <v>62.75</v>
      </c>
      <c r="S3" s="1">
        <v>0</v>
      </c>
      <c r="T3" s="1">
        <v>0</v>
      </c>
      <c r="U3">
        <f>(K3-K2)*1000</f>
        <v>0</v>
      </c>
      <c r="V3">
        <f>(L3-L2)*1000</f>
        <v>0</v>
      </c>
      <c r="W3">
        <f t="shared" ref="W3:W25" si="0">N3*1000</f>
        <v>0</v>
      </c>
      <c r="X3">
        <f t="shared" ref="X3:X25" si="1">R3*1000</f>
        <v>62750</v>
      </c>
    </row>
    <row r="4" spans="8:52" x14ac:dyDescent="0.25">
      <c r="H4">
        <v>3</v>
      </c>
      <c r="I4" s="1">
        <v>0.25442999999999999</v>
      </c>
      <c r="J4" s="1">
        <v>386.83877182354337</v>
      </c>
      <c r="K4" s="1">
        <v>1623.5</v>
      </c>
      <c r="L4" s="1">
        <v>3200</v>
      </c>
      <c r="M4" s="1">
        <v>-760.33877182354331</v>
      </c>
      <c r="N4" s="1">
        <v>0</v>
      </c>
      <c r="O4" s="19">
        <f>+J4+((K4-K3)+(L4-L3)+M4+N4)</f>
        <v>0</v>
      </c>
      <c r="P4" s="1">
        <v>0.63</v>
      </c>
      <c r="Q4" s="1">
        <v>62.750000000000007</v>
      </c>
      <c r="R4" s="1">
        <v>62.75</v>
      </c>
      <c r="S4" s="1">
        <v>0</v>
      </c>
      <c r="T4" s="1">
        <v>0</v>
      </c>
      <c r="U4">
        <f t="shared" ref="U4:V25" si="2">(K4-K3)*1000</f>
        <v>373500</v>
      </c>
      <c r="V4">
        <f t="shared" si="2"/>
        <v>0</v>
      </c>
      <c r="W4">
        <f t="shared" si="0"/>
        <v>0</v>
      </c>
      <c r="X4">
        <f t="shared" si="1"/>
        <v>62750</v>
      </c>
    </row>
    <row r="5" spans="8:52" x14ac:dyDescent="0.25">
      <c r="H5">
        <v>4</v>
      </c>
      <c r="I5" s="1">
        <v>0.25297999999999998</v>
      </c>
      <c r="J5" s="1">
        <v>400.32760079926811</v>
      </c>
      <c r="K5" s="1">
        <v>1997</v>
      </c>
      <c r="L5" s="1">
        <v>3200</v>
      </c>
      <c r="M5" s="1">
        <v>-773.827</v>
      </c>
      <c r="N5" s="1">
        <v>0</v>
      </c>
      <c r="O5" s="19">
        <f t="shared" ref="O5:O25" si="3">+J5+((K5-K4)+(L5-L4)+M5+N5)</f>
        <v>6.0079926811340556E-4</v>
      </c>
      <c r="P5" s="1">
        <v>0.63</v>
      </c>
      <c r="Q5" s="1">
        <v>62.750000000000007</v>
      </c>
      <c r="R5" s="1">
        <v>62.75</v>
      </c>
      <c r="S5" s="1">
        <v>0</v>
      </c>
      <c r="T5" s="1">
        <v>0</v>
      </c>
      <c r="U5">
        <f t="shared" si="2"/>
        <v>373500</v>
      </c>
      <c r="V5">
        <f t="shared" si="2"/>
        <v>0</v>
      </c>
      <c r="W5">
        <f t="shared" si="0"/>
        <v>0</v>
      </c>
      <c r="X5">
        <f t="shared" si="1"/>
        <v>62750</v>
      </c>
    </row>
    <row r="6" spans="8:52" x14ac:dyDescent="0.25">
      <c r="H6">
        <v>5</v>
      </c>
      <c r="I6" s="1">
        <v>0.25274999999999997</v>
      </c>
      <c r="J6" s="1">
        <v>398.28908432354336</v>
      </c>
      <c r="K6" s="1">
        <v>2370.5</v>
      </c>
      <c r="L6" s="1">
        <v>3200</v>
      </c>
      <c r="M6" s="1">
        <v>-772.78899999999999</v>
      </c>
      <c r="N6" s="1">
        <v>0</v>
      </c>
      <c r="O6" s="19">
        <f t="shared" si="3"/>
        <v>-0.99991567645662371</v>
      </c>
      <c r="P6" s="1">
        <v>0.63</v>
      </c>
      <c r="Q6" s="1">
        <v>62.750000000000007</v>
      </c>
      <c r="R6" s="1">
        <v>62.75</v>
      </c>
      <c r="S6" s="1">
        <v>0</v>
      </c>
      <c r="T6" s="1">
        <v>0</v>
      </c>
      <c r="U6">
        <f t="shared" si="2"/>
        <v>373500</v>
      </c>
      <c r="V6">
        <f t="shared" si="2"/>
        <v>0</v>
      </c>
      <c r="W6">
        <f t="shared" si="0"/>
        <v>0</v>
      </c>
      <c r="X6">
        <f t="shared" si="1"/>
        <v>62750</v>
      </c>
    </row>
    <row r="7" spans="8:52" x14ac:dyDescent="0.25">
      <c r="H7">
        <v>6</v>
      </c>
      <c r="I7" s="1">
        <v>0.25497999999999998</v>
      </c>
      <c r="J7" s="1">
        <v>485.74616169024517</v>
      </c>
      <c r="K7" s="1">
        <v>1884.7538383097549</v>
      </c>
      <c r="L7" s="1">
        <v>3200</v>
      </c>
      <c r="M7" s="1">
        <v>0</v>
      </c>
      <c r="N7" s="1">
        <v>0</v>
      </c>
      <c r="O7" s="19">
        <f>+J7+((K7-K6)+(L7-L6)+M7+N7)</f>
        <v>0</v>
      </c>
      <c r="P7" s="1">
        <v>0.63</v>
      </c>
      <c r="Q7" s="1">
        <v>89.092975206611584</v>
      </c>
      <c r="R7" s="1">
        <v>89.092975206611584</v>
      </c>
      <c r="S7" s="1">
        <v>0</v>
      </c>
      <c r="T7" s="1">
        <v>0</v>
      </c>
      <c r="U7">
        <f t="shared" si="2"/>
        <v>-485746.16169024509</v>
      </c>
      <c r="V7">
        <f t="shared" si="2"/>
        <v>0</v>
      </c>
      <c r="W7">
        <f t="shared" si="0"/>
        <v>0</v>
      </c>
      <c r="X7">
        <f t="shared" si="1"/>
        <v>89092.975206611591</v>
      </c>
    </row>
    <row r="8" spans="8:52" x14ac:dyDescent="0.25">
      <c r="H8">
        <v>7</v>
      </c>
      <c r="I8" s="1">
        <v>0.26271</v>
      </c>
      <c r="J8" s="1">
        <v>487.65694417347407</v>
      </c>
      <c r="K8" s="1">
        <v>1397.0968941362808</v>
      </c>
      <c r="L8" s="1">
        <v>2044.5340000000001</v>
      </c>
      <c r="M8" s="1">
        <v>0</v>
      </c>
      <c r="N8" s="1">
        <v>0</v>
      </c>
      <c r="O8" s="19">
        <f t="shared" si="3"/>
        <v>-1155.4659999999999</v>
      </c>
      <c r="P8" s="1">
        <v>0.63</v>
      </c>
      <c r="Q8" s="1">
        <v>608.33334516176456</v>
      </c>
      <c r="R8" s="1">
        <v>608.33334516176456</v>
      </c>
      <c r="S8" s="1">
        <v>0</v>
      </c>
      <c r="T8" s="1">
        <v>0</v>
      </c>
      <c r="U8">
        <f t="shared" si="2"/>
        <v>-487656.94417347416</v>
      </c>
      <c r="V8">
        <f t="shared" si="2"/>
        <v>-1155466</v>
      </c>
      <c r="W8">
        <f t="shared" si="0"/>
        <v>0</v>
      </c>
      <c r="X8">
        <f t="shared" si="1"/>
        <v>608333.34516176453</v>
      </c>
    </row>
    <row r="9" spans="8:52" x14ac:dyDescent="0.25">
      <c r="H9">
        <v>8</v>
      </c>
      <c r="I9" s="1">
        <v>0.269783</v>
      </c>
      <c r="J9" s="1">
        <v>514.64853260860855</v>
      </c>
      <c r="K9" s="1">
        <v>882.4483615276722</v>
      </c>
      <c r="L9" s="1">
        <v>2044.5340000000001</v>
      </c>
      <c r="M9" s="1">
        <v>0</v>
      </c>
      <c r="N9" s="1">
        <v>0</v>
      </c>
      <c r="O9" s="19">
        <f t="shared" si="3"/>
        <v>0</v>
      </c>
      <c r="P9" s="1">
        <v>0.63</v>
      </c>
      <c r="Q9" s="1">
        <v>1032.7789374482654</v>
      </c>
      <c r="R9" s="1">
        <v>1032.7789374482654</v>
      </c>
      <c r="S9" s="1">
        <v>0</v>
      </c>
      <c r="T9" s="1">
        <v>0</v>
      </c>
      <c r="U9">
        <f t="shared" si="2"/>
        <v>-514648.53260860854</v>
      </c>
      <c r="V9">
        <f t="shared" si="2"/>
        <v>0</v>
      </c>
      <c r="W9">
        <f t="shared" si="0"/>
        <v>0</v>
      </c>
      <c r="X9">
        <f t="shared" si="1"/>
        <v>1032778.9374482654</v>
      </c>
    </row>
    <row r="10" spans="8:52" x14ac:dyDescent="0.25">
      <c r="H10">
        <v>9</v>
      </c>
      <c r="I10" s="1">
        <v>0.27707500000000002</v>
      </c>
      <c r="J10" s="1">
        <v>272.920665990369</v>
      </c>
      <c r="K10" s="1">
        <v>609.5276955373032</v>
      </c>
      <c r="L10" s="1">
        <v>2044.5340000000001</v>
      </c>
      <c r="M10" s="1">
        <v>0</v>
      </c>
      <c r="N10" s="1">
        <v>0</v>
      </c>
      <c r="O10" s="19">
        <f t="shared" si="3"/>
        <v>0</v>
      </c>
      <c r="P10" s="1">
        <v>0.63</v>
      </c>
      <c r="Q10" s="1">
        <v>1047.9166784950978</v>
      </c>
      <c r="R10" s="1">
        <v>1047.9166784950978</v>
      </c>
      <c r="S10" s="1">
        <v>0</v>
      </c>
      <c r="T10" s="1">
        <v>0</v>
      </c>
      <c r="U10">
        <f t="shared" si="2"/>
        <v>-272920.66599036899</v>
      </c>
      <c r="V10">
        <f t="shared" si="2"/>
        <v>0</v>
      </c>
      <c r="W10">
        <f t="shared" si="0"/>
        <v>0</v>
      </c>
      <c r="X10">
        <f t="shared" si="1"/>
        <v>1047916.6784950978</v>
      </c>
    </row>
    <row r="11" spans="8:52" x14ac:dyDescent="0.25">
      <c r="H11">
        <v>10</v>
      </c>
      <c r="I11" s="1">
        <v>0.27672799999999997</v>
      </c>
      <c r="J11" s="1">
        <v>-477.49126111273267</v>
      </c>
      <c r="K11" s="1">
        <v>609.5276955373032</v>
      </c>
      <c r="L11" s="1">
        <v>2522.0252611127326</v>
      </c>
      <c r="M11" s="1">
        <v>0</v>
      </c>
      <c r="N11" s="1">
        <v>0</v>
      </c>
      <c r="O11" s="19">
        <f t="shared" si="3"/>
        <v>0</v>
      </c>
      <c r="P11" s="1">
        <v>0.63</v>
      </c>
      <c r="Q11" s="1">
        <v>857.7355490185148</v>
      </c>
      <c r="R11" s="1">
        <v>857.7355490185148</v>
      </c>
      <c r="S11" s="1">
        <v>0</v>
      </c>
      <c r="T11" s="1">
        <v>0</v>
      </c>
      <c r="U11">
        <f t="shared" si="2"/>
        <v>0</v>
      </c>
      <c r="V11">
        <f t="shared" si="2"/>
        <v>477491.26111273246</v>
      </c>
      <c r="W11">
        <f t="shared" si="0"/>
        <v>0</v>
      </c>
      <c r="X11">
        <f t="shared" si="1"/>
        <v>857735.54901851481</v>
      </c>
    </row>
    <row r="12" spans="8:52" x14ac:dyDescent="0.25">
      <c r="H12">
        <v>11</v>
      </c>
      <c r="I12" s="1">
        <v>0.27678199999999997</v>
      </c>
      <c r="J12" s="1">
        <v>-1103.960302315015</v>
      </c>
      <c r="K12" s="1">
        <v>609.5276955373032</v>
      </c>
      <c r="L12" s="1">
        <v>3625.9855634277474</v>
      </c>
      <c r="M12" s="1">
        <v>0</v>
      </c>
      <c r="N12" s="1">
        <v>0</v>
      </c>
      <c r="O12" s="19">
        <f t="shared" si="3"/>
        <v>0</v>
      </c>
      <c r="P12" s="1">
        <v>0.63</v>
      </c>
      <c r="Q12" s="1">
        <v>744.06406141520824</v>
      </c>
      <c r="R12" s="1">
        <v>744.06406141520824</v>
      </c>
      <c r="S12" s="1">
        <v>0</v>
      </c>
      <c r="T12" s="1">
        <v>0</v>
      </c>
      <c r="U12">
        <f t="shared" si="2"/>
        <v>0</v>
      </c>
      <c r="V12">
        <f t="shared" si="2"/>
        <v>1103960.3023150149</v>
      </c>
      <c r="W12">
        <f t="shared" si="0"/>
        <v>0</v>
      </c>
      <c r="X12">
        <f t="shared" si="1"/>
        <v>744064.06141520827</v>
      </c>
    </row>
    <row r="13" spans="8:52" x14ac:dyDescent="0.25">
      <c r="H13">
        <v>12</v>
      </c>
      <c r="I13" s="1">
        <v>0.270368</v>
      </c>
      <c r="J13" s="1">
        <v>-725.24508765140502</v>
      </c>
      <c r="K13" s="1">
        <v>609.5276955373032</v>
      </c>
      <c r="L13" s="1">
        <v>4351.2306510791523</v>
      </c>
      <c r="M13" s="1">
        <v>0</v>
      </c>
      <c r="N13" s="1">
        <v>0</v>
      </c>
      <c r="O13" s="19">
        <f t="shared" si="3"/>
        <v>0</v>
      </c>
      <c r="P13" s="1">
        <v>0.63</v>
      </c>
      <c r="Q13" s="1">
        <v>763.97576980125007</v>
      </c>
      <c r="R13" s="1">
        <v>763.97576980125007</v>
      </c>
      <c r="S13" s="1">
        <v>0</v>
      </c>
      <c r="T13" s="1">
        <v>0</v>
      </c>
      <c r="U13">
        <f t="shared" si="2"/>
        <v>0</v>
      </c>
      <c r="V13">
        <f t="shared" si="2"/>
        <v>725245.0876514049</v>
      </c>
      <c r="W13">
        <f t="shared" si="0"/>
        <v>0</v>
      </c>
      <c r="X13">
        <f t="shared" si="1"/>
        <v>763975.76980125008</v>
      </c>
    </row>
    <row r="14" spans="8:52" x14ac:dyDescent="0.25">
      <c r="H14">
        <v>13</v>
      </c>
      <c r="I14" s="1">
        <v>0.266897</v>
      </c>
      <c r="J14" s="1">
        <v>-860.68715094549304</v>
      </c>
      <c r="K14" s="1">
        <v>609.5276955373032</v>
      </c>
      <c r="L14" s="1">
        <v>5211.9178020246454</v>
      </c>
      <c r="M14" s="1">
        <v>0</v>
      </c>
      <c r="N14" s="1">
        <v>0</v>
      </c>
      <c r="O14" s="19">
        <f t="shared" si="3"/>
        <v>0</v>
      </c>
      <c r="P14" s="1">
        <v>0.63</v>
      </c>
      <c r="Q14" s="1">
        <v>718.98072808187499</v>
      </c>
      <c r="R14" s="1">
        <v>718.98072808187499</v>
      </c>
      <c r="S14" s="1">
        <v>0</v>
      </c>
      <c r="T14" s="1">
        <v>0</v>
      </c>
      <c r="U14">
        <f t="shared" si="2"/>
        <v>0</v>
      </c>
      <c r="V14">
        <f t="shared" si="2"/>
        <v>860687.15094549314</v>
      </c>
      <c r="W14">
        <f t="shared" si="0"/>
        <v>0</v>
      </c>
      <c r="X14">
        <f t="shared" si="1"/>
        <v>718980.72808187502</v>
      </c>
    </row>
    <row r="15" spans="8:52" x14ac:dyDescent="0.25">
      <c r="H15">
        <v>14</v>
      </c>
      <c r="I15" s="1">
        <v>0.26474700000000001</v>
      </c>
      <c r="J15" s="1">
        <v>-423.8448318208292</v>
      </c>
      <c r="K15" s="1">
        <v>609.5276955373032</v>
      </c>
      <c r="L15" s="1">
        <v>5635.7626338454747</v>
      </c>
      <c r="M15" s="1">
        <v>0</v>
      </c>
      <c r="N15" s="1">
        <v>0</v>
      </c>
      <c r="O15" s="19">
        <f t="shared" si="3"/>
        <v>0</v>
      </c>
      <c r="P15" s="1">
        <v>0.63</v>
      </c>
      <c r="Q15" s="1">
        <v>719.56888235184806</v>
      </c>
      <c r="R15" s="1">
        <v>719.56888235184806</v>
      </c>
      <c r="S15" s="1">
        <v>0</v>
      </c>
      <c r="T15" s="1">
        <v>0</v>
      </c>
      <c r="U15">
        <f t="shared" si="2"/>
        <v>0</v>
      </c>
      <c r="V15">
        <f t="shared" si="2"/>
        <v>423844.83182082931</v>
      </c>
      <c r="W15">
        <f t="shared" si="0"/>
        <v>0</v>
      </c>
      <c r="X15">
        <f t="shared" si="1"/>
        <v>719568.88235184806</v>
      </c>
    </row>
    <row r="16" spans="8:52" x14ac:dyDescent="0.25">
      <c r="H16">
        <v>15</v>
      </c>
      <c r="I16" s="1">
        <v>0.26649400000000001</v>
      </c>
      <c r="J16" s="1">
        <v>-910.68031963267845</v>
      </c>
      <c r="K16" s="1">
        <v>988.0276955373032</v>
      </c>
      <c r="L16" s="1">
        <v>5635.76</v>
      </c>
      <c r="M16" s="1">
        <v>532.20000000000005</v>
      </c>
      <c r="N16" s="1">
        <v>0</v>
      </c>
      <c r="O16" s="19">
        <f t="shared" si="3"/>
        <v>1.7046521847078111E-2</v>
      </c>
      <c r="P16" s="1">
        <v>0.63</v>
      </c>
      <c r="Q16" s="1">
        <v>694.40221568518132</v>
      </c>
      <c r="R16" s="1">
        <v>694.40221568518132</v>
      </c>
      <c r="S16" s="1">
        <v>0</v>
      </c>
      <c r="T16" s="1">
        <v>0</v>
      </c>
      <c r="U16">
        <f t="shared" si="2"/>
        <v>378500</v>
      </c>
      <c r="V16">
        <f t="shared" si="2"/>
        <v>-2.6338454745200579</v>
      </c>
      <c r="W16">
        <f t="shared" si="0"/>
        <v>0</v>
      </c>
      <c r="X16">
        <f t="shared" si="1"/>
        <v>694402.21568518132</v>
      </c>
    </row>
    <row r="17" spans="8:24" x14ac:dyDescent="0.25">
      <c r="H17">
        <v>16</v>
      </c>
      <c r="I17" s="1">
        <v>0.270067</v>
      </c>
      <c r="J17" s="1">
        <v>-930.26000212080044</v>
      </c>
      <c r="K17" s="1">
        <v>1366.5276955373033</v>
      </c>
      <c r="L17" s="1">
        <v>5635.7629999999999</v>
      </c>
      <c r="M17" s="1">
        <v>551.75</v>
      </c>
      <c r="N17" s="1">
        <v>0</v>
      </c>
      <c r="O17" s="19">
        <f t="shared" si="3"/>
        <v>-7.0021208006210145E-3</v>
      </c>
      <c r="P17" s="1">
        <v>0.63</v>
      </c>
      <c r="Q17" s="1">
        <v>720.15703662181977</v>
      </c>
      <c r="R17" s="1">
        <v>720.15703662181977</v>
      </c>
      <c r="S17" s="1">
        <v>0</v>
      </c>
      <c r="T17" s="1">
        <v>0</v>
      </c>
      <c r="U17">
        <f t="shared" si="2"/>
        <v>378500.00000000012</v>
      </c>
      <c r="V17">
        <f t="shared" si="2"/>
        <v>2.9999999997016857</v>
      </c>
      <c r="W17">
        <f t="shared" si="0"/>
        <v>0</v>
      </c>
      <c r="X17">
        <f t="shared" si="1"/>
        <v>720157.03662181972</v>
      </c>
    </row>
    <row r="18" spans="8:24" x14ac:dyDescent="0.25">
      <c r="H18">
        <v>17</v>
      </c>
      <c r="I18" s="1">
        <v>0.27431899999999998</v>
      </c>
      <c r="J18" s="1">
        <v>-999.70317832699141</v>
      </c>
      <c r="K18" s="1">
        <v>1366.5276955373033</v>
      </c>
      <c r="L18" s="1">
        <v>5635.7629999999999</v>
      </c>
      <c r="M18" s="1">
        <v>999.7</v>
      </c>
      <c r="N18" s="1">
        <v>0</v>
      </c>
      <c r="O18" s="19">
        <f t="shared" si="3"/>
        <v>-3.1783269913603363E-3</v>
      </c>
      <c r="P18" s="1">
        <v>0.63</v>
      </c>
      <c r="Q18" s="1">
        <v>765.23541167452811</v>
      </c>
      <c r="R18" s="1">
        <v>765.23541167452811</v>
      </c>
      <c r="S18" s="1">
        <v>0</v>
      </c>
      <c r="T18" s="1">
        <v>0</v>
      </c>
      <c r="U18">
        <f t="shared" si="2"/>
        <v>0</v>
      </c>
      <c r="V18">
        <f t="shared" si="2"/>
        <v>0</v>
      </c>
      <c r="W18">
        <f t="shared" si="0"/>
        <v>0</v>
      </c>
      <c r="X18">
        <f t="shared" si="1"/>
        <v>765235.41167452815</v>
      </c>
    </row>
    <row r="19" spans="8:24" x14ac:dyDescent="0.25">
      <c r="H19">
        <v>18</v>
      </c>
      <c r="I19" s="1">
        <v>0.27111299999999999</v>
      </c>
      <c r="J19" s="1">
        <v>-114.51877415535122</v>
      </c>
      <c r="K19" s="1">
        <v>1366.5276955373033</v>
      </c>
      <c r="L19" s="1">
        <v>5635.7629999999999</v>
      </c>
      <c r="M19" s="1">
        <v>114.51900000000001</v>
      </c>
      <c r="N19" s="1">
        <v>0</v>
      </c>
      <c r="O19" s="19">
        <f t="shared" si="3"/>
        <v>2.2584464878150357E-4</v>
      </c>
      <c r="P19" s="1">
        <v>0.63</v>
      </c>
      <c r="Q19" s="1">
        <v>745.32370328848651</v>
      </c>
      <c r="R19" s="1">
        <v>745.32370328848651</v>
      </c>
      <c r="S19" s="1">
        <v>0</v>
      </c>
      <c r="T19" s="1">
        <v>0</v>
      </c>
      <c r="U19">
        <f t="shared" si="2"/>
        <v>0</v>
      </c>
      <c r="V19">
        <f t="shared" si="2"/>
        <v>0</v>
      </c>
      <c r="W19">
        <f t="shared" si="0"/>
        <v>0</v>
      </c>
      <c r="X19">
        <f t="shared" si="1"/>
        <v>745323.70328848646</v>
      </c>
    </row>
    <row r="20" spans="8:24" x14ac:dyDescent="0.25">
      <c r="H20">
        <v>19</v>
      </c>
      <c r="I20" s="1">
        <v>0.28212799999999999</v>
      </c>
      <c r="J20" s="1">
        <v>337.51675624470613</v>
      </c>
      <c r="K20" s="1">
        <v>1366.528</v>
      </c>
      <c r="L20" s="1">
        <v>5579.8</v>
      </c>
      <c r="M20" s="1">
        <v>-281.56</v>
      </c>
      <c r="N20" s="1">
        <v>0</v>
      </c>
      <c r="O20" s="19">
        <f t="shared" si="3"/>
        <v>-5.9392925969063981E-3</v>
      </c>
      <c r="P20" s="1">
        <v>0.63</v>
      </c>
      <c r="Q20" s="1">
        <v>475.87190082644696</v>
      </c>
      <c r="R20" s="1">
        <v>475.87190082644696</v>
      </c>
      <c r="S20" s="1">
        <v>0</v>
      </c>
      <c r="T20" s="1">
        <v>0</v>
      </c>
      <c r="U20">
        <f t="shared" si="2"/>
        <v>0.30446269670392212</v>
      </c>
      <c r="V20">
        <f t="shared" si="2"/>
        <v>-55962.999999999738</v>
      </c>
      <c r="W20">
        <f t="shared" si="0"/>
        <v>0</v>
      </c>
      <c r="X20">
        <f t="shared" si="1"/>
        <v>475871.90082644694</v>
      </c>
    </row>
    <row r="21" spans="8:24" x14ac:dyDescent="0.25">
      <c r="H21">
        <v>20</v>
      </c>
      <c r="I21" s="1">
        <v>0.28089700000000001</v>
      </c>
      <c r="J21" s="1">
        <v>465.60002859207776</v>
      </c>
      <c r="K21" s="1">
        <v>1366.528</v>
      </c>
      <c r="L21" s="1">
        <v>5114.199971407922</v>
      </c>
      <c r="M21" s="1">
        <v>0</v>
      </c>
      <c r="N21" s="1">
        <v>0</v>
      </c>
      <c r="O21" s="19">
        <f t="shared" si="3"/>
        <v>0</v>
      </c>
      <c r="P21" s="1">
        <v>0.63</v>
      </c>
      <c r="Q21" s="1">
        <v>601.45523415978028</v>
      </c>
      <c r="R21" s="1">
        <v>601.45523415978028</v>
      </c>
      <c r="S21" s="1">
        <v>0</v>
      </c>
      <c r="T21" s="1">
        <v>0</v>
      </c>
      <c r="U21">
        <f t="shared" si="2"/>
        <v>0</v>
      </c>
      <c r="V21">
        <f t="shared" si="2"/>
        <v>-465600.02859207813</v>
      </c>
      <c r="W21">
        <f t="shared" si="0"/>
        <v>0</v>
      </c>
      <c r="X21">
        <f t="shared" si="1"/>
        <v>601455.23415978032</v>
      </c>
    </row>
    <row r="22" spans="8:24" x14ac:dyDescent="0.25">
      <c r="H22">
        <v>21</v>
      </c>
      <c r="I22" s="1">
        <v>0.27615600000000001</v>
      </c>
      <c r="J22" s="1">
        <v>512.74202974724938</v>
      </c>
      <c r="K22" s="1">
        <v>1366.528</v>
      </c>
      <c r="L22" s="1">
        <v>4601.457941660673</v>
      </c>
      <c r="M22" s="1">
        <v>0</v>
      </c>
      <c r="N22" s="1">
        <v>0</v>
      </c>
      <c r="O22" s="19">
        <f>+J22+((K22-K21)+(L22-L21)+M22+N22)</f>
        <v>0</v>
      </c>
      <c r="P22" s="1">
        <v>0.63</v>
      </c>
      <c r="Q22" s="1">
        <v>491.00964187327816</v>
      </c>
      <c r="R22" s="1">
        <v>491.00964187327816</v>
      </c>
      <c r="S22" s="1">
        <v>0</v>
      </c>
      <c r="T22" s="1">
        <v>0</v>
      </c>
      <c r="U22">
        <f t="shared" si="2"/>
        <v>0</v>
      </c>
      <c r="V22">
        <f t="shared" si="2"/>
        <v>-512742.02974724903</v>
      </c>
      <c r="W22">
        <f t="shared" si="0"/>
        <v>0</v>
      </c>
      <c r="X22">
        <f t="shared" si="1"/>
        <v>491009.64187327813</v>
      </c>
    </row>
    <row r="23" spans="8:24" x14ac:dyDescent="0.25">
      <c r="H23">
        <v>22</v>
      </c>
      <c r="I23" s="1">
        <v>0.27117200000000002</v>
      </c>
      <c r="J23" s="1">
        <v>508.74604423543906</v>
      </c>
      <c r="K23" s="1">
        <v>1366.528</v>
      </c>
      <c r="L23" s="1">
        <v>4092.7118974252339</v>
      </c>
      <c r="M23" s="1">
        <v>0</v>
      </c>
      <c r="N23" s="1">
        <v>0</v>
      </c>
      <c r="O23" s="19">
        <f t="shared" si="3"/>
        <v>0</v>
      </c>
      <c r="P23" s="1">
        <v>0.63</v>
      </c>
      <c r="Q23" s="1">
        <v>296.34297520661147</v>
      </c>
      <c r="R23" s="1">
        <v>296.34297520661147</v>
      </c>
      <c r="S23" s="1">
        <v>0</v>
      </c>
      <c r="T23" s="1">
        <v>0</v>
      </c>
      <c r="U23">
        <f t="shared" si="2"/>
        <v>0</v>
      </c>
      <c r="V23">
        <f t="shared" si="2"/>
        <v>-508746.04423543904</v>
      </c>
      <c r="W23">
        <f t="shared" si="0"/>
        <v>0</v>
      </c>
      <c r="X23">
        <f t="shared" si="1"/>
        <v>296342.97520661145</v>
      </c>
    </row>
    <row r="24" spans="8:24" x14ac:dyDescent="0.25">
      <c r="H24">
        <v>23</v>
      </c>
      <c r="I24" s="1">
        <v>0.26649</v>
      </c>
      <c r="J24" s="1">
        <v>510.54919361575929</v>
      </c>
      <c r="K24" s="1">
        <v>1366.528</v>
      </c>
      <c r="L24" s="1">
        <v>3582.1627038094748</v>
      </c>
      <c r="M24" s="1">
        <v>0</v>
      </c>
      <c r="N24" s="1">
        <v>0</v>
      </c>
      <c r="O24" s="19">
        <f>+J24+((K24-K23)+(L24-L23)+M24+N24)</f>
        <v>0</v>
      </c>
      <c r="P24" s="1">
        <v>0.63</v>
      </c>
      <c r="Q24" s="1">
        <v>151.92630853994481</v>
      </c>
      <c r="R24" s="1">
        <v>151.92630853994501</v>
      </c>
      <c r="S24" s="1">
        <v>0</v>
      </c>
      <c r="T24" s="1">
        <v>0</v>
      </c>
      <c r="U24">
        <f t="shared" si="2"/>
        <v>0</v>
      </c>
      <c r="V24">
        <f t="shared" si="2"/>
        <v>-510549.19361575914</v>
      </c>
      <c r="W24">
        <f t="shared" si="0"/>
        <v>0</v>
      </c>
      <c r="X24">
        <f t="shared" si="1"/>
        <v>151926.30853994502</v>
      </c>
    </row>
    <row r="25" spans="8:24" x14ac:dyDescent="0.25">
      <c r="H25">
        <v>24</v>
      </c>
      <c r="I25" s="1">
        <v>0.26110800000000001</v>
      </c>
      <c r="J25" s="1">
        <v>500.7014805998985</v>
      </c>
      <c r="K25" s="1">
        <v>1250</v>
      </c>
      <c r="L25" s="1">
        <v>3198</v>
      </c>
      <c r="M25" s="1">
        <v>0</v>
      </c>
      <c r="N25" s="1">
        <v>0</v>
      </c>
      <c r="O25" s="19">
        <f t="shared" si="3"/>
        <v>1.077679042367663E-2</v>
      </c>
      <c r="P25" s="1">
        <v>0.63</v>
      </c>
      <c r="Q25" s="1">
        <v>32.004820936639099</v>
      </c>
      <c r="R25" s="1">
        <v>32.04</v>
      </c>
      <c r="S25" s="1">
        <v>0</v>
      </c>
      <c r="T25" s="1">
        <v>0</v>
      </c>
      <c r="U25">
        <f t="shared" si="2"/>
        <v>-116528.00000000001</v>
      </c>
      <c r="V25">
        <f t="shared" si="2"/>
        <v>-384162.70380947483</v>
      </c>
      <c r="W25">
        <f t="shared" si="0"/>
        <v>0</v>
      </c>
      <c r="X25">
        <f t="shared" si="1"/>
        <v>32040</v>
      </c>
    </row>
    <row r="26" spans="8:24" x14ac:dyDescent="0.25">
      <c r="M26" s="1"/>
      <c r="O26" s="1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6C6B-371A-49F0-83F5-A0FB5322DD59}">
  <dimension ref="G1:X26"/>
  <sheetViews>
    <sheetView zoomScale="80" zoomScaleNormal="80" workbookViewId="0">
      <selection activeCell="W2" sqref="W2:W25"/>
    </sheetView>
  </sheetViews>
  <sheetFormatPr defaultRowHeight="15" x14ac:dyDescent="0.25"/>
  <cols>
    <col min="3" max="3" width="5.5703125" customWidth="1"/>
    <col min="4" max="4" width="6.42578125" customWidth="1"/>
    <col min="5" max="5" width="6.140625" customWidth="1"/>
    <col min="6" max="6" width="2" customWidth="1"/>
    <col min="7" max="7" width="9.140625" hidden="1" customWidth="1"/>
    <col min="8" max="8" width="5.42578125" customWidth="1"/>
    <col min="9" max="9" width="12.140625" customWidth="1"/>
    <col min="14" max="14" width="9.140625" customWidth="1"/>
    <col min="15" max="15" width="14.42578125" customWidth="1"/>
    <col min="16" max="16" width="19.5703125" customWidth="1"/>
    <col min="17" max="17" width="18.7109375" customWidth="1"/>
    <col min="18" max="18" width="14.5703125" customWidth="1"/>
    <col min="19" max="19" width="14.28515625" customWidth="1"/>
    <col min="20" max="20" width="12.7109375" customWidth="1"/>
    <col min="29" max="29" width="44.28515625" customWidth="1"/>
  </cols>
  <sheetData>
    <row r="1" spans="8:24" x14ac:dyDescent="0.25">
      <c r="H1" s="1" t="s">
        <v>72</v>
      </c>
      <c r="I1" s="1" t="s">
        <v>6</v>
      </c>
      <c r="J1" s="1" t="s">
        <v>3</v>
      </c>
      <c r="K1" s="1" t="s">
        <v>0</v>
      </c>
      <c r="L1" s="1" t="s">
        <v>1</v>
      </c>
      <c r="M1" s="1" t="s">
        <v>63</v>
      </c>
      <c r="N1" s="1" t="s">
        <v>64</v>
      </c>
      <c r="O1" s="1" t="s">
        <v>67</v>
      </c>
      <c r="P1" s="1" t="s">
        <v>29</v>
      </c>
      <c r="Q1" s="1" t="s">
        <v>4</v>
      </c>
      <c r="R1" s="1" t="s">
        <v>65</v>
      </c>
      <c r="S1" s="1" t="s">
        <v>5</v>
      </c>
      <c r="T1" s="1" t="s">
        <v>68</v>
      </c>
      <c r="U1" s="1" t="s">
        <v>75</v>
      </c>
      <c r="V1" s="1" t="s">
        <v>76</v>
      </c>
      <c r="W1" s="1" t="s">
        <v>77</v>
      </c>
      <c r="X1" s="1" t="s">
        <v>65</v>
      </c>
    </row>
    <row r="2" spans="8:24" x14ac:dyDescent="0.25">
      <c r="H2">
        <v>1</v>
      </c>
      <c r="I2" s="1">
        <v>0.26038899999999998</v>
      </c>
      <c r="J2" s="1">
        <v>391.73572530890755</v>
      </c>
      <c r="K2" s="1">
        <v>1250</v>
      </c>
      <c r="L2" s="1">
        <v>3198</v>
      </c>
      <c r="M2" s="1">
        <v>0</v>
      </c>
      <c r="N2" s="1">
        <f>-225-166.73</f>
        <v>-391.73</v>
      </c>
      <c r="O2" s="19">
        <f>+J2+((K2-K25)+(L2-L25)+M2+N2)</f>
        <v>5.7253089075288699E-3</v>
      </c>
      <c r="P2" s="1">
        <v>0.63</v>
      </c>
      <c r="Q2" s="1">
        <v>62.750000000000007</v>
      </c>
      <c r="R2" s="1">
        <v>62.75</v>
      </c>
      <c r="S2" s="1">
        <v>0</v>
      </c>
      <c r="T2" s="1">
        <v>0</v>
      </c>
      <c r="U2">
        <f>(K2-1250)*1000</f>
        <v>0</v>
      </c>
      <c r="V2">
        <f>(L2-3608)*1000</f>
        <v>-410000</v>
      </c>
      <c r="W2">
        <f>N2*1000</f>
        <v>-391730</v>
      </c>
      <c r="X2">
        <f>R2*1000</f>
        <v>62750</v>
      </c>
    </row>
    <row r="3" spans="8:24" x14ac:dyDescent="0.25">
      <c r="H3">
        <v>2</v>
      </c>
      <c r="I3" s="1">
        <v>0.25714300000000001</v>
      </c>
      <c r="J3" s="1">
        <v>395.12728829926812</v>
      </c>
      <c r="K3" s="1">
        <v>1250</v>
      </c>
      <c r="L3" s="1">
        <v>2802.872711700732</v>
      </c>
      <c r="M3" s="1">
        <v>0</v>
      </c>
      <c r="N3" s="1">
        <v>0</v>
      </c>
      <c r="O3" s="19">
        <f t="shared" ref="O3:O24" si="0">+J3+((K3-K2)+(L3-L2)+M3+N3)</f>
        <v>0</v>
      </c>
      <c r="P3" s="1">
        <v>0.63</v>
      </c>
      <c r="Q3" s="1">
        <v>62.750000000000007</v>
      </c>
      <c r="R3" s="1">
        <v>62.75</v>
      </c>
      <c r="S3" s="1">
        <v>0</v>
      </c>
      <c r="T3" s="1">
        <v>0</v>
      </c>
      <c r="U3">
        <f>(K3-K2)*1000</f>
        <v>0</v>
      </c>
      <c r="V3">
        <f>(L3-L2)*1000</f>
        <v>-395127.288299268</v>
      </c>
      <c r="W3">
        <f t="shared" ref="W3:W25" si="1">N3*1000</f>
        <v>0</v>
      </c>
      <c r="X3">
        <f t="shared" ref="X3:X25" si="2">R3*1000</f>
        <v>62750</v>
      </c>
    </row>
    <row r="4" spans="8:24" x14ac:dyDescent="0.25">
      <c r="H4">
        <v>3</v>
      </c>
      <c r="I4" s="1">
        <v>0.25442999999999999</v>
      </c>
      <c r="J4" s="1">
        <v>386.83877182354337</v>
      </c>
      <c r="K4" s="1">
        <v>1623.5</v>
      </c>
      <c r="L4" s="1">
        <v>2042.5339398771885</v>
      </c>
      <c r="M4" s="1">
        <v>0</v>
      </c>
      <c r="N4" s="1">
        <v>0</v>
      </c>
      <c r="O4" s="19">
        <f t="shared" si="0"/>
        <v>0</v>
      </c>
      <c r="P4" s="1">
        <v>0.63</v>
      </c>
      <c r="Q4" s="1">
        <v>62.750000000000007</v>
      </c>
      <c r="R4" s="1">
        <v>62.75</v>
      </c>
      <c r="S4" s="1">
        <v>0</v>
      </c>
      <c r="T4" s="1">
        <v>0</v>
      </c>
      <c r="U4">
        <f t="shared" ref="U4:V25" si="3">(K4-K3)*1000</f>
        <v>373500</v>
      </c>
      <c r="V4">
        <f t="shared" si="3"/>
        <v>-760338.77182354359</v>
      </c>
      <c r="W4">
        <f t="shared" si="1"/>
        <v>0</v>
      </c>
      <c r="X4">
        <f t="shared" si="2"/>
        <v>62750</v>
      </c>
    </row>
    <row r="5" spans="8:24" x14ac:dyDescent="0.25">
      <c r="H5">
        <v>4</v>
      </c>
      <c r="I5" s="1">
        <v>0.25297999999999998</v>
      </c>
      <c r="J5" s="1">
        <v>400.32760079926811</v>
      </c>
      <c r="K5" s="1">
        <v>1997</v>
      </c>
      <c r="L5" s="1">
        <v>1268.7063390779203</v>
      </c>
      <c r="M5" s="1">
        <v>0</v>
      </c>
      <c r="N5" s="1">
        <v>0</v>
      </c>
      <c r="O5" s="19">
        <f t="shared" si="0"/>
        <v>0</v>
      </c>
      <c r="P5" s="1">
        <v>0.63</v>
      </c>
      <c r="Q5" s="1">
        <v>62.750000000000007</v>
      </c>
      <c r="R5" s="1">
        <v>62.75</v>
      </c>
      <c r="S5" s="1">
        <v>0</v>
      </c>
      <c r="T5" s="1">
        <v>0</v>
      </c>
      <c r="U5">
        <f t="shared" si="3"/>
        <v>373500</v>
      </c>
      <c r="V5">
        <f t="shared" si="3"/>
        <v>-773827.60079926811</v>
      </c>
      <c r="W5">
        <f t="shared" si="1"/>
        <v>0</v>
      </c>
      <c r="X5">
        <f t="shared" si="2"/>
        <v>62750</v>
      </c>
    </row>
    <row r="6" spans="8:24" x14ac:dyDescent="0.25">
      <c r="H6">
        <v>5</v>
      </c>
      <c r="I6" s="1">
        <v>0.25274999999999997</v>
      </c>
      <c r="J6" s="1">
        <v>398.28908432354336</v>
      </c>
      <c r="K6" s="1">
        <v>2370.5</v>
      </c>
      <c r="L6" s="1">
        <v>496.91725475437693</v>
      </c>
      <c r="M6" s="1">
        <v>0</v>
      </c>
      <c r="N6" s="1">
        <v>0</v>
      </c>
      <c r="O6" s="19">
        <f t="shared" si="0"/>
        <v>0</v>
      </c>
      <c r="P6" s="1">
        <v>0.63</v>
      </c>
      <c r="Q6" s="1">
        <v>62.750000000000007</v>
      </c>
      <c r="R6" s="1">
        <v>62.75</v>
      </c>
      <c r="S6" s="1">
        <v>0</v>
      </c>
      <c r="T6" s="1">
        <v>0</v>
      </c>
      <c r="U6">
        <f t="shared" si="3"/>
        <v>373500</v>
      </c>
      <c r="V6">
        <f t="shared" si="3"/>
        <v>-771789.08432354347</v>
      </c>
      <c r="W6">
        <f t="shared" si="1"/>
        <v>0</v>
      </c>
      <c r="X6">
        <f t="shared" si="2"/>
        <v>62750</v>
      </c>
    </row>
    <row r="7" spans="8:24" x14ac:dyDescent="0.25">
      <c r="H7">
        <v>6</v>
      </c>
      <c r="I7" s="1">
        <v>0.25497999999999998</v>
      </c>
      <c r="J7" s="1">
        <v>485.74616169024517</v>
      </c>
      <c r="K7" s="1">
        <v>1884.7538383097549</v>
      </c>
      <c r="L7" s="1">
        <v>498.9</v>
      </c>
      <c r="M7" s="1">
        <v>0</v>
      </c>
      <c r="N7" s="1">
        <f>-J7-(K7-K6)</f>
        <v>0</v>
      </c>
      <c r="O7" s="19">
        <f t="shared" si="0"/>
        <v>1.9827452456231072</v>
      </c>
      <c r="P7" s="1">
        <v>0.63</v>
      </c>
      <c r="Q7" s="1">
        <v>89.092975206611584</v>
      </c>
      <c r="R7" s="1">
        <v>89.092975206611584</v>
      </c>
      <c r="S7" s="1">
        <v>0</v>
      </c>
      <c r="T7" s="1">
        <v>0</v>
      </c>
      <c r="U7">
        <f t="shared" si="3"/>
        <v>-485746.16169024509</v>
      </c>
      <c r="V7">
        <f t="shared" si="3"/>
        <v>1982.7452456230503</v>
      </c>
      <c r="W7">
        <f t="shared" si="1"/>
        <v>0</v>
      </c>
      <c r="X7">
        <f t="shared" si="2"/>
        <v>89092.975206611591</v>
      </c>
    </row>
    <row r="8" spans="8:24" x14ac:dyDescent="0.25">
      <c r="H8">
        <v>7</v>
      </c>
      <c r="I8" s="1">
        <v>0.26271</v>
      </c>
      <c r="J8" s="1">
        <v>487.65694417347407</v>
      </c>
      <c r="K8" s="1">
        <v>1397.0968941362808</v>
      </c>
      <c r="L8" s="1">
        <v>498.9</v>
      </c>
      <c r="M8" s="1">
        <v>0</v>
      </c>
      <c r="N8" s="1">
        <v>0</v>
      </c>
      <c r="O8" s="19">
        <f t="shared" si="0"/>
        <v>0</v>
      </c>
      <c r="P8" s="1">
        <v>0.63</v>
      </c>
      <c r="Q8" s="1">
        <v>608.33334516176456</v>
      </c>
      <c r="R8" s="1">
        <v>608.33334516176456</v>
      </c>
      <c r="S8" s="1">
        <v>0</v>
      </c>
      <c r="T8" s="1">
        <v>0</v>
      </c>
      <c r="U8">
        <f t="shared" si="3"/>
        <v>-487656.94417347416</v>
      </c>
      <c r="V8">
        <f t="shared" si="3"/>
        <v>0</v>
      </c>
      <c r="W8">
        <f t="shared" si="1"/>
        <v>0</v>
      </c>
      <c r="X8">
        <f t="shared" si="2"/>
        <v>608333.34516176453</v>
      </c>
    </row>
    <row r="9" spans="8:24" x14ac:dyDescent="0.25">
      <c r="H9">
        <v>8</v>
      </c>
      <c r="I9" s="1">
        <v>0.269783</v>
      </c>
      <c r="J9" s="1">
        <v>514.64853260860855</v>
      </c>
      <c r="K9" s="1">
        <v>882.4483615276722</v>
      </c>
      <c r="L9" s="1">
        <v>498.9</v>
      </c>
      <c r="M9" s="1">
        <v>0</v>
      </c>
      <c r="N9" s="1">
        <v>0</v>
      </c>
      <c r="O9" s="19">
        <f t="shared" si="0"/>
        <v>0</v>
      </c>
      <c r="P9" s="1">
        <v>0.63</v>
      </c>
      <c r="Q9" s="1">
        <v>1032.7789374482654</v>
      </c>
      <c r="R9" s="1">
        <v>1032.7789374482654</v>
      </c>
      <c r="S9" s="1">
        <v>0</v>
      </c>
      <c r="T9" s="1">
        <v>0</v>
      </c>
      <c r="U9">
        <f t="shared" si="3"/>
        <v>-514648.53260860854</v>
      </c>
      <c r="V9">
        <f t="shared" si="3"/>
        <v>0</v>
      </c>
      <c r="W9">
        <f t="shared" si="1"/>
        <v>0</v>
      </c>
      <c r="X9">
        <f t="shared" si="2"/>
        <v>1032778.9374482654</v>
      </c>
    </row>
    <row r="10" spans="8:24" x14ac:dyDescent="0.25">
      <c r="H10">
        <v>9</v>
      </c>
      <c r="I10" s="1">
        <v>0.27707500000000002</v>
      </c>
      <c r="J10" s="1">
        <v>272.920665990369</v>
      </c>
      <c r="K10" s="1">
        <v>609.5276955373032</v>
      </c>
      <c r="L10" s="1">
        <v>498.9</v>
      </c>
      <c r="M10" s="1">
        <v>0</v>
      </c>
      <c r="N10" s="1">
        <v>0</v>
      </c>
      <c r="O10" s="19">
        <f t="shared" si="0"/>
        <v>0</v>
      </c>
      <c r="P10" s="1">
        <v>0.63</v>
      </c>
      <c r="Q10" s="1">
        <v>1047.9166784950978</v>
      </c>
      <c r="R10" s="1">
        <v>1047.9166784950978</v>
      </c>
      <c r="S10" s="1">
        <v>0</v>
      </c>
      <c r="T10" s="1">
        <v>0</v>
      </c>
      <c r="U10">
        <f t="shared" si="3"/>
        <v>-272920.66599036899</v>
      </c>
      <c r="V10">
        <f t="shared" si="3"/>
        <v>0</v>
      </c>
      <c r="W10">
        <f t="shared" si="1"/>
        <v>0</v>
      </c>
      <c r="X10">
        <f t="shared" si="2"/>
        <v>1047916.6784950978</v>
      </c>
    </row>
    <row r="11" spans="8:24" x14ac:dyDescent="0.25">
      <c r="H11">
        <v>10</v>
      </c>
      <c r="I11" s="1">
        <v>0.27672799999999997</v>
      </c>
      <c r="J11" s="1">
        <v>-477.49126111273267</v>
      </c>
      <c r="K11" s="1">
        <v>609.5276955373032</v>
      </c>
      <c r="L11" s="1">
        <v>976.39126111273265</v>
      </c>
      <c r="M11" s="1">
        <v>0</v>
      </c>
      <c r="N11" s="1">
        <v>0</v>
      </c>
      <c r="O11" s="19">
        <f t="shared" si="0"/>
        <v>0</v>
      </c>
      <c r="P11" s="1">
        <v>0.63</v>
      </c>
      <c r="Q11" s="1">
        <v>857.7355490185148</v>
      </c>
      <c r="R11" s="1">
        <v>857.7355490185148</v>
      </c>
      <c r="S11" s="1">
        <v>0</v>
      </c>
      <c r="T11" s="1">
        <v>0</v>
      </c>
      <c r="U11">
        <f t="shared" si="3"/>
        <v>0</v>
      </c>
      <c r="V11">
        <f t="shared" si="3"/>
        <v>477491.2611127327</v>
      </c>
      <c r="W11">
        <f t="shared" si="1"/>
        <v>0</v>
      </c>
      <c r="X11">
        <f t="shared" si="2"/>
        <v>857735.54901851481</v>
      </c>
    </row>
    <row r="12" spans="8:24" x14ac:dyDescent="0.25">
      <c r="H12">
        <v>11</v>
      </c>
      <c r="I12" s="1">
        <v>0.27678199999999997</v>
      </c>
      <c r="J12" s="1">
        <v>-1103.960302315015</v>
      </c>
      <c r="K12" s="1">
        <v>609.5276955373032</v>
      </c>
      <c r="L12" s="1">
        <v>2080.3515634277478</v>
      </c>
      <c r="M12" s="1">
        <v>0</v>
      </c>
      <c r="N12" s="1">
        <v>0</v>
      </c>
      <c r="O12" s="19">
        <f t="shared" si="0"/>
        <v>0</v>
      </c>
      <c r="P12" s="1">
        <v>0.63</v>
      </c>
      <c r="Q12" s="1">
        <v>744.06406141520824</v>
      </c>
      <c r="R12" s="1">
        <v>744.06406141520824</v>
      </c>
      <c r="S12" s="1">
        <v>0</v>
      </c>
      <c r="T12" s="1">
        <v>0</v>
      </c>
      <c r="U12">
        <f t="shared" si="3"/>
        <v>0</v>
      </c>
      <c r="V12">
        <f t="shared" si="3"/>
        <v>1103960.3023150153</v>
      </c>
      <c r="W12">
        <f t="shared" si="1"/>
        <v>0</v>
      </c>
      <c r="X12">
        <f t="shared" si="2"/>
        <v>744064.06141520827</v>
      </c>
    </row>
    <row r="13" spans="8:24" x14ac:dyDescent="0.25">
      <c r="H13">
        <v>12</v>
      </c>
      <c r="I13" s="1">
        <v>0.270368</v>
      </c>
      <c r="J13" s="1">
        <v>-725.24508765140502</v>
      </c>
      <c r="K13" s="1">
        <v>609.5276955373032</v>
      </c>
      <c r="L13" s="1">
        <v>2805.5966510791527</v>
      </c>
      <c r="M13" s="1">
        <v>0</v>
      </c>
      <c r="N13" s="1">
        <v>0</v>
      </c>
      <c r="O13" s="19">
        <f t="shared" si="0"/>
        <v>0</v>
      </c>
      <c r="P13" s="1">
        <v>0.63</v>
      </c>
      <c r="Q13" s="1">
        <v>763.97576980125007</v>
      </c>
      <c r="R13" s="1">
        <v>763.97576980125007</v>
      </c>
      <c r="S13" s="1">
        <v>0</v>
      </c>
      <c r="T13" s="1">
        <v>0</v>
      </c>
      <c r="U13">
        <f t="shared" si="3"/>
        <v>0</v>
      </c>
      <c r="V13">
        <f t="shared" si="3"/>
        <v>725245.0876514049</v>
      </c>
      <c r="W13">
        <f t="shared" si="1"/>
        <v>0</v>
      </c>
      <c r="X13">
        <f t="shared" si="2"/>
        <v>763975.76980125008</v>
      </c>
    </row>
    <row r="14" spans="8:24" x14ac:dyDescent="0.25">
      <c r="H14">
        <v>13</v>
      </c>
      <c r="I14" s="1">
        <v>0.266897</v>
      </c>
      <c r="J14" s="1">
        <v>-860.68715094549304</v>
      </c>
      <c r="K14" s="1">
        <v>609.5276955373032</v>
      </c>
      <c r="L14" s="1">
        <v>3666.2838020246459</v>
      </c>
      <c r="M14" s="1">
        <v>0</v>
      </c>
      <c r="N14" s="1">
        <v>0</v>
      </c>
      <c r="O14" s="19">
        <f>+J14+((K14-K13)+(L14-L13)+M14+N14)</f>
        <v>0</v>
      </c>
      <c r="P14" s="1">
        <v>0.63</v>
      </c>
      <c r="Q14" s="1">
        <v>718.98072808187499</v>
      </c>
      <c r="R14" s="1">
        <v>718.98072808187499</v>
      </c>
      <c r="S14" s="1">
        <v>0</v>
      </c>
      <c r="T14" s="1">
        <v>0</v>
      </c>
      <c r="U14">
        <f t="shared" si="3"/>
        <v>0</v>
      </c>
      <c r="V14">
        <f t="shared" si="3"/>
        <v>860687.15094549314</v>
      </c>
      <c r="W14">
        <f t="shared" si="1"/>
        <v>0</v>
      </c>
      <c r="X14">
        <f t="shared" si="2"/>
        <v>718980.72808187502</v>
      </c>
    </row>
    <row r="15" spans="8:24" x14ac:dyDescent="0.25">
      <c r="H15">
        <v>14</v>
      </c>
      <c r="I15" s="1">
        <v>0.26474700000000001</v>
      </c>
      <c r="J15" s="1">
        <v>-423.8448318208292</v>
      </c>
      <c r="K15" s="1">
        <v>609.5276955373032</v>
      </c>
      <c r="L15" s="1">
        <v>4090.1286338454752</v>
      </c>
      <c r="M15" s="1">
        <v>0</v>
      </c>
      <c r="N15" s="1">
        <v>0</v>
      </c>
      <c r="O15" s="19">
        <f t="shared" si="0"/>
        <v>0</v>
      </c>
      <c r="P15" s="1">
        <v>0.63</v>
      </c>
      <c r="Q15" s="1">
        <v>719.56888235184806</v>
      </c>
      <c r="R15" s="1">
        <v>719.56888235184806</v>
      </c>
      <c r="S15" s="1">
        <v>0</v>
      </c>
      <c r="T15" s="1">
        <v>0</v>
      </c>
      <c r="U15">
        <f t="shared" si="3"/>
        <v>0</v>
      </c>
      <c r="V15">
        <f t="shared" si="3"/>
        <v>423844.83182082931</v>
      </c>
      <c r="W15">
        <f t="shared" si="1"/>
        <v>0</v>
      </c>
      <c r="X15">
        <f t="shared" si="2"/>
        <v>719568.88235184806</v>
      </c>
    </row>
    <row r="16" spans="8:24" x14ac:dyDescent="0.25">
      <c r="H16">
        <v>15</v>
      </c>
      <c r="I16" s="1">
        <v>0.26649400000000001</v>
      </c>
      <c r="J16" s="1">
        <v>-910.68031963267845</v>
      </c>
      <c r="K16" s="1">
        <v>988.0276955373032</v>
      </c>
      <c r="L16" s="1">
        <v>4622.3089534781539</v>
      </c>
      <c r="M16" s="1">
        <v>0</v>
      </c>
      <c r="N16" s="1">
        <v>0</v>
      </c>
      <c r="O16" s="19">
        <f t="shared" si="0"/>
        <v>0</v>
      </c>
      <c r="P16" s="1">
        <v>0.63</v>
      </c>
      <c r="Q16" s="1">
        <v>694.40221568518132</v>
      </c>
      <c r="R16" s="1">
        <v>694.40221568518132</v>
      </c>
      <c r="S16" s="1">
        <v>0</v>
      </c>
      <c r="T16" s="1">
        <v>0</v>
      </c>
      <c r="U16">
        <f t="shared" si="3"/>
        <v>378500</v>
      </c>
      <c r="V16">
        <f t="shared" si="3"/>
        <v>532180.31963267864</v>
      </c>
      <c r="W16">
        <f t="shared" si="1"/>
        <v>0</v>
      </c>
      <c r="X16">
        <f t="shared" si="2"/>
        <v>694402.21568518132</v>
      </c>
    </row>
    <row r="17" spans="8:24" x14ac:dyDescent="0.25">
      <c r="H17">
        <v>16</v>
      </c>
      <c r="I17" s="1">
        <v>0.270067</v>
      </c>
      <c r="J17" s="1">
        <v>-930.26000212080044</v>
      </c>
      <c r="K17" s="1">
        <v>1366.5276955373033</v>
      </c>
      <c r="L17" s="1">
        <v>5174.0689555989538</v>
      </c>
      <c r="M17" s="1">
        <v>0</v>
      </c>
      <c r="N17" s="1">
        <v>0</v>
      </c>
      <c r="O17" s="19">
        <f t="shared" si="0"/>
        <v>0</v>
      </c>
      <c r="P17" s="1">
        <v>0.63</v>
      </c>
      <c r="Q17" s="1">
        <v>720.15703662181977</v>
      </c>
      <c r="R17" s="1">
        <v>720.15703662181977</v>
      </c>
      <c r="S17" s="1">
        <v>0</v>
      </c>
      <c r="T17" s="1">
        <v>0</v>
      </c>
      <c r="U17">
        <f t="shared" si="3"/>
        <v>378500.00000000012</v>
      </c>
      <c r="V17">
        <f t="shared" si="3"/>
        <v>551760.00212079997</v>
      </c>
      <c r="W17">
        <f t="shared" si="1"/>
        <v>0</v>
      </c>
      <c r="X17">
        <f t="shared" si="2"/>
        <v>720157.03662181972</v>
      </c>
    </row>
    <row r="18" spans="8:24" x14ac:dyDescent="0.25">
      <c r="H18">
        <v>17</v>
      </c>
      <c r="I18" s="1">
        <v>0.27431899999999998</v>
      </c>
      <c r="J18" s="1">
        <v>-999.70317832699141</v>
      </c>
      <c r="K18" s="1">
        <v>1366.5276955373033</v>
      </c>
      <c r="L18" s="1">
        <v>5174.0690000000004</v>
      </c>
      <c r="M18" s="1">
        <v>999.7</v>
      </c>
      <c r="N18" s="1">
        <v>0</v>
      </c>
      <c r="O18" s="19">
        <f t="shared" si="0"/>
        <v>-3.1339259447804579E-3</v>
      </c>
      <c r="P18" s="1">
        <v>0.63</v>
      </c>
      <c r="Q18" s="1">
        <v>765.23541167452811</v>
      </c>
      <c r="R18" s="1">
        <v>765.23541167452811</v>
      </c>
      <c r="S18" s="1">
        <v>0</v>
      </c>
      <c r="T18" s="1">
        <v>0</v>
      </c>
      <c r="U18">
        <f t="shared" si="3"/>
        <v>0</v>
      </c>
      <c r="V18">
        <f t="shared" si="3"/>
        <v>4.4401046579878312E-2</v>
      </c>
      <c r="W18">
        <f t="shared" si="1"/>
        <v>0</v>
      </c>
      <c r="X18">
        <f t="shared" si="2"/>
        <v>765235.41167452815</v>
      </c>
    </row>
    <row r="19" spans="8:24" x14ac:dyDescent="0.25">
      <c r="H19">
        <v>18</v>
      </c>
      <c r="I19" s="1">
        <v>0.27111299999999999</v>
      </c>
      <c r="J19" s="1">
        <v>-114.51877415535122</v>
      </c>
      <c r="K19" s="1">
        <v>1366.5276955373033</v>
      </c>
      <c r="L19" s="1">
        <v>5174.0690000000004</v>
      </c>
      <c r="M19" s="1">
        <v>114.51900000000001</v>
      </c>
      <c r="N19" s="1">
        <v>0</v>
      </c>
      <c r="O19" s="19">
        <f t="shared" si="0"/>
        <v>2.2584464878150357E-4</v>
      </c>
      <c r="P19" s="1">
        <v>0.63</v>
      </c>
      <c r="Q19" s="1">
        <v>745.32370328848651</v>
      </c>
      <c r="R19" s="1">
        <v>745.32370328848651</v>
      </c>
      <c r="S19" s="1">
        <v>0</v>
      </c>
      <c r="T19" s="1">
        <v>0</v>
      </c>
      <c r="U19">
        <f t="shared" si="3"/>
        <v>0</v>
      </c>
      <c r="V19">
        <f t="shared" si="3"/>
        <v>0</v>
      </c>
      <c r="W19">
        <f t="shared" si="1"/>
        <v>0</v>
      </c>
      <c r="X19">
        <f t="shared" si="2"/>
        <v>745323.70328848646</v>
      </c>
    </row>
    <row r="20" spans="8:24" x14ac:dyDescent="0.25">
      <c r="H20">
        <v>19</v>
      </c>
      <c r="I20" s="1">
        <v>0.28212799999999999</v>
      </c>
      <c r="J20" s="1">
        <v>337.51675624470613</v>
      </c>
      <c r="K20" s="1">
        <v>1366.528</v>
      </c>
      <c r="L20" s="1">
        <v>4836.5522437552945</v>
      </c>
      <c r="M20" s="1">
        <v>0</v>
      </c>
      <c r="N20" s="1">
        <v>0</v>
      </c>
      <c r="O20" s="19">
        <f t="shared" si="0"/>
        <v>3.044626969312958E-4</v>
      </c>
      <c r="P20" s="1">
        <v>0.63</v>
      </c>
      <c r="Q20" s="1">
        <v>475.87190082644696</v>
      </c>
      <c r="R20" s="1">
        <v>475.87190082644696</v>
      </c>
      <c r="S20" s="1">
        <v>0</v>
      </c>
      <c r="T20" s="1">
        <v>0</v>
      </c>
      <c r="U20">
        <f t="shared" si="3"/>
        <v>0.30446269670392212</v>
      </c>
      <c r="V20">
        <f t="shared" si="3"/>
        <v>-337516.75624470587</v>
      </c>
      <c r="W20">
        <f t="shared" si="1"/>
        <v>0</v>
      </c>
      <c r="X20">
        <f t="shared" si="2"/>
        <v>475871.90082644694</v>
      </c>
    </row>
    <row r="21" spans="8:24" x14ac:dyDescent="0.25">
      <c r="H21">
        <v>20</v>
      </c>
      <c r="I21" s="1">
        <v>0.28089700000000001</v>
      </c>
      <c r="J21" s="1">
        <v>465.60002859207776</v>
      </c>
      <c r="K21" s="1">
        <v>1366.528</v>
      </c>
      <c r="L21" s="1">
        <v>4370.9522151632164</v>
      </c>
      <c r="M21" s="1">
        <v>0</v>
      </c>
      <c r="N21" s="1">
        <v>0</v>
      </c>
      <c r="O21" s="19">
        <f t="shared" si="0"/>
        <v>0</v>
      </c>
      <c r="P21" s="1">
        <v>0.63</v>
      </c>
      <c r="Q21" s="1">
        <v>601.45523415978028</v>
      </c>
      <c r="R21" s="1">
        <v>601.45523415978028</v>
      </c>
      <c r="S21" s="1">
        <v>0</v>
      </c>
      <c r="T21" s="1">
        <v>0</v>
      </c>
      <c r="U21">
        <f t="shared" si="3"/>
        <v>0</v>
      </c>
      <c r="V21">
        <f t="shared" si="3"/>
        <v>-465600.02859207813</v>
      </c>
      <c r="W21">
        <f t="shared" si="1"/>
        <v>0</v>
      </c>
      <c r="X21">
        <f t="shared" si="2"/>
        <v>601455.23415978032</v>
      </c>
    </row>
    <row r="22" spans="8:24" x14ac:dyDescent="0.25">
      <c r="H22">
        <v>21</v>
      </c>
      <c r="I22" s="1">
        <v>0.27615600000000001</v>
      </c>
      <c r="J22" s="1">
        <v>512.74202974724938</v>
      </c>
      <c r="K22" s="1">
        <v>1366.528</v>
      </c>
      <c r="L22" s="1">
        <v>3858.2101854159669</v>
      </c>
      <c r="M22" s="1">
        <v>0</v>
      </c>
      <c r="N22" s="1">
        <v>0</v>
      </c>
      <c r="O22" s="19">
        <f t="shared" si="0"/>
        <v>0</v>
      </c>
      <c r="P22" s="1">
        <v>0.63</v>
      </c>
      <c r="Q22" s="1">
        <v>491.00964187327816</v>
      </c>
      <c r="R22" s="1">
        <v>491.00964187327816</v>
      </c>
      <c r="S22" s="1">
        <v>0</v>
      </c>
      <c r="T22" s="1">
        <v>0</v>
      </c>
      <c r="U22">
        <f t="shared" si="3"/>
        <v>0</v>
      </c>
      <c r="V22">
        <f t="shared" si="3"/>
        <v>-512742.0297472495</v>
      </c>
      <c r="W22">
        <f t="shared" si="1"/>
        <v>0</v>
      </c>
      <c r="X22">
        <f t="shared" si="2"/>
        <v>491009.64187327813</v>
      </c>
    </row>
    <row r="23" spans="8:24" x14ac:dyDescent="0.25">
      <c r="H23">
        <v>22</v>
      </c>
      <c r="I23" s="1">
        <v>0.27117200000000002</v>
      </c>
      <c r="J23" s="1">
        <v>508.74604423543906</v>
      </c>
      <c r="K23" s="1">
        <v>1366.528</v>
      </c>
      <c r="L23" s="1">
        <v>3349.4641411805278</v>
      </c>
      <c r="M23" s="1">
        <v>0</v>
      </c>
      <c r="N23" s="1">
        <v>0</v>
      </c>
      <c r="O23" s="19">
        <f t="shared" si="0"/>
        <v>0</v>
      </c>
      <c r="P23" s="1">
        <v>0.63</v>
      </c>
      <c r="Q23" s="1">
        <v>296.34297520661147</v>
      </c>
      <c r="R23" s="1">
        <v>296.34297520661147</v>
      </c>
      <c r="S23" s="1">
        <v>0</v>
      </c>
      <c r="T23" s="1">
        <v>0</v>
      </c>
      <c r="U23">
        <f t="shared" si="3"/>
        <v>0</v>
      </c>
      <c r="V23">
        <f t="shared" si="3"/>
        <v>-508746.04423543904</v>
      </c>
      <c r="W23">
        <f t="shared" si="1"/>
        <v>0</v>
      </c>
      <c r="X23">
        <f t="shared" si="2"/>
        <v>296342.97520661145</v>
      </c>
    </row>
    <row r="24" spans="8:24" x14ac:dyDescent="0.25">
      <c r="H24">
        <v>23</v>
      </c>
      <c r="I24" s="1">
        <v>0.26649</v>
      </c>
      <c r="J24" s="1">
        <v>510.54919361575929</v>
      </c>
      <c r="K24" s="1">
        <v>1250</v>
      </c>
      <c r="L24" s="1">
        <v>3198</v>
      </c>
      <c r="M24" s="1">
        <v>0</v>
      </c>
      <c r="N24" s="1">
        <v>-242.6</v>
      </c>
      <c r="O24" s="19">
        <f t="shared" si="0"/>
        <v>-4.2947564768553548E-2</v>
      </c>
      <c r="P24" s="1">
        <v>0.63</v>
      </c>
      <c r="Q24" s="1">
        <v>151.92630853994481</v>
      </c>
      <c r="R24" s="1">
        <v>151.92630853994501</v>
      </c>
      <c r="S24" s="1">
        <v>0</v>
      </c>
      <c r="T24" s="1">
        <v>0</v>
      </c>
      <c r="U24">
        <f t="shared" si="3"/>
        <v>-116528.00000000001</v>
      </c>
      <c r="V24">
        <f t="shared" si="3"/>
        <v>-151464.1411805278</v>
      </c>
      <c r="W24">
        <f t="shared" si="1"/>
        <v>-242600</v>
      </c>
      <c r="X24">
        <f t="shared" si="2"/>
        <v>151926.30853994502</v>
      </c>
    </row>
    <row r="25" spans="8:24" x14ac:dyDescent="0.25">
      <c r="H25">
        <v>24</v>
      </c>
      <c r="I25" s="1">
        <v>0.26110800000000001</v>
      </c>
      <c r="J25" s="1">
        <v>500.7014805998985</v>
      </c>
      <c r="K25" s="1">
        <v>1250</v>
      </c>
      <c r="L25" s="1">
        <v>3198</v>
      </c>
      <c r="M25" s="1">
        <v>0</v>
      </c>
      <c r="N25" s="1">
        <v>0</v>
      </c>
      <c r="O25" s="19">
        <f t="shared" ref="O25" si="4">+J25+((K25-K24)+(L25-L24)+M25+N25)</f>
        <v>500.7014805998985</v>
      </c>
      <c r="P25" s="1">
        <v>0.63</v>
      </c>
      <c r="Q25" s="1">
        <v>32.004820936639099</v>
      </c>
      <c r="R25" s="1">
        <v>32.04</v>
      </c>
      <c r="S25" s="1">
        <v>0</v>
      </c>
      <c r="T25" s="1">
        <v>0</v>
      </c>
      <c r="U25">
        <f t="shared" si="3"/>
        <v>0</v>
      </c>
      <c r="V25">
        <f t="shared" si="3"/>
        <v>0</v>
      </c>
      <c r="W25">
        <f t="shared" si="1"/>
        <v>0</v>
      </c>
      <c r="X25">
        <f t="shared" si="2"/>
        <v>32040</v>
      </c>
    </row>
    <row r="26" spans="8:24" x14ac:dyDescent="0.25">
      <c r="M26" s="1"/>
      <c r="O26" s="1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fa66c6-c77d-474d-b1f4-b1aecefa7b5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9322ADFE2CA643A0121F29B0E5C6FB" ma:contentTypeVersion="16" ma:contentTypeDescription="Creare un nuovo documento." ma:contentTypeScope="" ma:versionID="01ab750537898cb5c1383251f555db92">
  <xsd:schema xmlns:xsd="http://www.w3.org/2001/XMLSchema" xmlns:xs="http://www.w3.org/2001/XMLSchema" xmlns:p="http://schemas.microsoft.com/office/2006/metadata/properties" xmlns:ns3="7afa66c6-c77d-474d-b1f4-b1aecefa7b5e" xmlns:ns4="ef0dc92e-f76d-4b3c-abb1-9b509f3d249d" targetNamespace="http://schemas.microsoft.com/office/2006/metadata/properties" ma:root="true" ma:fieldsID="22e9e51ddcfb9e82e0fe826749093a0c" ns3:_="" ns4:_="">
    <xsd:import namespace="7afa66c6-c77d-474d-b1f4-b1aecefa7b5e"/>
    <xsd:import namespace="ef0dc92e-f76d-4b3c-abb1-9b509f3d24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a66c6-c77d-474d-b1f4-b1aecefa7b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dc92e-f76d-4b3c-abb1-9b509f3d24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A4210B-E357-491D-84B0-930D776C3A0E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ef0dc92e-f76d-4b3c-abb1-9b509f3d249d"/>
    <ds:schemaRef ds:uri="7afa66c6-c77d-474d-b1f4-b1aecefa7b5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48BFEAF-7E98-4898-8432-91168E79E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a66c6-c77d-474d-b1f4-b1aecefa7b5e"/>
    <ds:schemaRef ds:uri="ef0dc92e-f76d-4b3c-abb1-9b509f3d24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C39DBD-A6ED-4B14-93AB-1D2C60CD7D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Technology Parameters </vt:lpstr>
      <vt:lpstr>Scenario</vt:lpstr>
      <vt:lpstr>DAY 51th_Scenario base_1 SELF</vt:lpstr>
      <vt:lpstr>DAY 51th_Scenario base_1</vt:lpstr>
      <vt:lpstr>DAY 51th_Scenario base_2</vt:lpstr>
      <vt:lpstr>DAY 51th_Scenario base_2SELF</vt:lpstr>
      <vt:lpstr>DAY 51th_Scenario base_3</vt:lpstr>
      <vt:lpstr>DAY 51th_Scenario base_3 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Ferruzzi</dc:creator>
  <cp:lastModifiedBy>Seyede Zahra Tajalli</cp:lastModifiedBy>
  <dcterms:created xsi:type="dcterms:W3CDTF">2025-02-13T08:24:09Z</dcterms:created>
  <dcterms:modified xsi:type="dcterms:W3CDTF">2025-03-24T15:36:49Z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0x010100F79322ADFE2CA643A0121F29B0E5C6FB</vt:lpwstr>
  </property>
</Properties>
</file>