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0805DDD0-C019-4348-A95E-BC05F7701299}" xr6:coauthVersionLast="47" xr6:coauthVersionMax="47" xr10:uidLastSave="{00000000-0000-0000-0000-000000000000}"/>
  <bookViews>
    <workbookView xWindow="28680" yWindow="-120" windowWidth="29040" windowHeight="17520" xr2:uid="{41126000-0168-4B69-BFA5-275527D199D9}"/>
  </bookViews>
  <sheets>
    <sheet name="Technology Parameters " sheetId="1" r:id="rId1"/>
    <sheet name="Scenario" sheetId="6" r:id="rId2"/>
    <sheet name="DAY 51th_SELF CONSUMPTION " sheetId="5" r:id="rId3"/>
    <sheet name="DAY 51th_ECOOBJ" sheetId="3" r:id="rId4"/>
    <sheet name="KPIs Eco El" sheetId="9" r:id="rId5"/>
    <sheet name="KPI Suff El" sheetId="11" r:id="rId6"/>
    <sheet name="KPIs Eco Thermal" sheetId="10" r:id="rId7"/>
    <sheet name="KPI Suf th " sheetId="12" r:id="rId8"/>
    <sheet name="Eco sim main" sheetId="8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8" i="1"/>
  <c r="C8" i="1"/>
  <c r="B8" i="1"/>
  <c r="M3" i="6"/>
  <c r="N4" i="6"/>
  <c r="N5" i="6"/>
  <c r="N6" i="6"/>
  <c r="N7" i="6"/>
  <c r="N8" i="6"/>
  <c r="N9" i="6"/>
  <c r="N10" i="6"/>
  <c r="N11" i="6"/>
  <c r="N3" i="6"/>
  <c r="M4" i="6"/>
  <c r="M5" i="6"/>
  <c r="M6" i="6"/>
  <c r="M7" i="6"/>
  <c r="M8" i="6"/>
  <c r="M9" i="6"/>
  <c r="M10" i="6"/>
  <c r="M11" i="6"/>
  <c r="B26" i="11" l="1"/>
  <c r="B26" i="9"/>
  <c r="W2" i="3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" i="5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O2" i="3"/>
  <c r="T2" i="3"/>
  <c r="N2" i="9"/>
  <c r="N2" i="11"/>
  <c r="N3" i="9" s="1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" i="12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F6" i="11"/>
  <c r="E6" i="11"/>
  <c r="H5" i="11" a="1"/>
  <c r="H5" i="11" s="1"/>
  <c r="G5" i="11" a="1"/>
  <c r="G5" i="11" s="1"/>
  <c r="N5" i="11" s="1"/>
  <c r="F5" i="11"/>
  <c r="E5" i="11"/>
  <c r="F4" i="11"/>
  <c r="E4" i="11"/>
  <c r="F3" i="11"/>
  <c r="E3" i="11"/>
  <c r="H2" i="11"/>
  <c r="G2" i="11"/>
  <c r="F2" i="11"/>
  <c r="E2" i="11"/>
  <c r="G2" i="9"/>
  <c r="G5" i="9" a="1"/>
  <c r="G5" i="9" s="1"/>
  <c r="N5" i="9" s="1"/>
  <c r="H5" i="9" a="1"/>
  <c r="H5" i="9" s="1"/>
  <c r="H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" i="9"/>
  <c r="O7" i="3"/>
  <c r="N2" i="5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Z26" i="5" l="1"/>
  <c r="N13" i="11" s="1"/>
  <c r="W26" i="3"/>
  <c r="N14" i="9" s="1"/>
  <c r="J2" i="9"/>
  <c r="I2" i="9"/>
  <c r="J2" i="11"/>
  <c r="I2" i="11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U7" i="5" l="1"/>
  <c r="S7" i="3"/>
  <c r="T7" i="3" s="1"/>
  <c r="S4" i="3"/>
  <c r="T4" i="3" s="1"/>
  <c r="S5" i="3"/>
  <c r="T5" i="3" s="1"/>
  <c r="S6" i="3"/>
  <c r="T6" i="3" s="1"/>
  <c r="S8" i="3"/>
  <c r="T8" i="3" s="1"/>
  <c r="S9" i="3"/>
  <c r="T9" i="3" s="1"/>
  <c r="S10" i="3"/>
  <c r="T10" i="3" s="1"/>
  <c r="S11" i="3"/>
  <c r="T11" i="3" s="1"/>
  <c r="S12" i="3"/>
  <c r="T12" i="3" s="1"/>
  <c r="S13" i="3"/>
  <c r="T13" i="3" s="1"/>
  <c r="S14" i="3"/>
  <c r="T14" i="3" s="1"/>
  <c r="S15" i="3"/>
  <c r="T15" i="3" s="1"/>
  <c r="S16" i="3"/>
  <c r="T16" i="3" s="1"/>
  <c r="S17" i="3"/>
  <c r="T17" i="3" s="1"/>
  <c r="S18" i="3"/>
  <c r="T18" i="3" s="1"/>
  <c r="S19" i="3"/>
  <c r="T19" i="3" s="1"/>
  <c r="S20" i="3"/>
  <c r="T20" i="3" s="1"/>
  <c r="S21" i="3"/>
  <c r="T21" i="3" s="1"/>
  <c r="S22" i="3"/>
  <c r="T22" i="3" s="1"/>
  <c r="S23" i="3"/>
  <c r="T23" i="3" s="1"/>
  <c r="S24" i="3"/>
  <c r="T24" i="3" s="1"/>
  <c r="S25" i="3"/>
  <c r="T25" i="3" s="1"/>
  <c r="S3" i="3"/>
  <c r="T3" i="3" s="1"/>
  <c r="O6" i="3"/>
  <c r="O4" i="3"/>
  <c r="O5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3" i="3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V7" i="5"/>
  <c r="V3" i="5"/>
  <c r="V4" i="5"/>
  <c r="V5" i="5"/>
  <c r="V6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" i="5"/>
  <c r="U4" i="5"/>
  <c r="U5" i="5"/>
  <c r="U6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3" i="5"/>
  <c r="D7" i="1" l="1"/>
  <c r="C7" i="1"/>
  <c r="B7" i="1"/>
  <c r="D5" i="1"/>
  <c r="C5" i="1"/>
  <c r="B5" i="1"/>
  <c r="C24" i="6"/>
  <c r="A24" i="6"/>
  <c r="C23" i="6"/>
  <c r="A23" i="6"/>
  <c r="C22" i="6"/>
  <c r="A22" i="6"/>
  <c r="C21" i="6"/>
  <c r="A21" i="6"/>
  <c r="C20" i="6"/>
  <c r="A20" i="6"/>
  <c r="C19" i="6"/>
  <c r="A19" i="6"/>
  <c r="C18" i="6"/>
  <c r="A18" i="6"/>
  <c r="C17" i="6"/>
  <c r="A17" i="6"/>
  <c r="D16" i="6"/>
  <c r="C16" i="6"/>
  <c r="A16" i="6"/>
  <c r="J11" i="6"/>
  <c r="I11" i="6"/>
  <c r="G11" i="6"/>
  <c r="F11" i="6"/>
  <c r="J10" i="6"/>
  <c r="I10" i="6"/>
  <c r="G10" i="6"/>
  <c r="F10" i="6"/>
  <c r="J9" i="6"/>
  <c r="I9" i="6"/>
  <c r="G9" i="6"/>
  <c r="F9" i="6"/>
  <c r="J8" i="6"/>
  <c r="I8" i="6"/>
  <c r="G8" i="6"/>
  <c r="F8" i="6"/>
  <c r="J7" i="6"/>
  <c r="I7" i="6"/>
  <c r="G7" i="6"/>
  <c r="F7" i="6"/>
  <c r="J6" i="6"/>
  <c r="I6" i="6"/>
  <c r="G6" i="6"/>
  <c r="F6" i="6"/>
  <c r="J5" i="6"/>
  <c r="I5" i="6"/>
  <c r="G5" i="6"/>
  <c r="F5" i="6"/>
  <c r="J4" i="6"/>
  <c r="I4" i="6"/>
  <c r="G4" i="6"/>
  <c r="F4" i="6"/>
  <c r="K3" i="6"/>
  <c r="J3" i="6"/>
  <c r="I3" i="6"/>
  <c r="H3" i="6"/>
  <c r="G3" i="6"/>
  <c r="F3" i="6"/>
  <c r="L3" i="6" l="1"/>
  <c r="P3" i="6" s="1"/>
  <c r="E3" i="6"/>
  <c r="D7" i="6" l="1"/>
  <c r="H7" i="6" s="1"/>
  <c r="Q3" i="6"/>
  <c r="O3" i="6"/>
  <c r="D11" i="6"/>
  <c r="D24" i="6" s="1"/>
  <c r="D8" i="6"/>
  <c r="D6" i="6"/>
  <c r="H6" i="6" s="1"/>
  <c r="D9" i="6"/>
  <c r="K9" i="6" s="1"/>
  <c r="D4" i="6"/>
  <c r="D17" i="6" s="1"/>
  <c r="D5" i="6"/>
  <c r="D18" i="6" s="1"/>
  <c r="D10" i="6"/>
  <c r="K10" i="6" s="1"/>
  <c r="D12" i="12"/>
  <c r="E12" i="12" s="1"/>
  <c r="D21" i="12"/>
  <c r="E21" i="12" s="1"/>
  <c r="D3" i="12"/>
  <c r="E3" i="12" s="1"/>
  <c r="D4" i="12"/>
  <c r="E4" i="12" s="1"/>
  <c r="D13" i="12"/>
  <c r="E13" i="12" s="1"/>
  <c r="D22" i="12"/>
  <c r="E22" i="12" s="1"/>
  <c r="D25" i="12"/>
  <c r="E25" i="12" s="1"/>
  <c r="D10" i="12"/>
  <c r="E10" i="12"/>
  <c r="D19" i="12"/>
  <c r="E19" i="12" s="1"/>
  <c r="D5" i="12"/>
  <c r="E5" i="12" s="1"/>
  <c r="D6" i="12"/>
  <c r="E6" i="12" s="1"/>
  <c r="D14" i="12"/>
  <c r="E14" i="12" s="1"/>
  <c r="D20" i="12"/>
  <c r="E20" i="12" s="1"/>
  <c r="D15" i="12"/>
  <c r="E15" i="12" s="1"/>
  <c r="D24" i="12"/>
  <c r="E24" i="12" s="1"/>
  <c r="D7" i="12"/>
  <c r="E7" i="12" s="1"/>
  <c r="D16" i="12"/>
  <c r="E16" i="12" s="1"/>
  <c r="D11" i="12"/>
  <c r="E11" i="12" s="1"/>
  <c r="D23" i="12"/>
  <c r="E23" i="12" s="1"/>
  <c r="D8" i="12"/>
  <c r="E8" i="12" s="1"/>
  <c r="D9" i="12"/>
  <c r="E9" i="12" s="1"/>
  <c r="D17" i="12"/>
  <c r="E17" i="12" s="1"/>
  <c r="D18" i="12"/>
  <c r="E18" i="12" s="1"/>
  <c r="D19" i="6" l="1"/>
  <c r="K7" i="6"/>
  <c r="E7" i="6" s="1"/>
  <c r="O7" i="6" s="1"/>
  <c r="D20" i="6"/>
  <c r="D22" i="6"/>
  <c r="H9" i="6"/>
  <c r="H11" i="6"/>
  <c r="K11" i="6"/>
  <c r="L11" i="6" s="1"/>
  <c r="P11" i="6" s="1"/>
  <c r="L10" i="6"/>
  <c r="P10" i="6" s="1"/>
  <c r="E10" i="6"/>
  <c r="O10" i="6" s="1"/>
  <c r="L9" i="6"/>
  <c r="P9" i="6" s="1"/>
  <c r="E9" i="6"/>
  <c r="O9" i="6" s="1"/>
  <c r="D23" i="6"/>
  <c r="H4" i="6"/>
  <c r="K5" i="6"/>
  <c r="K4" i="6"/>
  <c r="H8" i="6"/>
  <c r="K8" i="6"/>
  <c r="D21" i="6"/>
  <c r="H10" i="6"/>
  <c r="H5" i="6"/>
  <c r="K6" i="6"/>
  <c r="E11" i="6" l="1"/>
  <c r="O11" i="6" s="1"/>
  <c r="L7" i="6"/>
  <c r="P7" i="6" s="1"/>
  <c r="L6" i="6"/>
  <c r="P6" i="6" s="1"/>
  <c r="E6" i="6"/>
  <c r="O6" i="6" s="1"/>
  <c r="L8" i="6"/>
  <c r="P8" i="6" s="1"/>
  <c r="E8" i="6"/>
  <c r="O8" i="6" s="1"/>
  <c r="L4" i="6"/>
  <c r="P4" i="6" s="1"/>
  <c r="E4" i="6"/>
  <c r="O4" i="6" s="1"/>
  <c r="L5" i="6"/>
  <c r="P5" i="6" s="1"/>
  <c r="E5" i="6"/>
  <c r="O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tc={08E735C9-2799-43A9-A259-A9DA862C46EE}</author>
  </authors>
  <commentList>
    <comment ref="C4" authorId="0" shapeId="0" xr:uid="{08E735C9-2799-43A9-A259-A9DA862C46EE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changed this values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<sst xmlns="http://schemas.openxmlformats.org/spreadsheetml/2006/main" count="183" uniqueCount="133">
  <si>
    <t>HP</t>
  </si>
  <si>
    <t>PCM</t>
  </si>
  <si>
    <t>Total maximum power</t>
  </si>
  <si>
    <t>Total capacity of ESS</t>
  </si>
  <si>
    <t>NESS_HP</t>
  </si>
  <si>
    <t>NESS_BAT</t>
  </si>
  <si>
    <t>NESS_PCM</t>
  </si>
  <si>
    <t>Total capital cost of storage</t>
  </si>
  <si>
    <t>HP (kW)</t>
  </si>
  <si>
    <t>BAT (kW)</t>
  </si>
  <si>
    <t>PCM (kW)</t>
  </si>
  <si>
    <t>HP (kWh)</t>
  </si>
  <si>
    <t>BAT (kWh)</t>
  </si>
  <si>
    <t>PCM (kWh)</t>
  </si>
  <si>
    <t>Total O&amp;M cost of storage</t>
  </si>
  <si>
    <t>Scenario_Base_1</t>
  </si>
  <si>
    <t>Scenario_Base_2</t>
  </si>
  <si>
    <t>Scenario_Base_3</t>
  </si>
  <si>
    <t>Scenario_UpperCost_1</t>
  </si>
  <si>
    <t>Scenario_UpperCost_2</t>
  </si>
  <si>
    <t>Scenario_UpperCost_3</t>
  </si>
  <si>
    <t>Scenario_LowerCost_1</t>
  </si>
  <si>
    <t>Scenario_LowerCost_2</t>
  </si>
  <si>
    <t>Scenario_LowerCost_3</t>
  </si>
  <si>
    <t>PRIC EL</t>
  </si>
  <si>
    <t>TH EL</t>
  </si>
  <si>
    <r>
      <t>PRICE_GAS [c</t>
    </r>
    <r>
      <rPr>
        <sz val="11"/>
        <color theme="1"/>
        <rFont val="Aptos Narrow"/>
        <family val="2"/>
      </rPr>
      <t>€/m3</t>
    </r>
    <r>
      <rPr>
        <sz val="11"/>
        <color theme="1"/>
        <rFont val="Aptos Narrow"/>
        <family val="2"/>
        <scheme val="minor"/>
      </rPr>
      <t>]</t>
    </r>
  </si>
  <si>
    <t>BAT</t>
  </si>
  <si>
    <t>WG</t>
  </si>
  <si>
    <t>PV</t>
  </si>
  <si>
    <t>max kW / module</t>
  </si>
  <si>
    <t>max kWh (=100%Soc) / module</t>
  </si>
  <si>
    <t>O&amp;M cost/kWh</t>
  </si>
  <si>
    <t>O&amp;M cost / module</t>
  </si>
  <si>
    <t>Specific capital cost/kWh</t>
  </si>
  <si>
    <t>Specific capital cost/modul</t>
  </si>
  <si>
    <t>over 95%</t>
  </si>
  <si>
    <t>SCENARIO SELF CONSUMPTION</t>
  </si>
  <si>
    <t>The self-consumption scenario means that we minimize the energy drawn from the grid.</t>
  </si>
  <si>
    <t xml:space="preserve">SCENARIO ECO OBJ </t>
  </si>
  <si>
    <t>The eco -bj scenario means that we minimize the total energy costs</t>
  </si>
  <si>
    <t>KPI =</t>
  </si>
  <si>
    <t xml:space="preserve">OBJ FUNCTION VALUE for the considered scenario / OBJ FUNCTION VALUE SCENARIO BASE </t>
  </si>
  <si>
    <t>KPI=</t>
  </si>
  <si>
    <t>total energy buy fom the grid for the considered scenario (i.e., 51th day)/ total energy bought from the distribution grid  scenario base</t>
  </si>
  <si>
    <t>EL (kW)</t>
  </si>
  <si>
    <t>Power mismatch</t>
  </si>
  <si>
    <t>PCM_SoC</t>
  </si>
  <si>
    <t>BATT_SoC</t>
  </si>
  <si>
    <t>BATT_SoC(kWh)</t>
  </si>
  <si>
    <t>PCM_SoC (kWh)</t>
  </si>
  <si>
    <t>&lt;0</t>
  </si>
  <si>
    <t>discharge</t>
  </si>
  <si>
    <t>charge</t>
  </si>
  <si>
    <t>&gt;0</t>
  </si>
  <si>
    <t>Battery</t>
  </si>
  <si>
    <t>Efficiency</t>
  </si>
  <si>
    <t>Electrical load</t>
  </si>
  <si>
    <t>Electricity price</t>
  </si>
  <si>
    <t xml:space="preserve">PHES </t>
  </si>
  <si>
    <t xml:space="preserve">Grid exchange </t>
  </si>
  <si>
    <t>Grid exchange</t>
  </si>
  <si>
    <t>Thermal load</t>
  </si>
  <si>
    <t>Boiler</t>
  </si>
  <si>
    <t>P_ess_BAT</t>
  </si>
  <si>
    <t>T</t>
  </si>
  <si>
    <t>P_CT_WD</t>
  </si>
  <si>
    <t>P_CT_PV</t>
  </si>
  <si>
    <t>P_c_Cbu</t>
  </si>
  <si>
    <t>P_c_CEV</t>
  </si>
  <si>
    <t>P_c_CPl</t>
  </si>
  <si>
    <t>P_ess_SC</t>
  </si>
  <si>
    <t>P_ess_HP</t>
  </si>
  <si>
    <t>P2rk</t>
  </si>
  <si>
    <t>P_csp</t>
  </si>
  <si>
    <t>P_tsp</t>
  </si>
  <si>
    <t>P_ess_PCM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</si>
  <si>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</si>
  <si>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</si>
  <si>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</si>
  <si>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</si>
  <si>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</si>
  <si>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</si>
  <si>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</si>
  <si>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</si>
  <si>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</si>
  <si>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</si>
  <si>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</si>
  <si>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</si>
  <si>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</si>
  <si>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</si>
  <si>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</si>
  <si>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</si>
  <si>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</si>
  <si>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</si>
  <si>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</si>
  <si>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</si>
  <si>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Sorted El price EL</t>
  </si>
  <si>
    <t>Grid Import</t>
  </si>
  <si>
    <t>Grid Export</t>
  </si>
  <si>
    <t>FF</t>
  </si>
  <si>
    <t>FF shift</t>
  </si>
  <si>
    <t>FF shift benefit</t>
  </si>
  <si>
    <t>FF weighted</t>
  </si>
  <si>
    <t>Import cost</t>
  </si>
  <si>
    <t>Export cost</t>
  </si>
  <si>
    <t>Max_imp_cost</t>
  </si>
  <si>
    <t>Min_imp_cost</t>
  </si>
  <si>
    <t>Max_exp_cost</t>
  </si>
  <si>
    <t>Min_exp_cost</t>
  </si>
  <si>
    <t>Act imp cost</t>
  </si>
  <si>
    <t>Act exp cost</t>
  </si>
  <si>
    <t>0.5*((G2-G5)/(G2-H2)+(H5-J2)/(I2-J2))</t>
  </si>
  <si>
    <t>FF_base</t>
  </si>
  <si>
    <t>FF_W</t>
  </si>
  <si>
    <t>FF_SB</t>
  </si>
  <si>
    <t>FF_shift</t>
  </si>
  <si>
    <t>Eff</t>
  </si>
  <si>
    <t>O&amp;Mcost</t>
  </si>
  <si>
    <t>O&amp;M cost</t>
  </si>
  <si>
    <t>CAPEX</t>
  </si>
  <si>
    <t>PV and WT Capital cost</t>
  </si>
  <si>
    <t>O&amp;M PV and WG</t>
  </si>
  <si>
    <t>LCOE (NOT TRUE)</t>
  </si>
  <si>
    <t>LCOE(Total)</t>
  </si>
  <si>
    <t>Charge time (Hour)</t>
  </si>
  <si>
    <t>Plant power (kW)</t>
  </si>
  <si>
    <t>Plant efficiency</t>
  </si>
  <si>
    <t>Pumping power (kW)</t>
  </si>
  <si>
    <t>Stored energy (kWh)</t>
  </si>
  <si>
    <t>Discharge time (Hours)</t>
  </si>
  <si>
    <t>O&amp;M (€/kWh)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</si>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</sst>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/>
    <xf numFmtId="9" fontId="0" fillId="0" borderId="0" xfId="1" applyFont="1"/>
    <xf numFmtId="10" fontId="0" fillId="0" borderId="0" xfId="1" applyNumberFormat="1" applyFont="1"/>
    <xf numFmtId="0" fontId="5" fillId="0" borderId="0" xfId="0" applyFont="1"/>
    <xf numFmtId="0" fontId="0" fillId="2" borderId="0" xfId="0" applyFill="1"/>
    <xf numFmtId="0" fontId="0" fillId="4" borderId="0" xfId="0" applyFill="1"/>
    <xf numFmtId="0" fontId="2" fillId="0" borderId="0" xfId="0" applyFont="1"/>
    <xf numFmtId="0" fontId="7" fillId="0" borderId="0" xfId="0" applyFont="1"/>
    <xf numFmtId="0" fontId="0" fillId="4" borderId="0" xfId="0" applyFill="1" applyAlignment="1">
      <alignment horizontal="center" vertical="center"/>
    </xf>
    <xf numFmtId="0" fontId="2" fillId="5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/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7" fillId="0" borderId="1" xfId="0" applyFont="1" applyFill="1" applyBorder="1"/>
    <xf numFmtId="0" fontId="0" fillId="0" borderId="0" xfId="0" applyFill="1"/>
    <xf numFmtId="0" fontId="5" fillId="0" borderId="2" xfId="0" applyFont="1" applyFill="1" applyBorder="1"/>
    <xf numFmtId="0" fontId="8" fillId="0" borderId="2" xfId="0" applyFont="1" applyFill="1" applyBorder="1"/>
    <xf numFmtId="0" fontId="8" fillId="0" borderId="0" xfId="0" applyFont="1" applyFill="1"/>
    <xf numFmtId="0" fontId="5" fillId="0" borderId="0" xfId="0" applyFont="1" applyFill="1"/>
    <xf numFmtId="0" fontId="8" fillId="0" borderId="3" xfId="0" applyFont="1" applyFill="1" applyBorder="1"/>
    <xf numFmtId="0" fontId="5" fillId="0" borderId="3" xfId="0" applyFont="1" applyFill="1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7739865850103"/>
          <c:y val="8.2414477043131859E-2"/>
          <c:w val="0.8224561096529600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'[1]New scenarios'!$C$2</c:f>
              <c:strCache>
                <c:ptCount val="1"/>
                <c:pt idx="0">
                  <c:v>NESS_BAT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gradFill>
                  <a:gsLst>
                    <a:gs pos="0">
                      <a:srgbClr val="5B9BD5">
                        <a:lumMod val="5000"/>
                        <a:lumOff val="95000"/>
                      </a:srgbClr>
                    </a:gs>
                    <a:gs pos="74000">
                      <a:srgbClr val="5B9BD5">
                        <a:lumMod val="45000"/>
                        <a:lumOff val="55000"/>
                      </a:srgbClr>
                    </a:gs>
                    <a:gs pos="83000">
                      <a:srgbClr val="5B9BD5">
                        <a:lumMod val="45000"/>
                        <a:lumOff val="55000"/>
                      </a:srgbClr>
                    </a:gs>
                    <a:gs pos="100000">
                      <a:srgbClr val="5B9BD5">
                        <a:lumMod val="30000"/>
                        <a:lumOff val="70000"/>
                      </a:srgb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'[1]New scenarios'!$C$3:$C$11</c:f>
              <c:numCache>
                <c:formatCode>General</c:formatCode>
                <c:ptCount val="9"/>
                <c:pt idx="0">
                  <c:v>83</c:v>
                </c:pt>
                <c:pt idx="1">
                  <c:v>88</c:v>
                </c:pt>
                <c:pt idx="2">
                  <c:v>78</c:v>
                </c:pt>
                <c:pt idx="3">
                  <c:v>90</c:v>
                </c:pt>
                <c:pt idx="4">
                  <c:v>95</c:v>
                </c:pt>
                <c:pt idx="5">
                  <c:v>85</c:v>
                </c:pt>
                <c:pt idx="6">
                  <c:v>75</c:v>
                </c:pt>
                <c:pt idx="7">
                  <c:v>80</c:v>
                </c:pt>
                <c:pt idx="8">
                  <c:v>70</c:v>
                </c:pt>
              </c:numCache>
            </c:numRef>
          </c:xVal>
          <c:yVal>
            <c:numRef>
              <c:f>'[1]New scenarios'!$D$3:$D$11</c:f>
              <c:numCache>
                <c:formatCode>General</c:formatCode>
                <c:ptCount val="9"/>
                <c:pt idx="0">
                  <c:v>28</c:v>
                </c:pt>
                <c:pt idx="1">
                  <c:v>20</c:v>
                </c:pt>
                <c:pt idx="2">
                  <c:v>36</c:v>
                </c:pt>
                <c:pt idx="3">
                  <c:v>36</c:v>
                </c:pt>
                <c:pt idx="4">
                  <c:v>28</c:v>
                </c:pt>
                <c:pt idx="5">
                  <c:v>44</c:v>
                </c:pt>
                <c:pt idx="6">
                  <c:v>22</c:v>
                </c:pt>
                <c:pt idx="7">
                  <c:v>13</c:v>
                </c:pt>
                <c:pt idx="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2-4FAC-9A23-C0368A7B4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953440"/>
        <c:axId val="615338464"/>
      </c:scatterChart>
      <c:valAx>
        <c:axId val="471953440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PCM 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338464"/>
        <c:crosses val="autoZero"/>
        <c:crossBetween val="midCat"/>
        <c:majorUnit val="10"/>
      </c:valAx>
      <c:valAx>
        <c:axId val="6153384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</a:t>
                </a:r>
                <a:r>
                  <a:rPr lang="en-US" sz="1100" b="1" i="0" u="none" strike="noStrike" baseline="0">
                    <a:effectLst/>
                  </a:rPr>
                  <a:t>lithium-ion</a:t>
                </a:r>
                <a:r>
                  <a:rPr lang="en-US" b="1"/>
                  <a:t> Battery </a:t>
                </a:r>
                <a:r>
                  <a:rPr lang="en-US"/>
                  <a:t>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9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Eletrical subgrid</a:t>
            </a:r>
          </a:p>
          <a:p>
            <a:pPr algn="ctr" rtl="0">
              <a:defRPr/>
            </a:pPr>
            <a:r>
              <a:rPr lang="en-US"/>
              <a:t>(Self Sufficiency Scenario)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51th_SELF CONSUMPTION '!$F$1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'DAY 51th_SELF CONSUMPTION '!$F$2:$F$28</c:f>
              <c:numCache>
                <c:formatCode>General</c:formatCode>
                <c:ptCount val="27"/>
                <c:pt idx="0">
                  <c:v>0.39173572530890799</c:v>
                </c:pt>
                <c:pt idx="1">
                  <c:v>0.39512728829926813</c:v>
                </c:pt>
                <c:pt idx="2">
                  <c:v>0.38683877182354337</c:v>
                </c:pt>
                <c:pt idx="3">
                  <c:v>0.4003276007992681</c:v>
                </c:pt>
                <c:pt idx="4">
                  <c:v>0.39828908432354337</c:v>
                </c:pt>
                <c:pt idx="5">
                  <c:v>0.48574616169024515</c:v>
                </c:pt>
                <c:pt idx="6">
                  <c:v>0.48765694417347405</c:v>
                </c:pt>
                <c:pt idx="7">
                  <c:v>0.51576103260860862</c:v>
                </c:pt>
                <c:pt idx="8">
                  <c:v>0.55994591599036869</c:v>
                </c:pt>
                <c:pt idx="9">
                  <c:v>0.5719274888872673</c:v>
                </c:pt>
                <c:pt idx="10">
                  <c:v>0.54497719768498487</c:v>
                </c:pt>
                <c:pt idx="11">
                  <c:v>0.50504241234859459</c:v>
                </c:pt>
                <c:pt idx="12">
                  <c:v>0.49751284905450693</c:v>
                </c:pt>
                <c:pt idx="13">
                  <c:v>0.50746141817917079</c:v>
                </c:pt>
                <c:pt idx="14">
                  <c:v>0.53905718036732164</c:v>
                </c:pt>
                <c:pt idx="15">
                  <c:v>0.55681499787919964</c:v>
                </c:pt>
                <c:pt idx="16">
                  <c:v>0.54800932167300853</c:v>
                </c:pt>
                <c:pt idx="17">
                  <c:v>0.49771872584464877</c:v>
                </c:pt>
                <c:pt idx="18">
                  <c:v>0.4171480062447061</c:v>
                </c:pt>
                <c:pt idx="19">
                  <c:v>0.46563127859207776</c:v>
                </c:pt>
                <c:pt idx="20">
                  <c:v>0.51274202974724936</c:v>
                </c:pt>
                <c:pt idx="21">
                  <c:v>0.50874604423543901</c:v>
                </c:pt>
                <c:pt idx="22">
                  <c:v>0.51054919361575934</c:v>
                </c:pt>
                <c:pt idx="23">
                  <c:v>0.5007014805998985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B-4FED-86D7-C8260B35A73B}"/>
            </c:ext>
          </c:extLst>
        </c:ser>
        <c:ser>
          <c:idx val="1"/>
          <c:order val="1"/>
          <c:tx>
            <c:strRef>
              <c:f>'DAY 51th_SELF CONSUMPTION '!$G$1</c:f>
              <c:strCache>
                <c:ptCount val="1"/>
                <c:pt idx="0">
                  <c:v>Electrical 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'DAY 51th_SELF CONSUMPTION '!$G$2:$G$28</c:f>
              <c:numCache>
                <c:formatCode>General</c:formatCode>
                <c:ptCount val="27"/>
                <c:pt idx="0">
                  <c:v>391.735725308908</c:v>
                </c:pt>
                <c:pt idx="1">
                  <c:v>395.12728829926812</c:v>
                </c:pt>
                <c:pt idx="2">
                  <c:v>386.83877182354337</c:v>
                </c:pt>
                <c:pt idx="3">
                  <c:v>400.32760079926811</c:v>
                </c:pt>
                <c:pt idx="4">
                  <c:v>398.28908432354336</c:v>
                </c:pt>
                <c:pt idx="5">
                  <c:v>485.74616169024517</c:v>
                </c:pt>
                <c:pt idx="6">
                  <c:v>487.65694417347407</c:v>
                </c:pt>
                <c:pt idx="7">
                  <c:v>515.76103260860862</c:v>
                </c:pt>
                <c:pt idx="8">
                  <c:v>559.94591599036869</c:v>
                </c:pt>
                <c:pt idx="9">
                  <c:v>571.92748888726726</c:v>
                </c:pt>
                <c:pt idx="10">
                  <c:v>544.97719768498484</c:v>
                </c:pt>
                <c:pt idx="11">
                  <c:v>505.04241234859455</c:v>
                </c:pt>
                <c:pt idx="12">
                  <c:v>497.51284905450694</c:v>
                </c:pt>
                <c:pt idx="13">
                  <c:v>507.46141817917083</c:v>
                </c:pt>
                <c:pt idx="14">
                  <c:v>539.05718036732162</c:v>
                </c:pt>
                <c:pt idx="15">
                  <c:v>556.81499787919961</c:v>
                </c:pt>
                <c:pt idx="16">
                  <c:v>548.00932167300857</c:v>
                </c:pt>
                <c:pt idx="17">
                  <c:v>497.71872584464876</c:v>
                </c:pt>
                <c:pt idx="18">
                  <c:v>417.1480062447061</c:v>
                </c:pt>
                <c:pt idx="19">
                  <c:v>465.63127859207776</c:v>
                </c:pt>
                <c:pt idx="20">
                  <c:v>512.74202974724938</c:v>
                </c:pt>
                <c:pt idx="21">
                  <c:v>508.74604423543906</c:v>
                </c:pt>
                <c:pt idx="22">
                  <c:v>510.54919361575929</c:v>
                </c:pt>
                <c:pt idx="23">
                  <c:v>500.7014805998985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B-4FED-86D7-C8260B35A73B}"/>
            </c:ext>
          </c:extLst>
        </c:ser>
        <c:ser>
          <c:idx val="2"/>
          <c:order val="2"/>
          <c:tx>
            <c:strRef>
              <c:f>'DAY 51th_SELF CONSUMPTION '!$K$1</c:f>
              <c:strCache>
                <c:ptCount val="1"/>
                <c:pt idx="0">
                  <c:v>PHES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'DAY 51th_SELF CONSUMPTION '!$K$2:$K$28</c:f>
              <c:numCache>
                <c:formatCode>General</c:formatCode>
                <c:ptCount val="27"/>
                <c:pt idx="0">
                  <c:v>337.5</c:v>
                </c:pt>
                <c:pt idx="1">
                  <c:v>337.5</c:v>
                </c:pt>
                <c:pt idx="2">
                  <c:v>337.5</c:v>
                </c:pt>
                <c:pt idx="3">
                  <c:v>337.5</c:v>
                </c:pt>
                <c:pt idx="4">
                  <c:v>337.5</c:v>
                </c:pt>
                <c:pt idx="5">
                  <c:v>337.5</c:v>
                </c:pt>
                <c:pt idx="6">
                  <c:v>337.5</c:v>
                </c:pt>
                <c:pt idx="7">
                  <c:v>-337.5</c:v>
                </c:pt>
                <c:pt idx="8">
                  <c:v>-337.5</c:v>
                </c:pt>
                <c:pt idx="9">
                  <c:v>-212.625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-337.5</c:v>
                </c:pt>
                <c:pt idx="19">
                  <c:v>-337.5</c:v>
                </c:pt>
                <c:pt idx="20">
                  <c:v>-337.5</c:v>
                </c:pt>
                <c:pt idx="21">
                  <c:v>-337.5</c:v>
                </c:pt>
                <c:pt idx="22">
                  <c:v>-337.5</c:v>
                </c:pt>
                <c:pt idx="23">
                  <c:v>212.625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B-4FED-86D7-C8260B35A73B}"/>
            </c:ext>
          </c:extLst>
        </c:ser>
        <c:ser>
          <c:idx val="3"/>
          <c:order val="3"/>
          <c:tx>
            <c:strRef>
              <c:f>'DAY 51th_SELF CONSUMPTION '!$L$1</c:f>
              <c:strCache>
                <c:ptCount val="1"/>
                <c:pt idx="0">
                  <c:v>Battery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'DAY 51th_SELF CONSUMPTION '!$L$2:$L$28</c:f>
              <c:numCache>
                <c:formatCode>General</c:formatCode>
                <c:ptCount val="27"/>
                <c:pt idx="0">
                  <c:v>-729.23599999999999</c:v>
                </c:pt>
                <c:pt idx="1">
                  <c:v>-732.627288299268</c:v>
                </c:pt>
                <c:pt idx="2">
                  <c:v>-724.33877182354354</c:v>
                </c:pt>
                <c:pt idx="3">
                  <c:v>-737.82760079926811</c:v>
                </c:pt>
                <c:pt idx="4">
                  <c:v>-735.78908432354319</c:v>
                </c:pt>
                <c:pt idx="5">
                  <c:v>-823.24616169024512</c:v>
                </c:pt>
                <c:pt idx="6">
                  <c:v>-825.15694417347413</c:v>
                </c:pt>
                <c:pt idx="7">
                  <c:v>-89.830322351966572</c:v>
                </c:pt>
                <c:pt idx="8">
                  <c:v>0</c:v>
                </c:pt>
                <c:pt idx="9">
                  <c:v>690.11599999999999</c:v>
                </c:pt>
                <c:pt idx="10">
                  <c:v>1103.960302315015</c:v>
                </c:pt>
                <c:pt idx="11">
                  <c:v>725.24508765140558</c:v>
                </c:pt>
                <c:pt idx="12">
                  <c:v>860.68715094549316</c:v>
                </c:pt>
                <c:pt idx="13">
                  <c:v>423.84483182082931</c:v>
                </c:pt>
                <c:pt idx="14">
                  <c:v>910.68031963267822</c:v>
                </c:pt>
                <c:pt idx="15">
                  <c:v>930.26000212079998</c:v>
                </c:pt>
                <c:pt idx="16">
                  <c:v>999.70317832699129</c:v>
                </c:pt>
                <c:pt idx="17">
                  <c:v>114.51877415535091</c:v>
                </c:pt>
                <c:pt idx="18">
                  <c:v>3.5303143613418797E-4</c:v>
                </c:pt>
                <c:pt idx="19">
                  <c:v>-128.1003530314365</c:v>
                </c:pt>
                <c:pt idx="20">
                  <c:v>-175.24202974724903</c:v>
                </c:pt>
                <c:pt idx="21">
                  <c:v>-171.24604423543951</c:v>
                </c:pt>
                <c:pt idx="22">
                  <c:v>-173.04919361575958</c:v>
                </c:pt>
                <c:pt idx="23">
                  <c:v>-713.32648059989879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9B-4FED-86D7-C8260B35A73B}"/>
            </c:ext>
          </c:extLst>
        </c:ser>
        <c:ser>
          <c:idx val="4"/>
          <c:order val="4"/>
          <c:tx>
            <c:strRef>
              <c:f>'DAY 51th_SELF CONSUMPTION '!$M$1</c:f>
              <c:strCache>
                <c:ptCount val="1"/>
                <c:pt idx="0">
                  <c:v>Grid exchange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'DAY 51th_SELF CONSUMPTION '!$M$2:$M$28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87.3</c:v>
                </c:pt>
                <c:pt idx="8">
                  <c:v>64.639999999999986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9B-4FED-86D7-C8260B35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763103"/>
        <c:axId val="432760223"/>
      </c:lineChart>
      <c:catAx>
        <c:axId val="43276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60223"/>
        <c:crosses val="autoZero"/>
        <c:auto val="1"/>
        <c:lblAlgn val="ctr"/>
        <c:lblOffset val="100"/>
        <c:noMultiLvlLbl val="0"/>
      </c:catAx>
      <c:valAx>
        <c:axId val="43276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6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Subgrid</a:t>
            </a:r>
          </a:p>
          <a:p>
            <a:pPr>
              <a:defRPr/>
            </a:pPr>
            <a:r>
              <a:rPr lang="en-US"/>
              <a:t>(Self</a:t>
            </a:r>
            <a:r>
              <a:rPr lang="en-US" baseline="0"/>
              <a:t> Sufficiency Scenario)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51th_SELF CONSUMPTION '!$S$1</c:f>
              <c:strCache>
                <c:ptCount val="1"/>
                <c:pt idx="0">
                  <c:v>Thermal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'DAY 51th_SELF CONSUMPTION '!$S$2:$S$28</c:f>
              <c:numCache>
                <c:formatCode>General</c:formatCode>
                <c:ptCount val="27"/>
                <c:pt idx="0">
                  <c:v>62.750000000000007</c:v>
                </c:pt>
                <c:pt idx="1">
                  <c:v>62.750000000000007</c:v>
                </c:pt>
                <c:pt idx="2">
                  <c:v>62.750000000000007</c:v>
                </c:pt>
                <c:pt idx="3">
                  <c:v>62.750000000000007</c:v>
                </c:pt>
                <c:pt idx="4">
                  <c:v>62.750000000000007</c:v>
                </c:pt>
                <c:pt idx="5">
                  <c:v>89.092975206611598</c:v>
                </c:pt>
                <c:pt idx="6">
                  <c:v>608.33334516176456</c:v>
                </c:pt>
                <c:pt idx="7">
                  <c:v>1032.7789374482654</c:v>
                </c:pt>
                <c:pt idx="8">
                  <c:v>1047.9166784950978</c:v>
                </c:pt>
                <c:pt idx="9">
                  <c:v>857.7355490185148</c:v>
                </c:pt>
                <c:pt idx="10">
                  <c:v>744.06406141520824</c:v>
                </c:pt>
                <c:pt idx="11">
                  <c:v>763.97576980125007</c:v>
                </c:pt>
                <c:pt idx="12">
                  <c:v>718.98072808187499</c:v>
                </c:pt>
                <c:pt idx="13">
                  <c:v>719.56888235184806</c:v>
                </c:pt>
                <c:pt idx="14">
                  <c:v>694.40221568518132</c:v>
                </c:pt>
                <c:pt idx="15">
                  <c:v>720.15703662181977</c:v>
                </c:pt>
                <c:pt idx="16">
                  <c:v>765.23541167452811</c:v>
                </c:pt>
                <c:pt idx="17">
                  <c:v>745.32370328848651</c:v>
                </c:pt>
                <c:pt idx="18">
                  <c:v>475.87190082644696</c:v>
                </c:pt>
                <c:pt idx="19">
                  <c:v>601.45523415978028</c:v>
                </c:pt>
                <c:pt idx="20">
                  <c:v>491.00964187327816</c:v>
                </c:pt>
                <c:pt idx="21">
                  <c:v>296.34297520661147</c:v>
                </c:pt>
                <c:pt idx="22">
                  <c:v>151.92630853994481</c:v>
                </c:pt>
                <c:pt idx="23">
                  <c:v>32.004820936639099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1-42D3-9DD8-AF8959D04935}"/>
            </c:ext>
          </c:extLst>
        </c:ser>
        <c:ser>
          <c:idx val="1"/>
          <c:order val="1"/>
          <c:tx>
            <c:strRef>
              <c:f>'DAY 51th_SELF CONSUMPTION '!$T$1</c:f>
              <c:strCache>
                <c:ptCount val="1"/>
                <c:pt idx="0">
                  <c:v>Boiler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'DAY 51th_SELF CONSUMPTION '!$T$2:$T$28</c:f>
              <c:numCache>
                <c:formatCode>General</c:formatCode>
                <c:ptCount val="27"/>
                <c:pt idx="0">
                  <c:v>62.750000000000007</c:v>
                </c:pt>
                <c:pt idx="1">
                  <c:v>62.750000000000007</c:v>
                </c:pt>
                <c:pt idx="2">
                  <c:v>62.750000000000007</c:v>
                </c:pt>
                <c:pt idx="3">
                  <c:v>62.750000000000007</c:v>
                </c:pt>
                <c:pt idx="4">
                  <c:v>62.750000000000007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33.799999999999997</c:v>
                </c:pt>
                <c:pt idx="13">
                  <c:v>719.56</c:v>
                </c:pt>
                <c:pt idx="14">
                  <c:v>694.4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475.87190082644696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1-42D3-9DD8-AF8959D04935}"/>
            </c:ext>
          </c:extLst>
        </c:ser>
        <c:ser>
          <c:idx val="2"/>
          <c:order val="2"/>
          <c:tx>
            <c:strRef>
              <c:f>'DAY 51th_SELF CONSUMPTION '!$U$1</c:f>
              <c:strCache>
                <c:ptCount val="1"/>
                <c:pt idx="0">
                  <c:v>PCM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'DAY 51th_SELF CONSUMPTION '!$U$2:$U$28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5740</c:v>
                </c:pt>
                <c:pt idx="6">
                  <c:v>-608.33334516176456</c:v>
                </c:pt>
                <c:pt idx="7">
                  <c:v>-1032.7789374482654</c:v>
                </c:pt>
                <c:pt idx="8">
                  <c:v>-1047.9166784950976</c:v>
                </c:pt>
                <c:pt idx="9">
                  <c:v>-857.73554901851458</c:v>
                </c:pt>
                <c:pt idx="10">
                  <c:v>-744.06406141520824</c:v>
                </c:pt>
                <c:pt idx="11">
                  <c:v>-763.97576980125007</c:v>
                </c:pt>
                <c:pt idx="12">
                  <c:v>-685.19565865989955</c:v>
                </c:pt>
                <c:pt idx="13">
                  <c:v>1260</c:v>
                </c:pt>
                <c:pt idx="14">
                  <c:v>1260</c:v>
                </c:pt>
                <c:pt idx="15">
                  <c:v>-720.15703662181977</c:v>
                </c:pt>
                <c:pt idx="16">
                  <c:v>-765.23541167452822</c:v>
                </c:pt>
                <c:pt idx="17">
                  <c:v>-745.32370328848651</c:v>
                </c:pt>
                <c:pt idx="18">
                  <c:v>1260</c:v>
                </c:pt>
                <c:pt idx="19">
                  <c:v>-601.45523415978028</c:v>
                </c:pt>
                <c:pt idx="20">
                  <c:v>-491.00964187327816</c:v>
                </c:pt>
                <c:pt idx="21">
                  <c:v>-296.34297520661147</c:v>
                </c:pt>
                <c:pt idx="22">
                  <c:v>-151.92630853994481</c:v>
                </c:pt>
                <c:pt idx="23">
                  <c:v>-8.5496886355507797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1-42D3-9DD8-AF8959D04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441471"/>
        <c:axId val="443443871"/>
      </c:lineChart>
      <c:catAx>
        <c:axId val="443441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43871"/>
        <c:crosses val="autoZero"/>
        <c:auto val="1"/>
        <c:lblAlgn val="ctr"/>
        <c:lblOffset val="100"/>
        <c:noMultiLvlLbl val="0"/>
      </c:catAx>
      <c:valAx>
        <c:axId val="44344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4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51th_SELF CONSUMPTION '!$I$1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'DAY 51th_SELF CONSUMPTION '!$I$2:$I$25</c:f>
              <c:numCache>
                <c:formatCode>General</c:formatCode>
                <c:ptCount val="24"/>
                <c:pt idx="0">
                  <c:v>0.26038899999999998</c:v>
                </c:pt>
                <c:pt idx="1">
                  <c:v>0.25714300000000001</c:v>
                </c:pt>
                <c:pt idx="2">
                  <c:v>0.25442999999999999</c:v>
                </c:pt>
                <c:pt idx="3">
                  <c:v>0.25297999999999998</c:v>
                </c:pt>
                <c:pt idx="4">
                  <c:v>0.25274999999999997</c:v>
                </c:pt>
                <c:pt idx="5">
                  <c:v>0.25497999999999998</c:v>
                </c:pt>
                <c:pt idx="6">
                  <c:v>0.26271</c:v>
                </c:pt>
                <c:pt idx="7">
                  <c:v>0.269783</c:v>
                </c:pt>
                <c:pt idx="8">
                  <c:v>0.27707500000000002</c:v>
                </c:pt>
                <c:pt idx="9">
                  <c:v>0.27672799999999997</c:v>
                </c:pt>
                <c:pt idx="10">
                  <c:v>0.27678199999999997</c:v>
                </c:pt>
                <c:pt idx="11">
                  <c:v>0.270368</c:v>
                </c:pt>
                <c:pt idx="12">
                  <c:v>0.266897</c:v>
                </c:pt>
                <c:pt idx="13">
                  <c:v>0.26474700000000001</c:v>
                </c:pt>
                <c:pt idx="14">
                  <c:v>0.26649400000000001</c:v>
                </c:pt>
                <c:pt idx="15">
                  <c:v>0.270067</c:v>
                </c:pt>
                <c:pt idx="16">
                  <c:v>0.27431899999999998</c:v>
                </c:pt>
                <c:pt idx="17">
                  <c:v>0.27111299999999999</c:v>
                </c:pt>
                <c:pt idx="18">
                  <c:v>0.28212799999999999</c:v>
                </c:pt>
                <c:pt idx="19">
                  <c:v>0.28089700000000001</c:v>
                </c:pt>
                <c:pt idx="20">
                  <c:v>0.27615600000000001</c:v>
                </c:pt>
                <c:pt idx="21">
                  <c:v>0.27117200000000002</c:v>
                </c:pt>
                <c:pt idx="22">
                  <c:v>0.26649</c:v>
                </c:pt>
                <c:pt idx="23">
                  <c:v>0.26110800000000001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C-4243-8506-65E7AA882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524575"/>
        <c:axId val="1755525055"/>
      </c:lineChart>
      <c:catAx>
        <c:axId val="1755524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525055"/>
        <c:crosses val="autoZero"/>
        <c:auto val="1"/>
        <c:lblAlgn val="ctr"/>
        <c:lblOffset val="100"/>
        <c:noMultiLvlLbl val="0"/>
      </c:catAx>
      <c:valAx>
        <c:axId val="175552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52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Electrical Subgrid</a:t>
            </a:r>
          </a:p>
          <a:p>
            <a:pPr algn="ctr" rtl="0">
              <a:defRPr/>
            </a:pPr>
            <a:r>
              <a:rPr lang="en-US"/>
              <a:t>(Economic Scenario)</a:t>
            </a:r>
          </a:p>
          <a:p>
            <a:pPr algn="ctr" rtl="0">
              <a:defRPr/>
            </a:pPr>
            <a:endParaRPr lang="en-US"/>
          </a:p>
        </c:rich>
      </c:tx>
      <c:layout>
        <c:manualLayout>
          <c:xMode val="edge"/>
          <c:yMode val="edge"/>
          <c:x val="0.1135"/>
          <c:y val="0.1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51th_ECOOBJ'!$F$1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'DAY 51th_ECOOBJ'!$F$2:$F$25</c:f>
              <c:numCache>
                <c:formatCode>General</c:formatCode>
                <c:ptCount val="24"/>
                <c:pt idx="0">
                  <c:v>0.39173572530890799</c:v>
                </c:pt>
                <c:pt idx="1">
                  <c:v>0.39512728829926813</c:v>
                </c:pt>
                <c:pt idx="2">
                  <c:v>0.38683877182354337</c:v>
                </c:pt>
                <c:pt idx="3">
                  <c:v>0.4003276007992681</c:v>
                </c:pt>
                <c:pt idx="4">
                  <c:v>0.39828908432354337</c:v>
                </c:pt>
                <c:pt idx="5">
                  <c:v>0.48574616169024515</c:v>
                </c:pt>
                <c:pt idx="6">
                  <c:v>0.48765694417347405</c:v>
                </c:pt>
                <c:pt idx="7">
                  <c:v>0.51576103260860862</c:v>
                </c:pt>
                <c:pt idx="8">
                  <c:v>0.55994591599036869</c:v>
                </c:pt>
                <c:pt idx="9">
                  <c:v>0.5719274888872673</c:v>
                </c:pt>
                <c:pt idx="10">
                  <c:v>0.54497719768498487</c:v>
                </c:pt>
                <c:pt idx="11">
                  <c:v>0.50504241234859459</c:v>
                </c:pt>
                <c:pt idx="12">
                  <c:v>0.49751284905450693</c:v>
                </c:pt>
                <c:pt idx="13">
                  <c:v>0.50746141817917079</c:v>
                </c:pt>
                <c:pt idx="14">
                  <c:v>0.53905718036732164</c:v>
                </c:pt>
                <c:pt idx="15">
                  <c:v>0.55681499787919964</c:v>
                </c:pt>
                <c:pt idx="16">
                  <c:v>0.54800932167300853</c:v>
                </c:pt>
                <c:pt idx="17">
                  <c:v>0.49771872584464877</c:v>
                </c:pt>
                <c:pt idx="18">
                  <c:v>0.4171480062447061</c:v>
                </c:pt>
                <c:pt idx="19">
                  <c:v>0.46563127859207776</c:v>
                </c:pt>
                <c:pt idx="20">
                  <c:v>0.51274202974724936</c:v>
                </c:pt>
                <c:pt idx="21">
                  <c:v>0.50874604423543901</c:v>
                </c:pt>
                <c:pt idx="22">
                  <c:v>0.51054919361575934</c:v>
                </c:pt>
                <c:pt idx="23">
                  <c:v>0.5007014805998985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D-47AB-A7BC-5C4CEF1E6214}"/>
            </c:ext>
          </c:extLst>
        </c:ser>
        <c:ser>
          <c:idx val="1"/>
          <c:order val="1"/>
          <c:tx>
            <c:strRef>
              <c:f>'DAY 51th_ECOOBJ'!$G$1</c:f>
              <c:strCache>
                <c:ptCount val="1"/>
                <c:pt idx="0">
                  <c:v>Electrical 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'DAY 51th_ECOOBJ'!$G$2:$G$25</c:f>
              <c:numCache>
                <c:formatCode>General</c:formatCode>
                <c:ptCount val="24"/>
                <c:pt idx="0">
                  <c:v>391.735725308908</c:v>
                </c:pt>
                <c:pt idx="1">
                  <c:v>395.12728829926812</c:v>
                </c:pt>
                <c:pt idx="2">
                  <c:v>386.83877182354337</c:v>
                </c:pt>
                <c:pt idx="3">
                  <c:v>400.32760079926811</c:v>
                </c:pt>
                <c:pt idx="4">
                  <c:v>398.28908432354336</c:v>
                </c:pt>
                <c:pt idx="5">
                  <c:v>485.74616169024517</c:v>
                </c:pt>
                <c:pt idx="6">
                  <c:v>487.65694417347407</c:v>
                </c:pt>
                <c:pt idx="7">
                  <c:v>515.76103260860862</c:v>
                </c:pt>
                <c:pt idx="8">
                  <c:v>559.94591599036869</c:v>
                </c:pt>
                <c:pt idx="9">
                  <c:v>571.92748888726726</c:v>
                </c:pt>
                <c:pt idx="10">
                  <c:v>544.97719768498484</c:v>
                </c:pt>
                <c:pt idx="11">
                  <c:v>505.04241234859455</c:v>
                </c:pt>
                <c:pt idx="12">
                  <c:v>497.51284905450694</c:v>
                </c:pt>
                <c:pt idx="13">
                  <c:v>507.46141817917083</c:v>
                </c:pt>
                <c:pt idx="14">
                  <c:v>539.05718036732162</c:v>
                </c:pt>
                <c:pt idx="15">
                  <c:v>556.81499787919961</c:v>
                </c:pt>
                <c:pt idx="16">
                  <c:v>548.00932167300857</c:v>
                </c:pt>
                <c:pt idx="17">
                  <c:v>497.71872584464876</c:v>
                </c:pt>
                <c:pt idx="18">
                  <c:v>417.1480062447061</c:v>
                </c:pt>
                <c:pt idx="19">
                  <c:v>465.63127859207776</c:v>
                </c:pt>
                <c:pt idx="20">
                  <c:v>512.74202974724938</c:v>
                </c:pt>
                <c:pt idx="21">
                  <c:v>508.74604423543906</c:v>
                </c:pt>
                <c:pt idx="22">
                  <c:v>510.54919361575929</c:v>
                </c:pt>
                <c:pt idx="23">
                  <c:v>500.7014805998985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D-47AB-A7BC-5C4CEF1E6214}"/>
            </c:ext>
          </c:extLst>
        </c:ser>
        <c:ser>
          <c:idx val="2"/>
          <c:order val="2"/>
          <c:tx>
            <c:strRef>
              <c:f>'DAY 51th_ECOOBJ'!$L$1</c:f>
              <c:strCache>
                <c:ptCount val="1"/>
                <c:pt idx="0">
                  <c:v>PHES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'DAY 51th_ECOOBJ'!$L$2:$L$25</c:f>
              <c:numCache>
                <c:formatCode>General</c:formatCode>
                <c:ptCount val="24"/>
                <c:pt idx="0">
                  <c:v>337.5</c:v>
                </c:pt>
                <c:pt idx="1">
                  <c:v>337.5</c:v>
                </c:pt>
                <c:pt idx="2">
                  <c:v>337.5</c:v>
                </c:pt>
                <c:pt idx="3">
                  <c:v>337.5</c:v>
                </c:pt>
                <c:pt idx="4">
                  <c:v>337.5</c:v>
                </c:pt>
                <c:pt idx="5">
                  <c:v>337.5</c:v>
                </c:pt>
                <c:pt idx="6">
                  <c:v>337.5</c:v>
                </c:pt>
                <c:pt idx="7">
                  <c:v>-337.5</c:v>
                </c:pt>
                <c:pt idx="8">
                  <c:v>-337.5</c:v>
                </c:pt>
                <c:pt idx="9">
                  <c:v>-212.625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-337.5</c:v>
                </c:pt>
                <c:pt idx="19">
                  <c:v>-337.5</c:v>
                </c:pt>
                <c:pt idx="20">
                  <c:v>-337.5</c:v>
                </c:pt>
                <c:pt idx="21">
                  <c:v>-337.5</c:v>
                </c:pt>
                <c:pt idx="22">
                  <c:v>-337.5</c:v>
                </c:pt>
                <c:pt idx="23">
                  <c:v>212.625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D-47AB-A7BC-5C4CEF1E6214}"/>
            </c:ext>
          </c:extLst>
        </c:ser>
        <c:ser>
          <c:idx val="3"/>
          <c:order val="3"/>
          <c:tx>
            <c:strRef>
              <c:f>'DAY 51th_ECOOBJ'!$M$1</c:f>
              <c:strCache>
                <c:ptCount val="1"/>
                <c:pt idx="0">
                  <c:v>Battery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'DAY 51th_ECOOBJ'!$M$2:$M$25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6806.48</c:v>
                </c:pt>
                <c:pt idx="5">
                  <c:v>0</c:v>
                </c:pt>
                <c:pt idx="6">
                  <c:v>0</c:v>
                </c:pt>
                <c:pt idx="7">
                  <c:v>-177.14853260860855</c:v>
                </c:pt>
                <c:pt idx="8">
                  <c:v>64.635334009631151</c:v>
                </c:pt>
                <c:pt idx="9">
                  <c:v>-825.96680140102217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-4500</c:v>
                </c:pt>
                <c:pt idx="19">
                  <c:v>-128.10002859207771</c:v>
                </c:pt>
                <c:pt idx="20">
                  <c:v>-175.24202974724949</c:v>
                </c:pt>
                <c:pt idx="21">
                  <c:v>-171.24604423543906</c:v>
                </c:pt>
                <c:pt idx="22">
                  <c:v>-173.04919361575935</c:v>
                </c:pt>
                <c:pt idx="23">
                  <c:v>-720.3627038094744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D-47AB-A7BC-5C4CEF1E6214}"/>
            </c:ext>
          </c:extLst>
        </c:ser>
        <c:ser>
          <c:idx val="4"/>
          <c:order val="4"/>
          <c:tx>
            <c:strRef>
              <c:f>'DAY 51th_ECOOBJ'!$N$1</c:f>
              <c:strCache>
                <c:ptCount val="1"/>
                <c:pt idx="0">
                  <c:v>Grid exchange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'DAY 51th_ECOOBJ'!$N$2:$N$25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823.24616169024512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690.11599999999999</c:v>
                </c:pt>
                <c:pt idx="10">
                  <c:v>1794.076302315015</c:v>
                </c:pt>
                <c:pt idx="11">
                  <c:v>2519.3213899664206</c:v>
                </c:pt>
                <c:pt idx="12">
                  <c:v>3380.0085409119138</c:v>
                </c:pt>
                <c:pt idx="13">
                  <c:v>3803.8533727327431</c:v>
                </c:pt>
                <c:pt idx="14">
                  <c:v>4714.5336923654213</c:v>
                </c:pt>
                <c:pt idx="15">
                  <c:v>5644.7936944862213</c:v>
                </c:pt>
                <c:pt idx="16">
                  <c:v>6644.4968728132126</c:v>
                </c:pt>
                <c:pt idx="17">
                  <c:v>6759.0156469685635</c:v>
                </c:pt>
                <c:pt idx="18">
                  <c:v>5868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CD-47AB-A7BC-5C4CEF1E6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01279"/>
        <c:axId val="85904639"/>
      </c:lineChart>
      <c:catAx>
        <c:axId val="85901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4639"/>
        <c:crosses val="autoZero"/>
        <c:auto val="1"/>
        <c:lblAlgn val="ctr"/>
        <c:lblOffset val="100"/>
        <c:noMultiLvlLbl val="0"/>
      </c:catAx>
      <c:valAx>
        <c:axId val="8590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Subgrid</a:t>
            </a:r>
          </a:p>
          <a:p>
            <a:pPr>
              <a:defRPr/>
            </a:pPr>
            <a:r>
              <a:rPr lang="en-US"/>
              <a:t>(Economic Scenario)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51th_ECOOBJ'!$Q$1</c:f>
              <c:strCache>
                <c:ptCount val="1"/>
                <c:pt idx="0">
                  <c:v>Thermal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'DAY 51th_ECOOBJ'!$Q$2:$Q$26</c:f>
              <c:numCache>
                <c:formatCode>General</c:formatCode>
                <c:ptCount val="25"/>
                <c:pt idx="0">
                  <c:v>62.750000000000007</c:v>
                </c:pt>
                <c:pt idx="1">
                  <c:v>62.750000000000007</c:v>
                </c:pt>
                <c:pt idx="2">
                  <c:v>62.750000000000007</c:v>
                </c:pt>
                <c:pt idx="3">
                  <c:v>62.750000000000007</c:v>
                </c:pt>
                <c:pt idx="4">
                  <c:v>62.750000000000007</c:v>
                </c:pt>
                <c:pt idx="5">
                  <c:v>89.092975206611584</c:v>
                </c:pt>
                <c:pt idx="6">
                  <c:v>608.33334516176456</c:v>
                </c:pt>
                <c:pt idx="7">
                  <c:v>1032.7789374482654</c:v>
                </c:pt>
                <c:pt idx="8">
                  <c:v>1047.9166784950978</c:v>
                </c:pt>
                <c:pt idx="9">
                  <c:v>857.7355490185148</c:v>
                </c:pt>
                <c:pt idx="10">
                  <c:v>744.06406141520824</c:v>
                </c:pt>
                <c:pt idx="11">
                  <c:v>763.97576980125007</c:v>
                </c:pt>
                <c:pt idx="12">
                  <c:v>718.98072808187499</c:v>
                </c:pt>
                <c:pt idx="13">
                  <c:v>719.56888235184806</c:v>
                </c:pt>
                <c:pt idx="14">
                  <c:v>694.40221568518132</c:v>
                </c:pt>
                <c:pt idx="15">
                  <c:v>720.15703662181977</c:v>
                </c:pt>
                <c:pt idx="16">
                  <c:v>765.23541167452811</c:v>
                </c:pt>
                <c:pt idx="17">
                  <c:v>745.32370328848651</c:v>
                </c:pt>
                <c:pt idx="18">
                  <c:v>475.87190082644696</c:v>
                </c:pt>
                <c:pt idx="19">
                  <c:v>601.45523415978028</c:v>
                </c:pt>
                <c:pt idx="20">
                  <c:v>491.00964187327816</c:v>
                </c:pt>
                <c:pt idx="21">
                  <c:v>296.34297520661147</c:v>
                </c:pt>
                <c:pt idx="22">
                  <c:v>151.92630853994481</c:v>
                </c:pt>
                <c:pt idx="23">
                  <c:v>32.004820936639099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C-4494-943C-E44EE29E693E}"/>
            </c:ext>
          </c:extLst>
        </c:ser>
        <c:ser>
          <c:idx val="1"/>
          <c:order val="1"/>
          <c:tx>
            <c:strRef>
              <c:f>'DAY 51th_ECOOBJ'!$R$1</c:f>
              <c:strCache>
                <c:ptCount val="1"/>
                <c:pt idx="0">
                  <c:v>Boiler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'DAY 51th_ECOOBJ'!$R$2:$R$26</c:f>
              <c:numCache>
                <c:formatCode>General</c:formatCode>
                <c:ptCount val="25"/>
                <c:pt idx="0">
                  <c:v>62.750000000000007</c:v>
                </c:pt>
                <c:pt idx="1">
                  <c:v>62.750000000000007</c:v>
                </c:pt>
                <c:pt idx="2">
                  <c:v>62.750000000000007</c:v>
                </c:pt>
                <c:pt idx="3">
                  <c:v>62.750000000000007</c:v>
                </c:pt>
                <c:pt idx="4">
                  <c:v>62.750000000000007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33.799999999999997</c:v>
                </c:pt>
                <c:pt idx="13">
                  <c:v>719.56</c:v>
                </c:pt>
                <c:pt idx="14">
                  <c:v>694.4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475.87190082644696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C-4494-943C-E44EE29E693E}"/>
            </c:ext>
          </c:extLst>
        </c:ser>
        <c:ser>
          <c:idx val="2"/>
          <c:order val="2"/>
          <c:tx>
            <c:strRef>
              <c:f>'DAY 51th_ECOOBJ'!$S$1</c:f>
              <c:strCache>
                <c:ptCount val="1"/>
                <c:pt idx="0">
                  <c:v>PCM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'DAY 51th_ECOOBJ'!$S$2:$S$26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5740</c:v>
                </c:pt>
                <c:pt idx="6">
                  <c:v>-608.33334516176456</c:v>
                </c:pt>
                <c:pt idx="7">
                  <c:v>-1032.7789374482654</c:v>
                </c:pt>
                <c:pt idx="8">
                  <c:v>-1047.9166784950976</c:v>
                </c:pt>
                <c:pt idx="9">
                  <c:v>-857.73554901851458</c:v>
                </c:pt>
                <c:pt idx="10">
                  <c:v>-744.06406141520824</c:v>
                </c:pt>
                <c:pt idx="11">
                  <c:v>-763.97576980125007</c:v>
                </c:pt>
                <c:pt idx="12">
                  <c:v>-685.19565865989955</c:v>
                </c:pt>
                <c:pt idx="13">
                  <c:v>1260</c:v>
                </c:pt>
                <c:pt idx="14">
                  <c:v>1260</c:v>
                </c:pt>
                <c:pt idx="15">
                  <c:v>-720.15703662181977</c:v>
                </c:pt>
                <c:pt idx="16">
                  <c:v>-765.23541167452822</c:v>
                </c:pt>
                <c:pt idx="17">
                  <c:v>-745.32370328848651</c:v>
                </c:pt>
                <c:pt idx="18">
                  <c:v>1260</c:v>
                </c:pt>
                <c:pt idx="19">
                  <c:v>-601.45523415978028</c:v>
                </c:pt>
                <c:pt idx="20">
                  <c:v>-491.00964187327816</c:v>
                </c:pt>
                <c:pt idx="21">
                  <c:v>-296.34297520661147</c:v>
                </c:pt>
                <c:pt idx="22">
                  <c:v>-151.92630853994481</c:v>
                </c:pt>
                <c:pt idx="23">
                  <c:v>-8.5496886355507797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C-4494-943C-E44EE29E6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46623"/>
        <c:axId val="28743263"/>
      </c:lineChart>
      <c:catAx>
        <c:axId val="2874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3263"/>
        <c:crosses val="autoZero"/>
        <c:auto val="1"/>
        <c:lblAlgn val="ctr"/>
        <c:lblOffset val="100"/>
        <c:noMultiLvlLbl val="0"/>
      </c:catAx>
      <c:valAx>
        <c:axId val="2874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35</xdr:row>
      <xdr:rowOff>106680</xdr:rowOff>
    </xdr:from>
    <xdr:to>
      <xdr:col>0</xdr:col>
      <xdr:colOff>15240</xdr:colOff>
      <xdr:row>35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95DE7BA6-04CA-BE76-A359-5526A226807A}"/>
            </a:ext>
          </a:extLst>
        </xdr:cNvPr>
        <xdr:cNvCxnSpPr/>
      </xdr:nvCxnSpPr>
      <xdr:spPr>
        <a:xfrm>
          <a:off x="7033260" y="614172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1470423</xdr:colOff>
      <xdr:row>14</xdr:row>
      <xdr:rowOff>0</xdr:rowOff>
    </xdr:from>
    <xdr:to>
      <xdr:col>10</xdr:col>
      <xdr:colOff>571501</xdr:colOff>
      <xdr:row>30</xdr:row>
      <xdr:rowOff>64293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F2059B2-A8EF-4F49-850F-54ADD8CCE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935935</xdr:colOff>
      <xdr:row>15</xdr:row>
      <xdr:rowOff>74544</xdr:rowOff>
    </xdr:from>
    <xdr:to>
      <xdr:col>10</xdr:col>
      <xdr:colOff>57978</xdr:colOff>
      <xdr:row>22</xdr:row>
      <xdr:rowOff>182218</xdr:rowOff>
    </xdr:to>
    <xdr:cxnSp macro="">
      <xdr:nvCxnSpPr>
        <xdr:cNvPr id="3" name="Straight Connector 15">
          <a:extLst>
            <a:ext uri="{FF2B5EF4-FFF2-40B4-BE49-F238E27FC236}">
              <a16:creationId xmlns:a16="http://schemas.microsoft.com/office/drawing/2014/main" id="{76688B32-CA75-4206-B7D2-DC9A2BA37426}"/>
            </a:ext>
          </a:extLst>
        </xdr:cNvPr>
        <xdr:cNvCxnSpPr/>
      </xdr:nvCxnSpPr>
      <xdr:spPr>
        <a:xfrm flipH="1" flipV="1">
          <a:off x="7672015" y="3000624"/>
          <a:ext cx="1552823" cy="138783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500063</xdr:colOff>
      <xdr:row>23</xdr:row>
      <xdr:rowOff>130970</xdr:rowOff>
    </xdr:from>
    <xdr:ext cx="1234056" cy="264560"/>
    <xdr:sp macro="" textlink="">
      <xdr:nvSpPr>
        <xdr:cNvPr id="4" name="TextBox 16">
          <a:extLst>
            <a:ext uri="{FF2B5EF4-FFF2-40B4-BE49-F238E27FC236}">
              <a16:creationId xmlns:a16="http://schemas.microsoft.com/office/drawing/2014/main" id="{6F155F53-7197-4CE3-9387-142373CB2611}"/>
            </a:ext>
          </a:extLst>
        </xdr:cNvPr>
        <xdr:cNvSpPr txBox="1"/>
      </xdr:nvSpPr>
      <xdr:spPr>
        <a:xfrm>
          <a:off x="8904923" y="4520090"/>
          <a:ext cx="1234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Same Capital</a:t>
          </a:r>
          <a:r>
            <a:rPr lang="en-US" sz="1100" b="1" baseline="0"/>
            <a:t> Cost</a:t>
          </a:r>
        </a:p>
      </xdr:txBody>
    </xdr:sp>
    <xdr:clientData/>
  </xdr:oneCellAnchor>
  <xdr:oneCellAnchor>
    <xdr:from>
      <xdr:col>7</xdr:col>
      <xdr:colOff>409849</xdr:colOff>
      <xdr:row>13</xdr:row>
      <xdr:rowOff>110437</xdr:rowOff>
    </xdr:from>
    <xdr:ext cx="436786" cy="1173363"/>
    <xdr:sp macro="" textlink="">
      <xdr:nvSpPr>
        <xdr:cNvPr id="5" name="TextBox 17">
          <a:extLst>
            <a:ext uri="{FF2B5EF4-FFF2-40B4-BE49-F238E27FC236}">
              <a16:creationId xmlns:a16="http://schemas.microsoft.com/office/drawing/2014/main" id="{D9EE6D26-7484-4E2E-94F6-570861C4087B}"/>
            </a:ext>
          </a:extLst>
        </xdr:cNvPr>
        <xdr:cNvSpPr txBox="1"/>
      </xdr:nvSpPr>
      <xdr:spPr>
        <a:xfrm rot="2814149">
          <a:off x="6777640" y="3023806"/>
          <a:ext cx="117336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10% investment increase </a:t>
          </a:r>
        </a:p>
      </xdr:txBody>
    </xdr:sp>
    <xdr:clientData/>
  </xdr:oneCellAnchor>
  <xdr:oneCellAnchor>
    <xdr:from>
      <xdr:col>6</xdr:col>
      <xdr:colOff>483767</xdr:colOff>
      <xdr:row>15</xdr:row>
      <xdr:rowOff>135351</xdr:rowOff>
    </xdr:from>
    <xdr:ext cx="436786" cy="1315952"/>
    <xdr:sp macro="" textlink="">
      <xdr:nvSpPr>
        <xdr:cNvPr id="6" name="TextBox 22">
          <a:extLst>
            <a:ext uri="{FF2B5EF4-FFF2-40B4-BE49-F238E27FC236}">
              <a16:creationId xmlns:a16="http://schemas.microsoft.com/office/drawing/2014/main" id="{DA19216F-BA68-4775-B668-9530A5900EE5}"/>
            </a:ext>
          </a:extLst>
        </xdr:cNvPr>
        <xdr:cNvSpPr txBox="1"/>
      </xdr:nvSpPr>
      <xdr:spPr>
        <a:xfrm rot="2831378">
          <a:off x="6170664" y="3501014"/>
          <a:ext cx="13159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10% investment decrease</a:t>
          </a:r>
        </a:p>
      </xdr:txBody>
    </xdr:sp>
    <xdr:clientData/>
  </xdr:oneCellAnchor>
  <xdr:twoCellAnchor>
    <xdr:from>
      <xdr:col>7</xdr:col>
      <xdr:colOff>231914</xdr:colOff>
      <xdr:row>17</xdr:row>
      <xdr:rowOff>91109</xdr:rowOff>
    </xdr:from>
    <xdr:to>
      <xdr:col>9</xdr:col>
      <xdr:colOff>99392</xdr:colOff>
      <xdr:row>25</xdr:row>
      <xdr:rowOff>8283</xdr:rowOff>
    </xdr:to>
    <xdr:cxnSp macro="">
      <xdr:nvCxnSpPr>
        <xdr:cNvPr id="7" name="Straight Connector 13">
          <a:extLst>
            <a:ext uri="{FF2B5EF4-FFF2-40B4-BE49-F238E27FC236}">
              <a16:creationId xmlns:a16="http://schemas.microsoft.com/office/drawing/2014/main" id="{9DA5F711-C431-40B7-9BC4-635B699A22D8}"/>
            </a:ext>
          </a:extLst>
        </xdr:cNvPr>
        <xdr:cNvCxnSpPr/>
      </xdr:nvCxnSpPr>
      <xdr:spPr>
        <a:xfrm flipH="1" flipV="1">
          <a:off x="6967994" y="3382949"/>
          <a:ext cx="1536258" cy="138021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107675</xdr:colOff>
      <xdr:row>19</xdr:row>
      <xdr:rowOff>99392</xdr:rowOff>
    </xdr:from>
    <xdr:to>
      <xdr:col>8</xdr:col>
      <xdr:colOff>33131</xdr:colOff>
      <xdr:row>27</xdr:row>
      <xdr:rowOff>16566</xdr:rowOff>
    </xdr:to>
    <xdr:cxnSp macro="">
      <xdr:nvCxnSpPr>
        <xdr:cNvPr id="8" name="Straight Connector 14">
          <a:extLst>
            <a:ext uri="{FF2B5EF4-FFF2-40B4-BE49-F238E27FC236}">
              <a16:creationId xmlns:a16="http://schemas.microsoft.com/office/drawing/2014/main" id="{AB410731-E9C7-4A7B-B0B0-4EB4CE4B5B47}"/>
            </a:ext>
          </a:extLst>
        </xdr:cNvPr>
        <xdr:cNvCxnSpPr/>
      </xdr:nvCxnSpPr>
      <xdr:spPr>
        <a:xfrm flipH="1" flipV="1">
          <a:off x="6234155" y="3756992"/>
          <a:ext cx="1518036" cy="138021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163582</xdr:colOff>
      <xdr:row>29</xdr:row>
      <xdr:rowOff>6271</xdr:rowOff>
    </xdr:from>
    <xdr:to>
      <xdr:col>10</xdr:col>
      <xdr:colOff>549314</xdr:colOff>
      <xdr:row>43</xdr:row>
      <xdr:rowOff>82471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E2F8C-B8EE-1BB1-C77F-1EFF233F3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670893</xdr:colOff>
      <xdr:row>27</xdr:row>
      <xdr:rowOff>11596</xdr:rowOff>
    </xdr:from>
    <xdr:to>
      <xdr:col>26</xdr:col>
      <xdr:colOff>2476502</xdr:colOff>
      <xdr:row>41</xdr:row>
      <xdr:rowOff>87796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150B18-9315-420B-588D-577FCFB51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575641</xdr:colOff>
      <xdr:row>28</xdr:row>
      <xdr:rowOff>44726</xdr:rowOff>
    </xdr:from>
    <xdr:to>
      <xdr:col>17</xdr:col>
      <xdr:colOff>542510</xdr:colOff>
      <xdr:row>42</xdr:row>
      <xdr:rowOff>120926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BD3B92-FB1A-9D4D-9EFB-A1F59E97A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538369</xdr:colOff>
      <xdr:row>17</xdr:row>
      <xdr:rowOff>160683</xdr:rowOff>
    </xdr:from>
    <xdr:to>
      <xdr:col>11</xdr:col>
      <xdr:colOff>455543</xdr:colOff>
      <xdr:row>32</xdr:row>
      <xdr:rowOff>46383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5E6AE-C415-FFB2-4818-8C4BEE9A4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269184</xdr:colOff>
      <xdr:row>28</xdr:row>
      <xdr:rowOff>110987</xdr:rowOff>
    </xdr:from>
    <xdr:to>
      <xdr:col>18</xdr:col>
      <xdr:colOff>244336</xdr:colOff>
      <xdr:row>42</xdr:row>
      <xdr:rowOff>187187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287A40-FE24-196F-2B4F-4AA93BDD5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ella.ferruzzi\AppData\Local\Microsoft\Windows\INetCache\Content.Outlook\SUZ11AXW\Scenarios_250130_New%20scenario%20method2.xlsx" TargetMode="External"/><Relationship Id="rId1" Type="http://schemas.openxmlformats.org/officeDocument/2006/relationships/externalLinkPath" Target="/Users/gabriella.ferruzzi/AppData/Local/Microsoft/Windows/INetCache/Content.Outlook/SUZ11AXW/Scenarios_250130_New%20scenario%20metho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 Parameters"/>
      <sheetName val="New scenarios"/>
    </sheetNames>
    <sheetDataSet>
      <sheetData sheetId="0" refreshError="1">
        <row r="2">
          <cell r="B2">
            <v>50</v>
          </cell>
          <cell r="C2">
            <v>82</v>
          </cell>
          <cell r="D2">
            <v>50</v>
          </cell>
        </row>
        <row r="3">
          <cell r="B3">
            <v>286.125</v>
          </cell>
          <cell r="C3">
            <v>82</v>
          </cell>
          <cell r="D3">
            <v>205</v>
          </cell>
        </row>
        <row r="7">
          <cell r="B7">
            <v>57225</v>
          </cell>
          <cell r="C7">
            <v>28700</v>
          </cell>
          <cell r="D7">
            <v>17015</v>
          </cell>
        </row>
      </sheetData>
      <sheetData sheetId="1" refreshError="1">
        <row r="2">
          <cell r="C2" t="str">
            <v>NESS_BAT</v>
          </cell>
        </row>
        <row r="3">
          <cell r="C3">
            <v>83</v>
          </cell>
          <cell r="D3">
            <v>28</v>
          </cell>
        </row>
        <row r="4">
          <cell r="C4">
            <v>88</v>
          </cell>
          <cell r="D4">
            <v>20</v>
          </cell>
        </row>
        <row r="5">
          <cell r="C5">
            <v>78</v>
          </cell>
          <cell r="D5">
            <v>36</v>
          </cell>
        </row>
        <row r="6">
          <cell r="C6">
            <v>90</v>
          </cell>
          <cell r="D6">
            <v>36</v>
          </cell>
        </row>
        <row r="7">
          <cell r="C7">
            <v>95</v>
          </cell>
          <cell r="D7">
            <v>28</v>
          </cell>
        </row>
        <row r="8">
          <cell r="C8">
            <v>85</v>
          </cell>
          <cell r="D8">
            <v>44</v>
          </cell>
        </row>
        <row r="9">
          <cell r="C9">
            <v>75</v>
          </cell>
          <cell r="D9">
            <v>22</v>
          </cell>
        </row>
        <row r="10">
          <cell r="C10">
            <v>80</v>
          </cell>
          <cell r="D10">
            <v>13</v>
          </cell>
        </row>
        <row r="11">
          <cell r="C11">
            <v>70</v>
          </cell>
          <cell r="D11">
            <v>30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briella Ferruzzi" id="{0109138F-77BD-4033-9EAC-E333C40B1891}" userId="S::gabriella.ferruzzi@enea.it::049e4043-6606-40e5-863e-f3cd9faf8f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5-02-14T15:23:54.55" personId="{0109138F-77BD-4033-9EAC-E333C40B1891}" id="{08E735C9-2799-43A9-A259-A9DA862C46EE}">
    <text>I have changed this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AFC3-3307-4985-81C4-1D2143A077A6}">
  <dimension ref="A1:N36"/>
  <sheetViews>
    <sheetView tabSelected="1" workbookViewId="0">
      <selection activeCell="I8" sqref="I8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9" max="9" width="18.7109375" bestFit="1" customWidth="1"/>
    <col min="10" max="10" width="39.7109375" bestFit="1" customWidth="1"/>
    <col min="11" max="11" width="28.28515625" bestFit="1" customWidth="1"/>
  </cols>
  <sheetData>
    <row r="1" spans="1:14" x14ac:dyDescent="0.25">
      <c r="A1" s="25"/>
      <c r="B1" s="25" t="s">
        <v>0</v>
      </c>
      <c r="C1" s="25" t="s">
        <v>27</v>
      </c>
      <c r="D1" s="25" t="s">
        <v>1</v>
      </c>
      <c r="E1" s="25" t="s">
        <v>63</v>
      </c>
      <c r="F1" s="25" t="s">
        <v>28</v>
      </c>
      <c r="G1" s="25" t="s">
        <v>29</v>
      </c>
      <c r="I1" s="37"/>
      <c r="L1" s="31"/>
      <c r="M1" s="32"/>
      <c r="N1" s="32"/>
    </row>
    <row r="2" spans="1:14" x14ac:dyDescent="0.25">
      <c r="A2" s="26" t="s">
        <v>30</v>
      </c>
      <c r="B2" s="26">
        <v>50</v>
      </c>
      <c r="C2" s="26">
        <v>82</v>
      </c>
      <c r="D2" s="26">
        <v>50</v>
      </c>
      <c r="E2" s="26"/>
      <c r="F2" s="25"/>
      <c r="G2" s="2"/>
      <c r="I2" s="37"/>
      <c r="L2" s="33"/>
      <c r="M2" s="34"/>
      <c r="N2" s="34"/>
    </row>
    <row r="3" spans="1:14" x14ac:dyDescent="0.25">
      <c r="A3" s="26" t="s">
        <v>31</v>
      </c>
      <c r="B3" s="26">
        <v>286.125</v>
      </c>
      <c r="C3" s="26">
        <v>82</v>
      </c>
      <c r="D3" s="26">
        <v>205</v>
      </c>
      <c r="E3" s="26"/>
      <c r="F3" s="25"/>
      <c r="G3" s="2"/>
      <c r="I3" s="37"/>
      <c r="L3" s="33"/>
      <c r="M3" s="34"/>
      <c r="N3" s="34"/>
    </row>
    <row r="4" spans="1:14" x14ac:dyDescent="0.25">
      <c r="A4" s="26" t="s">
        <v>32</v>
      </c>
      <c r="B4" s="26">
        <v>1.1000000000000001E-3</v>
      </c>
      <c r="C4" s="26">
        <v>2E-3</v>
      </c>
      <c r="D4" s="26">
        <v>3.0000000000000001E-3</v>
      </c>
      <c r="E4" s="27">
        <v>1.4E-3</v>
      </c>
      <c r="F4" s="25">
        <v>1.2E-2</v>
      </c>
      <c r="G4" s="25">
        <v>0.01</v>
      </c>
      <c r="I4" s="37"/>
      <c r="L4" s="33"/>
      <c r="M4" s="34"/>
      <c r="N4" s="34"/>
    </row>
    <row r="5" spans="1:14" x14ac:dyDescent="0.25">
      <c r="A5" s="26" t="s">
        <v>33</v>
      </c>
      <c r="B5" s="26">
        <f>B3*B4</f>
        <v>0.3147375</v>
      </c>
      <c r="C5" s="26">
        <f>C4*C3</f>
        <v>0.16400000000000001</v>
      </c>
      <c r="D5" s="26">
        <f>D4*D3</f>
        <v>0.61499999999999999</v>
      </c>
      <c r="E5" s="26"/>
      <c r="F5" s="25"/>
      <c r="G5" s="2"/>
      <c r="I5" s="30"/>
      <c r="J5" s="30"/>
      <c r="K5" s="30"/>
      <c r="L5" s="35"/>
      <c r="M5" s="36"/>
      <c r="N5" s="36"/>
    </row>
    <row r="6" spans="1:14" x14ac:dyDescent="0.25">
      <c r="A6" s="26" t="s">
        <v>34</v>
      </c>
      <c r="B6" s="26">
        <v>200</v>
      </c>
      <c r="C6" s="26">
        <v>350</v>
      </c>
      <c r="D6" s="26">
        <v>83</v>
      </c>
      <c r="E6" s="26"/>
      <c r="F6" s="25"/>
      <c r="G6" s="2"/>
      <c r="I6" s="30"/>
      <c r="J6" s="30"/>
      <c r="K6" s="30"/>
      <c r="L6" s="30"/>
      <c r="M6" s="30"/>
      <c r="N6" s="30"/>
    </row>
    <row r="7" spans="1:14" x14ac:dyDescent="0.25">
      <c r="A7" s="26" t="s">
        <v>35</v>
      </c>
      <c r="B7" s="26">
        <f>B6*B3</f>
        <v>57225</v>
      </c>
      <c r="C7" s="26">
        <f>C6*C3</f>
        <v>28700</v>
      </c>
      <c r="D7" s="26">
        <f>D6*D3</f>
        <v>17015</v>
      </c>
      <c r="E7" s="26"/>
      <c r="F7" s="25">
        <v>2500</v>
      </c>
      <c r="G7" s="25">
        <v>2000</v>
      </c>
      <c r="H7" s="30"/>
      <c r="I7" s="30"/>
      <c r="J7" s="30"/>
      <c r="K7" s="30"/>
      <c r="L7" s="30"/>
      <c r="M7" s="30"/>
    </row>
    <row r="8" spans="1:14" x14ac:dyDescent="0.25">
      <c r="A8" s="28" t="s">
        <v>126</v>
      </c>
      <c r="B8" s="26">
        <f>B2*B15</f>
        <v>450</v>
      </c>
      <c r="C8" s="26">
        <f>C2*C15</f>
        <v>6806</v>
      </c>
      <c r="D8" s="26">
        <f>D2*D15</f>
        <v>1400</v>
      </c>
      <c r="E8" s="26"/>
      <c r="F8" s="25">
        <v>2500</v>
      </c>
      <c r="G8" s="25">
        <v>3000</v>
      </c>
      <c r="H8" s="30"/>
      <c r="I8" s="30"/>
      <c r="J8" s="30"/>
      <c r="K8" s="30"/>
      <c r="L8" s="30"/>
      <c r="M8" s="30"/>
    </row>
    <row r="9" spans="1:14" x14ac:dyDescent="0.25">
      <c r="A9" s="28" t="s">
        <v>127</v>
      </c>
      <c r="B9" s="26">
        <v>0.75</v>
      </c>
      <c r="C9" s="26" t="s">
        <v>36</v>
      </c>
      <c r="D9" s="26"/>
      <c r="E9" s="26"/>
      <c r="F9" s="2"/>
      <c r="G9" s="2"/>
    </row>
    <row r="10" spans="1:14" x14ac:dyDescent="0.25">
      <c r="A10" s="28" t="s">
        <v>128</v>
      </c>
      <c r="B10" s="26">
        <v>600</v>
      </c>
      <c r="C10" s="26"/>
      <c r="D10" s="26"/>
      <c r="E10" s="26"/>
      <c r="F10" s="2"/>
      <c r="G10" s="2"/>
    </row>
    <row r="11" spans="1:14" x14ac:dyDescent="0.25">
      <c r="A11" s="28" t="s">
        <v>129</v>
      </c>
      <c r="B11" s="26">
        <v>2575</v>
      </c>
      <c r="C11" s="26">
        <v>6806</v>
      </c>
      <c r="D11" s="26">
        <f>D3*D15</f>
        <v>5740</v>
      </c>
      <c r="E11" s="26"/>
      <c r="F11" s="2"/>
      <c r="G11" s="2"/>
    </row>
    <row r="12" spans="1:14" x14ac:dyDescent="0.25">
      <c r="A12" s="28" t="s">
        <v>130</v>
      </c>
      <c r="B12" s="26">
        <v>5</v>
      </c>
      <c r="C12" s="26">
        <v>1</v>
      </c>
      <c r="D12" s="26"/>
      <c r="E12" s="26"/>
      <c r="F12" s="2"/>
      <c r="G12" s="2"/>
    </row>
    <row r="13" spans="1:14" x14ac:dyDescent="0.25">
      <c r="A13" s="28" t="s">
        <v>125</v>
      </c>
      <c r="B13" s="26">
        <v>6</v>
      </c>
      <c r="C13" s="26">
        <v>1</v>
      </c>
      <c r="D13" s="26"/>
      <c r="E13" s="26"/>
      <c r="F13" s="2"/>
      <c r="G13" s="2"/>
    </row>
    <row r="14" spans="1:14" x14ac:dyDescent="0.25">
      <c r="A14" s="28" t="s">
        <v>131</v>
      </c>
      <c r="B14" s="26">
        <v>0.11</v>
      </c>
      <c r="C14" s="26">
        <v>2E-3</v>
      </c>
      <c r="D14" s="26"/>
      <c r="E14" s="26"/>
      <c r="F14" s="2"/>
      <c r="G14" s="2"/>
    </row>
    <row r="15" spans="1:14" x14ac:dyDescent="0.25">
      <c r="A15" s="29" t="s">
        <v>132</v>
      </c>
      <c r="B15" s="25">
        <v>9</v>
      </c>
      <c r="C15" s="25">
        <v>83</v>
      </c>
      <c r="D15" s="25">
        <v>28</v>
      </c>
      <c r="E15" s="25"/>
      <c r="F15" s="2"/>
      <c r="G15" s="2"/>
    </row>
    <row r="20" spans="1:6" x14ac:dyDescent="0.25">
      <c r="F20" s="14"/>
    </row>
    <row r="21" spans="1:6" x14ac:dyDescent="0.25">
      <c r="F21" s="14"/>
    </row>
    <row r="24" spans="1:6" x14ac:dyDescent="0.25">
      <c r="A24" s="15"/>
    </row>
    <row r="25" spans="1:6" x14ac:dyDescent="0.25">
      <c r="A25" s="14"/>
    </row>
    <row r="26" spans="1:6" x14ac:dyDescent="0.25">
      <c r="A26" s="14"/>
    </row>
    <row r="27" spans="1:6" x14ac:dyDescent="0.25">
      <c r="A27" s="14"/>
    </row>
    <row r="28" spans="1:6" x14ac:dyDescent="0.25">
      <c r="A28" s="14"/>
    </row>
    <row r="29" spans="1:6" x14ac:dyDescent="0.25">
      <c r="A29" s="14"/>
    </row>
    <row r="30" spans="1:6" x14ac:dyDescent="0.25">
      <c r="A30" s="14"/>
    </row>
    <row r="33" spans="1:4" x14ac:dyDescent="0.25">
      <c r="A33" s="14" t="s">
        <v>37</v>
      </c>
      <c r="D33" t="s">
        <v>38</v>
      </c>
    </row>
    <row r="34" spans="1:4" x14ac:dyDescent="0.25">
      <c r="A34" s="14" t="s">
        <v>39</v>
      </c>
      <c r="D34" t="s">
        <v>40</v>
      </c>
    </row>
    <row r="35" spans="1:4" x14ac:dyDescent="0.25">
      <c r="A35" t="s">
        <v>43</v>
      </c>
      <c r="B35" t="s">
        <v>44</v>
      </c>
    </row>
    <row r="36" spans="1:4" x14ac:dyDescent="0.25">
      <c r="A36" t="s">
        <v>41</v>
      </c>
      <c r="B36" t="s">
        <v>42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95CB-52FD-4248-9E59-12AEA454D857}">
  <dimension ref="A1:Q32"/>
  <sheetViews>
    <sheetView workbookViewId="0">
      <selection activeCell="N26" sqref="N26"/>
    </sheetView>
  </sheetViews>
  <sheetFormatPr defaultRowHeight="15" x14ac:dyDescent="0.25"/>
  <cols>
    <col min="1" max="1" width="16.28515625" customWidth="1"/>
    <col min="2" max="2" width="19" customWidth="1"/>
    <col min="3" max="3" width="32.85546875" customWidth="1"/>
    <col min="4" max="4" width="10.140625" bestFit="1" customWidth="1"/>
    <col min="5" max="5" width="27.5703125" bestFit="1" customWidth="1"/>
    <col min="12" max="12" width="26.28515625" bestFit="1" customWidth="1"/>
    <col min="13" max="13" width="21.5703125" bestFit="1" customWidth="1"/>
    <col min="14" max="14" width="15.42578125" bestFit="1" customWidth="1"/>
    <col min="16" max="16" width="21.5703125" bestFit="1" customWidth="1"/>
  </cols>
  <sheetData>
    <row r="1" spans="1:17" ht="15.75" x14ac:dyDescent="0.25">
      <c r="A1" s="2"/>
      <c r="B1" s="2"/>
      <c r="C1" s="2"/>
      <c r="D1" s="2"/>
      <c r="E1" s="2"/>
      <c r="F1" s="24" t="s">
        <v>2</v>
      </c>
      <c r="G1" s="24"/>
      <c r="H1" s="24"/>
      <c r="I1" s="24" t="s">
        <v>3</v>
      </c>
      <c r="J1" s="24"/>
      <c r="K1" s="24"/>
      <c r="L1" s="2"/>
      <c r="M1" t="s">
        <v>121</v>
      </c>
      <c r="N1" t="s">
        <v>122</v>
      </c>
      <c r="O1" s="3" t="s">
        <v>120</v>
      </c>
      <c r="P1" t="s">
        <v>123</v>
      </c>
      <c r="Q1" t="s">
        <v>124</v>
      </c>
    </row>
    <row r="2" spans="1:17" ht="15.75" x14ac:dyDescent="0.25">
      <c r="A2" s="4"/>
      <c r="B2" s="2" t="s">
        <v>4</v>
      </c>
      <c r="C2" s="5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7" ht="15.75" x14ac:dyDescent="0.25">
      <c r="A3" s="2" t="s">
        <v>15</v>
      </c>
      <c r="B3" s="6">
        <v>9</v>
      </c>
      <c r="C3" s="2">
        <v>83</v>
      </c>
      <c r="D3" s="2">
        <v>28</v>
      </c>
      <c r="E3" s="7">
        <f>I3*'Technology Parameters '!$B$6+'Technology Parameters '!$C$6*Scenario!J3+Scenario!K3*'Technology Parameters '!$D$6</f>
        <v>3373545</v>
      </c>
      <c r="F3" s="2">
        <f>B3*'[1]Technology Parameters'!$B$2</f>
        <v>450</v>
      </c>
      <c r="G3" s="2">
        <f>C3*'[1]Technology Parameters'!$C$2</f>
        <v>6806</v>
      </c>
      <c r="H3" s="8">
        <f>D3*'[1]Technology Parameters'!$D$2</f>
        <v>1400</v>
      </c>
      <c r="I3" s="2">
        <f>B3*'[1]Technology Parameters'!$B$3</f>
        <v>2575.125</v>
      </c>
      <c r="J3" s="2">
        <f>C3*'[1]Technology Parameters'!$C$3</f>
        <v>6806</v>
      </c>
      <c r="K3" s="2">
        <f>D3*'[1]Technology Parameters'!$D$3</f>
        <v>5740</v>
      </c>
      <c r="L3" s="6">
        <f>I3*'Technology Parameters '!$B$4+'Technology Parameters '!$C$4*Scenario!J3+Scenario!K3*'Technology Parameters '!$D$4</f>
        <v>33.664637499999998</v>
      </c>
      <c r="M3">
        <f>'Technology Parameters '!$F$7*'Technology Parameters '!$F$8+'Technology Parameters '!$G$7*'Technology Parameters '!$G$8</f>
        <v>12250000</v>
      </c>
      <c r="N3">
        <f>'Technology Parameters '!$F$7*'Technology Parameters '!$F$7+'Technology Parameters '!$G$7*'Technology Parameters '!$G$4</f>
        <v>6250020</v>
      </c>
      <c r="O3">
        <f>(E3+$M$3)/SUM(I3:K3)</f>
        <v>1033.22636377915</v>
      </c>
      <c r="P3">
        <f>(L3+N3)/SUM(I3:K3)</f>
        <v>413.3325836958229</v>
      </c>
      <c r="Q3">
        <f>(M3+E3)/(15*365)+0.008</f>
        <v>2853.6235251141552</v>
      </c>
    </row>
    <row r="4" spans="1:17" ht="15.75" x14ac:dyDescent="0.25">
      <c r="A4" s="2" t="s">
        <v>16</v>
      </c>
      <c r="B4" s="6">
        <v>9</v>
      </c>
      <c r="C4" s="2">
        <v>88</v>
      </c>
      <c r="D4" s="2">
        <f>ROUND(($E$3-C4*'[1]Technology Parameters'!$C$7-B4*'[1]Technology Parameters'!$B$7)/'[1]Technology Parameters'!$D$7,0)</f>
        <v>20</v>
      </c>
      <c r="E4" s="7">
        <f>I4*'Technology Parameters '!$B$6+'Technology Parameters '!$C$6*Scenario!J4+Scenario!K4*'Technology Parameters '!$D$6</f>
        <v>3380925</v>
      </c>
      <c r="F4" s="2">
        <f>B4*'[1]Technology Parameters'!$B$2</f>
        <v>450</v>
      </c>
      <c r="G4" s="2">
        <f>C4*'[1]Technology Parameters'!$C$2</f>
        <v>7216</v>
      </c>
      <c r="H4" s="8">
        <f>D4*'[1]Technology Parameters'!$D$2</f>
        <v>1000</v>
      </c>
      <c r="I4" s="2">
        <f>B4*'[1]Technology Parameters'!$B$3</f>
        <v>2575.125</v>
      </c>
      <c r="J4" s="2">
        <f>C4*'[1]Technology Parameters'!$C$3</f>
        <v>7216</v>
      </c>
      <c r="K4" s="2">
        <f>D4*'[1]Technology Parameters'!$D$3</f>
        <v>4100</v>
      </c>
      <c r="L4" s="6">
        <f>I4*'Technology Parameters '!$B$4+'Technology Parameters '!$C$4*Scenario!J4+Scenario!K4*'Technology Parameters '!$D$4</f>
        <v>29.5646375</v>
      </c>
      <c r="M4">
        <f>'Technology Parameters '!$F$7*'Technology Parameters '!$F$8+'Technology Parameters '!$G$7*'Technology Parameters '!$G$8</f>
        <v>12250000</v>
      </c>
      <c r="N4">
        <f>'Technology Parameters '!$F$7*'Technology Parameters '!$F$7+'Technology Parameters '!$G$7*'Technology Parameters '!$G$4</f>
        <v>6250020</v>
      </c>
      <c r="O4">
        <f t="shared" ref="O4:O11" si="0">(E4+$M$3)/SUM(I4:K4)</f>
        <v>1125.2454354848869</v>
      </c>
      <c r="P4">
        <f t="shared" ref="P4:P11" si="1">(L4+N4)/SUM(I4:K4)</f>
        <v>449.93112974201154</v>
      </c>
    </row>
    <row r="5" spans="1:17" ht="15.75" x14ac:dyDescent="0.25">
      <c r="A5" s="2" t="s">
        <v>17</v>
      </c>
      <c r="B5" s="6">
        <v>9</v>
      </c>
      <c r="C5" s="2">
        <v>78</v>
      </c>
      <c r="D5" s="2">
        <f>ROUND(($E$3-C5*'[1]Technology Parameters'!$C$7-B5*'[1]Technology Parameters'!$B$7)/'[1]Technology Parameters'!$D$7,0)</f>
        <v>36</v>
      </c>
      <c r="E5" s="7">
        <f>I5*'Technology Parameters '!$B$6+'Technology Parameters '!$C$6*Scenario!J5+Scenario!K5*'Technology Parameters '!$D$6</f>
        <v>3366165</v>
      </c>
      <c r="F5" s="2">
        <f>B5*'[1]Technology Parameters'!$B$2</f>
        <v>450</v>
      </c>
      <c r="G5" s="2">
        <f>C5*'[1]Technology Parameters'!$C$2</f>
        <v>6396</v>
      </c>
      <c r="H5" s="8">
        <f>D5*'[1]Technology Parameters'!$D$2</f>
        <v>1800</v>
      </c>
      <c r="I5" s="2">
        <f>B5*'[1]Technology Parameters'!$B$3</f>
        <v>2575.125</v>
      </c>
      <c r="J5" s="2">
        <f>C5*'[1]Technology Parameters'!$C$3</f>
        <v>6396</v>
      </c>
      <c r="K5" s="2">
        <f>D5*'[1]Technology Parameters'!$D$3</f>
        <v>7380</v>
      </c>
      <c r="L5" s="6">
        <f>I5*'Technology Parameters '!$B$4+'Technology Parameters '!$C$4*Scenario!J5+Scenario!K5*'Technology Parameters '!$D$4</f>
        <v>37.764637499999999</v>
      </c>
      <c r="M5">
        <f>'Technology Parameters '!$F$7*'Technology Parameters '!$F$8+'Technology Parameters '!$G$7*'Technology Parameters '!$G$8</f>
        <v>12250000</v>
      </c>
      <c r="N5">
        <f>'Technology Parameters '!$F$7*'Technology Parameters '!$F$7+'Technology Parameters '!$G$7*'Technology Parameters '!$G$4</f>
        <v>6250020</v>
      </c>
      <c r="O5">
        <f t="shared" si="0"/>
        <v>955.05141083564581</v>
      </c>
      <c r="P5">
        <f t="shared" si="1"/>
        <v>382.24022901405868</v>
      </c>
    </row>
    <row r="6" spans="1:17" ht="15.75" x14ac:dyDescent="0.25">
      <c r="A6" s="2" t="s">
        <v>18</v>
      </c>
      <c r="B6" s="6">
        <v>9</v>
      </c>
      <c r="C6" s="2">
        <v>90</v>
      </c>
      <c r="D6" s="2">
        <f>ROUND(($E$3*1.1-C6*'[1]Technology Parameters'!$C$7-B6*'[1]Technology Parameters'!$B$7)/'[1]Technology Parameters'!$D$7,0)</f>
        <v>36</v>
      </c>
      <c r="E6" s="7">
        <f>I6*'Technology Parameters '!$B$6+'Technology Parameters '!$C$6*Scenario!J6+Scenario!K6*'Technology Parameters '!$D$6</f>
        <v>3710565</v>
      </c>
      <c r="F6" s="2">
        <f>B6*'[1]Technology Parameters'!$B$2</f>
        <v>450</v>
      </c>
      <c r="G6" s="2">
        <f>C6*'[1]Technology Parameters'!$C$2</f>
        <v>7380</v>
      </c>
      <c r="H6" s="8">
        <f>D6*'[1]Technology Parameters'!$D$2</f>
        <v>1800</v>
      </c>
      <c r="I6" s="2">
        <f>B6*'[1]Technology Parameters'!$B$3</f>
        <v>2575.125</v>
      </c>
      <c r="J6" s="2">
        <f>C6*'[1]Technology Parameters'!$C$3</f>
        <v>7380</v>
      </c>
      <c r="K6" s="2">
        <f>D6*'[1]Technology Parameters'!$D$3</f>
        <v>7380</v>
      </c>
      <c r="L6" s="6">
        <f>I6*'Technology Parameters '!$B$4+'Technology Parameters '!$C$4*Scenario!J6+Scenario!K6*'Technology Parameters '!$D$4</f>
        <v>39.732637499999996</v>
      </c>
      <c r="M6">
        <f>'Technology Parameters '!$F$7*'Technology Parameters '!$F$8+'Technology Parameters '!$G$7*'Technology Parameters '!$G$8</f>
        <v>12250000</v>
      </c>
      <c r="N6">
        <f>'Technology Parameters '!$F$7*'Technology Parameters '!$F$7+'Technology Parameters '!$G$7*'Technology Parameters '!$G$4</f>
        <v>6250020</v>
      </c>
      <c r="O6">
        <f t="shared" si="0"/>
        <v>920.70665772528321</v>
      </c>
      <c r="P6">
        <f t="shared" si="1"/>
        <v>360.5431015142666</v>
      </c>
    </row>
    <row r="7" spans="1:17" ht="15.75" x14ac:dyDescent="0.25">
      <c r="A7" s="2" t="s">
        <v>19</v>
      </c>
      <c r="B7" s="6">
        <v>9</v>
      </c>
      <c r="C7" s="2">
        <v>95</v>
      </c>
      <c r="D7" s="2">
        <f>ROUND(($E$3*1.1-C7*'[1]Technology Parameters'!$C$7-B7*'[1]Technology Parameters'!$B$7)/'[1]Technology Parameters'!$D$7,0)</f>
        <v>28</v>
      </c>
      <c r="E7" s="7">
        <f>I7*'Technology Parameters '!$B$6+'Technology Parameters '!$C$6*Scenario!J7+Scenario!K7*'Technology Parameters '!$D$6</f>
        <v>3717945</v>
      </c>
      <c r="F7" s="2">
        <f>B7*'[1]Technology Parameters'!$B$2</f>
        <v>450</v>
      </c>
      <c r="G7" s="2">
        <f>C7*'[1]Technology Parameters'!$C$2</f>
        <v>7790</v>
      </c>
      <c r="H7" s="8">
        <f>D7*'[1]Technology Parameters'!$D$2</f>
        <v>1400</v>
      </c>
      <c r="I7" s="2">
        <f>B7*'[1]Technology Parameters'!$B$3</f>
        <v>2575.125</v>
      </c>
      <c r="J7" s="2">
        <f>C7*'[1]Technology Parameters'!$C$3</f>
        <v>7790</v>
      </c>
      <c r="K7" s="2">
        <f>D7*'[1]Technology Parameters'!$D$3</f>
        <v>5740</v>
      </c>
      <c r="L7" s="6">
        <f>I7*'Technology Parameters '!$B$4+'Technology Parameters '!$C$4*Scenario!J7+Scenario!K7*'Technology Parameters '!$D$4</f>
        <v>35.632637500000001</v>
      </c>
      <c r="M7">
        <f>'Technology Parameters '!$F$7*'Technology Parameters '!$F$8+'Technology Parameters '!$G$7*'Technology Parameters '!$G$8</f>
        <v>12250000</v>
      </c>
      <c r="N7">
        <f>'Technology Parameters '!$F$7*'Technology Parameters '!$F$7+'Technology Parameters '!$G$7*'Technology Parameters '!$G$4</f>
        <v>6250020</v>
      </c>
      <c r="O7">
        <f t="shared" si="0"/>
        <v>991.48221451246104</v>
      </c>
      <c r="P7">
        <f t="shared" si="1"/>
        <v>388.07867884524336</v>
      </c>
    </row>
    <row r="8" spans="1:17" ht="15.75" x14ac:dyDescent="0.25">
      <c r="A8" s="2" t="s">
        <v>20</v>
      </c>
      <c r="B8" s="6">
        <v>9</v>
      </c>
      <c r="C8" s="2">
        <v>85</v>
      </c>
      <c r="D8" s="2">
        <f>ROUND(($E$3*1.1-C8*'[1]Technology Parameters'!$C$7-B8*'[1]Technology Parameters'!$B$7)/'[1]Technology Parameters'!$D$7,0)</f>
        <v>44</v>
      </c>
      <c r="E8" s="7">
        <f>I8*'Technology Parameters '!$B$6+'Technology Parameters '!$C$6*Scenario!J8+Scenario!K8*'Technology Parameters '!$D$6</f>
        <v>3703185</v>
      </c>
      <c r="F8" s="2">
        <f>B8*'[1]Technology Parameters'!$B$2</f>
        <v>450</v>
      </c>
      <c r="G8" s="2">
        <f>C8*'[1]Technology Parameters'!$C$2</f>
        <v>6970</v>
      </c>
      <c r="H8" s="8">
        <f>D8*'[1]Technology Parameters'!$D$2</f>
        <v>2200</v>
      </c>
      <c r="I8" s="2">
        <f>B8*'[1]Technology Parameters'!$B$3</f>
        <v>2575.125</v>
      </c>
      <c r="J8" s="2">
        <f>C8*'[1]Technology Parameters'!$C$3</f>
        <v>6970</v>
      </c>
      <c r="K8" s="2">
        <f>D8*'[1]Technology Parameters'!$D$3</f>
        <v>9020</v>
      </c>
      <c r="L8" s="6">
        <f>I8*'Technology Parameters '!$B$4+'Technology Parameters '!$C$4*Scenario!J8+Scenario!K8*'Technology Parameters '!$D$4</f>
        <v>43.832637500000004</v>
      </c>
      <c r="M8">
        <f>'Technology Parameters '!$F$7*'Technology Parameters '!$F$8+'Technology Parameters '!$G$7*'Technology Parameters '!$G$8</f>
        <v>12250000</v>
      </c>
      <c r="N8">
        <f>'Technology Parameters '!$F$7*'Technology Parameters '!$F$7+'Technology Parameters '!$G$7*'Technology Parameters '!$G$4</f>
        <v>6250020</v>
      </c>
      <c r="O8">
        <f t="shared" si="0"/>
        <v>859.30932326068364</v>
      </c>
      <c r="P8">
        <f t="shared" si="1"/>
        <v>336.65616755273663</v>
      </c>
    </row>
    <row r="9" spans="1:17" ht="15.75" x14ac:dyDescent="0.25">
      <c r="A9" s="2" t="s">
        <v>21</v>
      </c>
      <c r="B9" s="6">
        <v>9</v>
      </c>
      <c r="C9" s="2">
        <v>75</v>
      </c>
      <c r="D9" s="2">
        <f>ROUND(($E$3*0.9-C9*'[1]Technology Parameters'!$C$7-B9*'[1]Technology Parameters'!$B$7)/'[1]Technology Parameters'!$D$7,0)</f>
        <v>22</v>
      </c>
      <c r="E9" s="7">
        <f>I9*'Technology Parameters '!$B$6+'Technology Parameters '!$C$6*Scenario!J9+Scenario!K9*'Technology Parameters '!$D$6</f>
        <v>3041855</v>
      </c>
      <c r="F9" s="2">
        <f>B9*'[1]Technology Parameters'!$B$2</f>
        <v>450</v>
      </c>
      <c r="G9" s="2">
        <f>C9*'[1]Technology Parameters'!$C$2</f>
        <v>6150</v>
      </c>
      <c r="H9" s="8">
        <f>D9*'[1]Technology Parameters'!$D$2</f>
        <v>1100</v>
      </c>
      <c r="I9" s="2">
        <f>B9*'[1]Technology Parameters'!$B$3</f>
        <v>2575.125</v>
      </c>
      <c r="J9" s="2">
        <f>C9*'[1]Technology Parameters'!$C$3</f>
        <v>6150</v>
      </c>
      <c r="K9" s="2">
        <f>D9*'[1]Technology Parameters'!$D$3</f>
        <v>4510</v>
      </c>
      <c r="L9" s="6">
        <f>I9*'Technology Parameters '!$B$4+'Technology Parameters '!$C$4*Scenario!J9+Scenario!K9*'Technology Parameters '!$D$4</f>
        <v>28.662637500000002</v>
      </c>
      <c r="M9">
        <f>'Technology Parameters '!$F$7*'Technology Parameters '!$F$8+'Technology Parameters '!$G$7*'Technology Parameters '!$G$8</f>
        <v>12250000</v>
      </c>
      <c r="N9">
        <f>'Technology Parameters '!$F$7*'Technology Parameters '!$F$7+'Technology Parameters '!$G$7*'Technology Parameters '!$G$4</f>
        <v>6250020</v>
      </c>
      <c r="O9">
        <f t="shared" si="0"/>
        <v>1155.3993634363105</v>
      </c>
      <c r="P9">
        <f t="shared" si="1"/>
        <v>472.23193302953314</v>
      </c>
    </row>
    <row r="10" spans="1:17" ht="15.75" x14ac:dyDescent="0.25">
      <c r="A10" s="2" t="s">
        <v>22</v>
      </c>
      <c r="B10" s="6">
        <v>9</v>
      </c>
      <c r="C10" s="2">
        <v>80</v>
      </c>
      <c r="D10" s="2">
        <f>ROUND(($E$3*0.9-C10*'[1]Technology Parameters'!$C$7-B10*'[1]Technology Parameters'!$B$7)/'[1]Technology Parameters'!$D$7,0)</f>
        <v>13</v>
      </c>
      <c r="E10" s="7">
        <f>I10*'Technology Parameters '!$B$6+'Technology Parameters '!$C$6*Scenario!J10+Scenario!K10*'Technology Parameters '!$D$6</f>
        <v>3032220</v>
      </c>
      <c r="F10" s="2">
        <f>B10*'[1]Technology Parameters'!$B$2</f>
        <v>450</v>
      </c>
      <c r="G10" s="2">
        <f>C10*'[1]Technology Parameters'!$C$2</f>
        <v>6560</v>
      </c>
      <c r="H10" s="8">
        <f>D10*'[1]Technology Parameters'!$D$2</f>
        <v>650</v>
      </c>
      <c r="I10" s="2">
        <f>B10*'[1]Technology Parameters'!$B$3</f>
        <v>2575.125</v>
      </c>
      <c r="J10" s="2">
        <f>C10*'[1]Technology Parameters'!$C$3</f>
        <v>6560</v>
      </c>
      <c r="K10" s="2">
        <f>D10*'[1]Technology Parameters'!$D$3</f>
        <v>2665</v>
      </c>
      <c r="L10" s="6">
        <f>I10*'Technology Parameters '!$B$4+'Technology Parameters '!$C$4*Scenario!J10+Scenario!K10*'Technology Parameters '!$D$4</f>
        <v>23.947637500000003</v>
      </c>
      <c r="M10">
        <f>'Technology Parameters '!$F$7*'Technology Parameters '!$F$8+'Technology Parameters '!$G$7*'Technology Parameters '!$G$8</f>
        <v>12250000</v>
      </c>
      <c r="N10">
        <f>'Technology Parameters '!$F$7*'Technology Parameters '!$F$7+'Technology Parameters '!$G$7*'Technology Parameters '!$G$4</f>
        <v>6250020</v>
      </c>
      <c r="O10">
        <f t="shared" si="0"/>
        <v>1295.0896706602684</v>
      </c>
      <c r="P10">
        <f t="shared" si="1"/>
        <v>529.65913052933763</v>
      </c>
    </row>
    <row r="11" spans="1:17" ht="15.75" x14ac:dyDescent="0.25">
      <c r="A11" s="2" t="s">
        <v>23</v>
      </c>
      <c r="B11" s="6">
        <v>9</v>
      </c>
      <c r="C11" s="2">
        <v>70</v>
      </c>
      <c r="D11" s="2">
        <f>ROUND(($E$3*0.9-C11*'[1]Technology Parameters'!$C$7-B11*'[1]Technology Parameters'!$B$7)/'[1]Technology Parameters'!$D$7,0)</f>
        <v>30</v>
      </c>
      <c r="E11" s="7">
        <f>I11*'Technology Parameters '!$B$6+'Technology Parameters '!$C$6*Scenario!J11+Scenario!K11*'Technology Parameters '!$D$6</f>
        <v>3034475</v>
      </c>
      <c r="F11" s="2">
        <f>B11*'[1]Technology Parameters'!$B$2</f>
        <v>450</v>
      </c>
      <c r="G11" s="2">
        <f>C11*'[1]Technology Parameters'!$C$2</f>
        <v>5740</v>
      </c>
      <c r="H11" s="8">
        <f>D11*'[1]Technology Parameters'!$D$2</f>
        <v>1500</v>
      </c>
      <c r="I11" s="2">
        <f>B11*'[1]Technology Parameters'!$B$3</f>
        <v>2575.125</v>
      </c>
      <c r="J11" s="2">
        <f>C11*'[1]Technology Parameters'!$C$3</f>
        <v>5740</v>
      </c>
      <c r="K11" s="2">
        <f>D11*'[1]Technology Parameters'!$D$3</f>
        <v>6150</v>
      </c>
      <c r="L11" s="6">
        <f>I11*'Technology Parameters '!$B$4+'Technology Parameters '!$C$4*Scenario!J11+Scenario!K11*'Technology Parameters '!$D$4</f>
        <v>32.762637499999997</v>
      </c>
      <c r="M11">
        <f>'Technology Parameters '!$F$7*'Technology Parameters '!$F$8+'Technology Parameters '!$G$7*'Technology Parameters '!$G$8</f>
        <v>12250000</v>
      </c>
      <c r="N11">
        <f>'Technology Parameters '!$F$7*'Technology Parameters '!$F$7+'Technology Parameters '!$G$7*'Technology Parameters '!$G$4</f>
        <v>6250020</v>
      </c>
      <c r="O11">
        <f t="shared" si="0"/>
        <v>1056.6431330527735</v>
      </c>
      <c r="P11">
        <f t="shared" si="1"/>
        <v>432.07734206496656</v>
      </c>
    </row>
    <row r="12" spans="1:17" x14ac:dyDescent="0.25">
      <c r="I12" s="9"/>
    </row>
    <row r="13" spans="1:17" x14ac:dyDescent="0.25">
      <c r="I13" s="9"/>
    </row>
    <row r="14" spans="1:17" ht="15.75" x14ac:dyDescent="0.25">
      <c r="H14" s="3"/>
      <c r="I14" s="9"/>
    </row>
    <row r="15" spans="1:17" x14ac:dyDescent="0.25">
      <c r="I15" s="10"/>
    </row>
    <row r="16" spans="1:17" x14ac:dyDescent="0.25">
      <c r="A16" s="11" t="str">
        <f t="shared" ref="A16:A24" si="2">A3</f>
        <v>Scenario_Base_1</v>
      </c>
      <c r="C16" s="12">
        <f t="shared" ref="C16:D24" si="3">C3-C$3</f>
        <v>0</v>
      </c>
      <c r="D16" s="12">
        <f t="shared" si="3"/>
        <v>0</v>
      </c>
      <c r="I16" s="10"/>
    </row>
    <row r="17" spans="1:9" x14ac:dyDescent="0.25">
      <c r="A17" s="11" t="str">
        <f t="shared" si="2"/>
        <v>Scenario_Base_2</v>
      </c>
      <c r="C17" s="12">
        <f t="shared" si="3"/>
        <v>5</v>
      </c>
      <c r="D17" s="12">
        <f t="shared" si="3"/>
        <v>-8</v>
      </c>
      <c r="I17" s="10"/>
    </row>
    <row r="18" spans="1:9" x14ac:dyDescent="0.25">
      <c r="A18" s="11" t="str">
        <f t="shared" si="2"/>
        <v>Scenario_Base_3</v>
      </c>
      <c r="C18" s="12">
        <f t="shared" si="3"/>
        <v>-5</v>
      </c>
      <c r="D18" s="12">
        <f t="shared" si="3"/>
        <v>8</v>
      </c>
      <c r="I18" s="10"/>
    </row>
    <row r="19" spans="1:9" x14ac:dyDescent="0.25">
      <c r="A19" s="11" t="str">
        <f t="shared" si="2"/>
        <v>Scenario_UpperCost_1</v>
      </c>
      <c r="C19" s="12">
        <f t="shared" si="3"/>
        <v>7</v>
      </c>
      <c r="D19" s="12">
        <f t="shared" si="3"/>
        <v>8</v>
      </c>
      <c r="I19" s="10"/>
    </row>
    <row r="20" spans="1:9" x14ac:dyDescent="0.25">
      <c r="A20" s="11" t="str">
        <f t="shared" si="2"/>
        <v>Scenario_UpperCost_2</v>
      </c>
      <c r="C20" s="12">
        <f t="shared" si="3"/>
        <v>12</v>
      </c>
      <c r="D20" s="12">
        <f t="shared" si="3"/>
        <v>0</v>
      </c>
      <c r="I20" s="10"/>
    </row>
    <row r="21" spans="1:9" x14ac:dyDescent="0.25">
      <c r="A21" s="11" t="str">
        <f t="shared" si="2"/>
        <v>Scenario_UpperCost_3</v>
      </c>
      <c r="C21" s="12">
        <f t="shared" si="3"/>
        <v>2</v>
      </c>
      <c r="D21" s="12">
        <f t="shared" si="3"/>
        <v>16</v>
      </c>
    </row>
    <row r="22" spans="1:9" x14ac:dyDescent="0.25">
      <c r="A22" s="11" t="str">
        <f t="shared" si="2"/>
        <v>Scenario_LowerCost_1</v>
      </c>
      <c r="C22" s="12">
        <f t="shared" si="3"/>
        <v>-8</v>
      </c>
      <c r="D22" s="12">
        <f t="shared" si="3"/>
        <v>-6</v>
      </c>
    </row>
    <row r="23" spans="1:9" x14ac:dyDescent="0.25">
      <c r="A23" s="11" t="str">
        <f t="shared" si="2"/>
        <v>Scenario_LowerCost_2</v>
      </c>
      <c r="C23" s="12">
        <f t="shared" si="3"/>
        <v>-3</v>
      </c>
      <c r="D23" s="12">
        <f t="shared" si="3"/>
        <v>-15</v>
      </c>
    </row>
    <row r="24" spans="1:9" x14ac:dyDescent="0.25">
      <c r="A24" s="11" t="str">
        <f t="shared" si="2"/>
        <v>Scenario_LowerCost_3</v>
      </c>
      <c r="C24" s="12">
        <f t="shared" si="3"/>
        <v>-13</v>
      </c>
      <c r="D24" s="12">
        <f t="shared" si="3"/>
        <v>2</v>
      </c>
    </row>
    <row r="25" spans="1:9" x14ac:dyDescent="0.25">
      <c r="C25" s="12"/>
      <c r="D25" s="12"/>
    </row>
    <row r="26" spans="1:9" x14ac:dyDescent="0.25">
      <c r="C26" s="12"/>
      <c r="D26" s="12"/>
    </row>
    <row r="27" spans="1:9" x14ac:dyDescent="0.25">
      <c r="C27" s="12"/>
      <c r="D27" s="12"/>
    </row>
    <row r="28" spans="1:9" x14ac:dyDescent="0.25">
      <c r="C28" s="12"/>
      <c r="D28" s="12"/>
    </row>
    <row r="29" spans="1:9" x14ac:dyDescent="0.25">
      <c r="C29" s="12"/>
      <c r="D29" s="12"/>
    </row>
    <row r="30" spans="1:9" x14ac:dyDescent="0.25">
      <c r="C30" s="12"/>
      <c r="D30" s="12"/>
    </row>
    <row r="31" spans="1:9" x14ac:dyDescent="0.25">
      <c r="C31" s="12"/>
      <c r="D31" s="12"/>
    </row>
    <row r="32" spans="1:9" x14ac:dyDescent="0.25">
      <c r="C32" s="12"/>
      <c r="D32" s="12"/>
    </row>
  </sheetData>
  <mergeCells count="2">
    <mergeCell ref="F1:H1"/>
    <mergeCell ref="I1:K1"/>
  </mergeCells>
  <conditionalFormatting sqref="E3:E11">
    <cfRule type="colorScale" priority="2">
      <colorScale>
        <cfvo type="min"/>
        <cfvo type="max"/>
        <color rgb="FFFFEF9C"/>
        <color rgb="FF63BE7B"/>
      </colorScale>
    </cfRule>
  </conditionalFormatting>
  <conditionalFormatting sqref="L3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B91C-E9CC-4E00-9760-F42715AD800F}">
  <dimension ref="F1:AX28"/>
  <sheetViews>
    <sheetView topLeftCell="G1" zoomScale="115" zoomScaleNormal="115" workbookViewId="0">
      <selection activeCell="Z26" sqref="Z26"/>
    </sheetView>
  </sheetViews>
  <sheetFormatPr defaultRowHeight="15" x14ac:dyDescent="0.25"/>
  <cols>
    <col min="7" max="7" width="13.85546875" bestFit="1" customWidth="1"/>
    <col min="9" max="9" width="14.42578125" bestFit="1" customWidth="1"/>
    <col min="12" max="12" width="8.85546875" style="13"/>
    <col min="14" max="14" width="14.28515625" style="13" customWidth="1"/>
    <col min="19" max="19" width="13.7109375" bestFit="1" customWidth="1"/>
    <col min="20" max="20" width="12" bestFit="1" customWidth="1"/>
    <col min="21" max="21" width="8.85546875" style="13"/>
    <col min="22" max="22" width="14.5703125" style="13" bestFit="1" customWidth="1"/>
    <col min="23" max="23" width="13.85546875" bestFit="1" customWidth="1"/>
    <col min="27" max="27" width="44.28515625" customWidth="1"/>
  </cols>
  <sheetData>
    <row r="1" spans="6:50" x14ac:dyDescent="0.25">
      <c r="F1" t="s">
        <v>29</v>
      </c>
      <c r="G1" s="14" t="s">
        <v>57</v>
      </c>
      <c r="I1" s="1" t="s">
        <v>58</v>
      </c>
      <c r="J1" s="1" t="s">
        <v>45</v>
      </c>
      <c r="K1" s="1" t="s">
        <v>59</v>
      </c>
      <c r="L1" s="16" t="s">
        <v>55</v>
      </c>
      <c r="M1" s="1" t="s">
        <v>60</v>
      </c>
      <c r="N1" s="16" t="s">
        <v>46</v>
      </c>
      <c r="Q1" s="1" t="s">
        <v>49</v>
      </c>
      <c r="S1" s="1" t="s">
        <v>62</v>
      </c>
      <c r="T1" s="1" t="s">
        <v>63</v>
      </c>
      <c r="U1" s="16" t="s">
        <v>1</v>
      </c>
      <c r="V1" s="16" t="s">
        <v>46</v>
      </c>
      <c r="W1" s="1" t="s">
        <v>50</v>
      </c>
      <c r="Z1" s="1" t="s">
        <v>118</v>
      </c>
      <c r="AB1">
        <v>0.25714300000000001</v>
      </c>
      <c r="AC1">
        <v>0.25442999999999999</v>
      </c>
      <c r="AD1">
        <v>0.25297999999999998</v>
      </c>
      <c r="AE1">
        <v>0.25274999999999997</v>
      </c>
      <c r="AF1">
        <v>0.25497999999999998</v>
      </c>
      <c r="AG1">
        <v>0.20627100000000001</v>
      </c>
      <c r="AH1">
        <v>0.269783</v>
      </c>
      <c r="AI1">
        <v>0.27707500000000002</v>
      </c>
      <c r="AJ1">
        <v>0.27672799999999997</v>
      </c>
      <c r="AK1">
        <v>0.27678199999999997</v>
      </c>
      <c r="AL1">
        <v>0.270368</v>
      </c>
      <c r="AM1">
        <v>0.266897</v>
      </c>
      <c r="AN1">
        <v>0.26474700000000001</v>
      </c>
      <c r="AO1">
        <v>0.26649400000000001</v>
      </c>
      <c r="AP1">
        <v>0.270067</v>
      </c>
      <c r="AQ1">
        <v>0.27431899999999998</v>
      </c>
      <c r="AR1">
        <v>0.27111299999999999</v>
      </c>
      <c r="AS1">
        <v>0.28212799999999999</v>
      </c>
      <c r="AT1">
        <v>0.28089700000000001</v>
      </c>
      <c r="AU1">
        <v>0.27615600000000001</v>
      </c>
      <c r="AV1">
        <v>0.27117200000000002</v>
      </c>
      <c r="AW1">
        <v>6.6489999999999994E-2</v>
      </c>
      <c r="AX1">
        <v>6.1108000000000003E-2</v>
      </c>
    </row>
    <row r="2" spans="6:50" x14ac:dyDescent="0.25">
      <c r="F2">
        <v>0.39173572530890799</v>
      </c>
      <c r="G2">
        <v>391.735725308908</v>
      </c>
      <c r="H2">
        <v>1</v>
      </c>
      <c r="I2" s="1">
        <v>0.26038899999999998</v>
      </c>
      <c r="J2" s="1">
        <v>391.73572530890755</v>
      </c>
      <c r="K2" s="1">
        <v>337.5</v>
      </c>
      <c r="L2" s="16">
        <v>-729.23599999999999</v>
      </c>
      <c r="M2" s="1">
        <v>0</v>
      </c>
      <c r="N2" s="13">
        <f>ROUND(SUM(J2:M2),3)</f>
        <v>0</v>
      </c>
      <c r="O2">
        <f>K2*1000</f>
        <v>337500</v>
      </c>
      <c r="Q2" s="1">
        <v>4668.8161734613086</v>
      </c>
      <c r="S2" s="1">
        <v>62.750000000000007</v>
      </c>
      <c r="T2" s="1">
        <v>62.750000000000007</v>
      </c>
      <c r="U2" s="16">
        <v>0</v>
      </c>
      <c r="V2" s="13">
        <f>S2-T2+U2</f>
        <v>0</v>
      </c>
      <c r="W2" s="1">
        <v>0</v>
      </c>
      <c r="X2">
        <f>U2*1000</f>
        <v>0</v>
      </c>
      <c r="Y2" s="17">
        <v>391735.72530890797</v>
      </c>
      <c r="Z2">
        <f>ABS(K2)*'Technology Parameters '!$B$4+ABS(L2)*'Technology Parameters '!$C$4+ABS(T2)*'Technology Parameters '!$E$4+ABS(U2)*'Technology Parameters '!$D$4</f>
        <v>1.9175720000000001</v>
      </c>
    </row>
    <row r="3" spans="6:50" x14ac:dyDescent="0.25">
      <c r="F3">
        <v>0.39512728829926813</v>
      </c>
      <c r="G3">
        <v>395.12728829926812</v>
      </c>
      <c r="H3">
        <v>2</v>
      </c>
      <c r="I3" s="1">
        <v>0.25714300000000001</v>
      </c>
      <c r="J3" s="1">
        <v>395.12728829926812</v>
      </c>
      <c r="K3" s="1">
        <v>337.5</v>
      </c>
      <c r="L3" s="13">
        <f>Q3-Q2</f>
        <v>-732.627288299268</v>
      </c>
      <c r="M3" s="1">
        <v>0</v>
      </c>
      <c r="N3" s="13">
        <f t="shared" ref="N3:N25" si="0">SUM(J3:M3)</f>
        <v>1.1368683772161603E-13</v>
      </c>
      <c r="O3">
        <f t="shared" ref="O3:O25" si="1">K3*1000</f>
        <v>337500</v>
      </c>
      <c r="Q3" s="1">
        <v>3936.1888851620406</v>
      </c>
      <c r="S3" s="1">
        <v>62.750000000000007</v>
      </c>
      <c r="T3" s="1">
        <v>62.750000000000007</v>
      </c>
      <c r="U3" s="13">
        <f t="shared" ref="U3:U25" si="2">W3-W2</f>
        <v>0</v>
      </c>
      <c r="V3" s="13">
        <f t="shared" ref="V3:V25" si="3">S3-T3+U3</f>
        <v>0</v>
      </c>
      <c r="W3" s="1">
        <v>0</v>
      </c>
      <c r="X3">
        <f t="shared" ref="X3:X25" si="4">U3*1000</f>
        <v>0</v>
      </c>
      <c r="Y3" s="17">
        <v>395127.28829926811</v>
      </c>
      <c r="Z3">
        <f>ABS(K3)*'Technology Parameters '!$B$4+ABS(L3)*'Technology Parameters '!$C$4+ABS(T3)*'Technology Parameters '!$E$4+ABS(U3)*'Technology Parameters '!$D$4</f>
        <v>1.9243545765985361</v>
      </c>
    </row>
    <row r="4" spans="6:50" x14ac:dyDescent="0.25">
      <c r="F4">
        <v>0.38683877182354337</v>
      </c>
      <c r="G4">
        <v>386.83877182354337</v>
      </c>
      <c r="H4">
        <v>3</v>
      </c>
      <c r="I4" s="1">
        <v>0.25442999999999999</v>
      </c>
      <c r="J4" s="1">
        <v>386.83877182354337</v>
      </c>
      <c r="K4" s="1">
        <v>337.5</v>
      </c>
      <c r="L4" s="13">
        <f t="shared" ref="L4:L25" si="5">Q4-Q3</f>
        <v>-724.33877182354354</v>
      </c>
      <c r="M4" s="1">
        <v>0</v>
      </c>
      <c r="N4" s="13">
        <f t="shared" si="0"/>
        <v>-2.2737367544323206E-13</v>
      </c>
      <c r="O4">
        <f t="shared" si="1"/>
        <v>337500</v>
      </c>
      <c r="Q4" s="1">
        <v>3211.8501133384971</v>
      </c>
      <c r="S4" s="1">
        <v>62.750000000000007</v>
      </c>
      <c r="T4" s="1">
        <v>62.750000000000007</v>
      </c>
      <c r="U4" s="13">
        <f t="shared" si="2"/>
        <v>0</v>
      </c>
      <c r="V4" s="13">
        <f t="shared" si="3"/>
        <v>0</v>
      </c>
      <c r="W4" s="1">
        <v>0</v>
      </c>
      <c r="X4">
        <f t="shared" si="4"/>
        <v>0</v>
      </c>
      <c r="Y4" s="17">
        <v>386838.77182354336</v>
      </c>
      <c r="Z4">
        <f>ABS(K4)*'Technology Parameters '!$B$4+ABS(L4)*'Technology Parameters '!$C$4+ABS(T4)*'Technology Parameters '!$E$4+ABS(U4)*'Technology Parameters '!$D$4</f>
        <v>1.9077775436470872</v>
      </c>
    </row>
    <row r="5" spans="6:50" x14ac:dyDescent="0.25">
      <c r="F5">
        <v>0.4003276007992681</v>
      </c>
      <c r="G5">
        <v>400.32760079926811</v>
      </c>
      <c r="H5">
        <v>4</v>
      </c>
      <c r="I5" s="1">
        <v>0.25297999999999998</v>
      </c>
      <c r="J5" s="1">
        <v>400.32760079926811</v>
      </c>
      <c r="K5" s="1">
        <v>337.5</v>
      </c>
      <c r="L5" s="13">
        <f t="shared" si="5"/>
        <v>-737.82760079926811</v>
      </c>
      <c r="M5" s="1">
        <v>0</v>
      </c>
      <c r="N5" s="13">
        <f t="shared" si="0"/>
        <v>0</v>
      </c>
      <c r="O5">
        <f t="shared" si="1"/>
        <v>337500</v>
      </c>
      <c r="Q5" s="1">
        <v>2474.022512539229</v>
      </c>
      <c r="S5" s="1">
        <v>62.750000000000007</v>
      </c>
      <c r="T5" s="1">
        <v>62.750000000000007</v>
      </c>
      <c r="U5" s="13">
        <f t="shared" si="2"/>
        <v>0</v>
      </c>
      <c r="V5" s="13">
        <f t="shared" si="3"/>
        <v>0</v>
      </c>
      <c r="W5" s="1">
        <v>0</v>
      </c>
      <c r="X5">
        <f t="shared" si="4"/>
        <v>0</v>
      </c>
      <c r="Y5" s="17">
        <v>400327.60079926811</v>
      </c>
      <c r="Z5">
        <f>ABS(K5)*'Technology Parameters '!$B$4+ABS(L5)*'Technology Parameters '!$C$4+ABS(T5)*'Technology Parameters '!$E$4+ABS(U5)*'Technology Parameters '!$D$4</f>
        <v>1.9347552015985363</v>
      </c>
    </row>
    <row r="6" spans="6:50" x14ac:dyDescent="0.25">
      <c r="F6">
        <v>0.39828908432354337</v>
      </c>
      <c r="G6">
        <v>398.28908432354336</v>
      </c>
      <c r="H6">
        <v>5</v>
      </c>
      <c r="I6" s="1">
        <v>0.25274999999999997</v>
      </c>
      <c r="J6" s="1">
        <v>398.28908432354336</v>
      </c>
      <c r="K6" s="1">
        <v>337.5</v>
      </c>
      <c r="L6" s="13">
        <f t="shared" si="5"/>
        <v>-735.78908432354319</v>
      </c>
      <c r="M6" s="1">
        <v>0</v>
      </c>
      <c r="N6" s="13">
        <f t="shared" si="0"/>
        <v>2.2737367544323206E-13</v>
      </c>
      <c r="O6">
        <f t="shared" si="1"/>
        <v>337500</v>
      </c>
      <c r="Q6" s="1">
        <v>1738.2334282156858</v>
      </c>
      <c r="S6" s="1">
        <v>62.750000000000007</v>
      </c>
      <c r="T6" s="1">
        <v>62.750000000000007</v>
      </c>
      <c r="U6" s="13">
        <f t="shared" si="2"/>
        <v>0</v>
      </c>
      <c r="V6" s="13">
        <f t="shared" si="3"/>
        <v>0</v>
      </c>
      <c r="W6" s="1">
        <v>0</v>
      </c>
      <c r="X6">
        <f t="shared" si="4"/>
        <v>0</v>
      </c>
      <c r="Y6" s="17">
        <v>398289.08432354336</v>
      </c>
      <c r="Z6">
        <f>ABS(K6)*'Technology Parameters '!$B$4+ABS(L6)*'Technology Parameters '!$C$4+ABS(T6)*'Technology Parameters '!$E$4+ABS(U6)*'Technology Parameters '!$D$4</f>
        <v>1.9306781686470864</v>
      </c>
    </row>
    <row r="7" spans="6:50" x14ac:dyDescent="0.25">
      <c r="F7">
        <v>0.48574616169024515</v>
      </c>
      <c r="G7">
        <v>485.74616169024517</v>
      </c>
      <c r="H7">
        <v>6</v>
      </c>
      <c r="I7" s="1">
        <v>0.25497999999999998</v>
      </c>
      <c r="J7" s="1">
        <v>485.74616169024517</v>
      </c>
      <c r="K7" s="1">
        <v>337.5</v>
      </c>
      <c r="L7" s="13">
        <f t="shared" si="5"/>
        <v>-823.24616169024512</v>
      </c>
      <c r="M7" s="1">
        <v>0</v>
      </c>
      <c r="N7" s="13">
        <f t="shared" si="0"/>
        <v>0</v>
      </c>
      <c r="O7">
        <f t="shared" si="1"/>
        <v>337500</v>
      </c>
      <c r="Q7" s="1">
        <v>914.98726652544065</v>
      </c>
      <c r="S7" s="1">
        <v>89.092975206611598</v>
      </c>
      <c r="T7" s="1">
        <v>0</v>
      </c>
      <c r="U7" s="13">
        <f t="shared" si="2"/>
        <v>5740</v>
      </c>
      <c r="V7" s="13">
        <f>S7-T7+U7</f>
        <v>5829.0929752066113</v>
      </c>
      <c r="W7" s="1">
        <v>5740</v>
      </c>
      <c r="X7">
        <f t="shared" si="4"/>
        <v>5740000</v>
      </c>
      <c r="Y7" s="17">
        <v>485746.16169024515</v>
      </c>
      <c r="Z7">
        <f>ABS(K7)*'Technology Parameters '!$B$4+ABS(L7)*'Technology Parameters '!$C$4+ABS(T7)*'Technology Parameters '!$E$4+ABS(U7)*'Technology Parameters '!$D$4</f>
        <v>19.237742323380488</v>
      </c>
    </row>
    <row r="8" spans="6:50" x14ac:dyDescent="0.25">
      <c r="F8">
        <v>0.48765694417347405</v>
      </c>
      <c r="G8">
        <v>487.65694417347407</v>
      </c>
      <c r="H8">
        <v>7</v>
      </c>
      <c r="I8" s="1">
        <v>0.26271</v>
      </c>
      <c r="J8" s="1">
        <v>487.65694417347407</v>
      </c>
      <c r="K8" s="1">
        <v>337.5</v>
      </c>
      <c r="L8" s="13">
        <f t="shared" si="5"/>
        <v>-825.15694417347413</v>
      </c>
      <c r="M8" s="1">
        <v>0</v>
      </c>
      <c r="N8" s="13">
        <f t="shared" si="0"/>
        <v>0</v>
      </c>
      <c r="O8">
        <f t="shared" si="1"/>
        <v>337500</v>
      </c>
      <c r="Q8" s="1">
        <v>89.830322351966572</v>
      </c>
      <c r="S8" s="1">
        <v>608.33334516176456</v>
      </c>
      <c r="T8" s="1">
        <v>0</v>
      </c>
      <c r="U8" s="13">
        <f t="shared" si="2"/>
        <v>-608.33334516176456</v>
      </c>
      <c r="V8" s="13">
        <f t="shared" si="3"/>
        <v>0</v>
      </c>
      <c r="W8" s="1">
        <v>5131.6666548382354</v>
      </c>
      <c r="X8">
        <f t="shared" si="4"/>
        <v>-608333.34516176453</v>
      </c>
      <c r="Y8" s="17">
        <v>487656.9441734741</v>
      </c>
      <c r="Z8">
        <f>ABS(K8)*'Technology Parameters '!$B$4+ABS(L8)*'Technology Parameters '!$C$4+ABS(T8)*'Technology Parameters '!$E$4+ABS(U8)*'Technology Parameters '!$D$4</f>
        <v>3.8465639238322424</v>
      </c>
    </row>
    <row r="9" spans="6:50" x14ac:dyDescent="0.25">
      <c r="F9">
        <v>0.51576103260860862</v>
      </c>
      <c r="G9">
        <v>515.76103260860862</v>
      </c>
      <c r="H9">
        <v>8</v>
      </c>
      <c r="I9" s="1">
        <v>0.269783</v>
      </c>
      <c r="J9" s="1">
        <v>514.64853260860855</v>
      </c>
      <c r="K9" s="1">
        <v>-337.5</v>
      </c>
      <c r="L9" s="13">
        <f t="shared" si="5"/>
        <v>-89.830322351966572</v>
      </c>
      <c r="M9" s="1">
        <v>87.3</v>
      </c>
      <c r="N9" s="13">
        <f t="shared" si="0"/>
        <v>174.61821025664199</v>
      </c>
      <c r="O9">
        <f t="shared" si="1"/>
        <v>-337500</v>
      </c>
      <c r="Q9" s="1">
        <v>0</v>
      </c>
      <c r="S9" s="1">
        <v>1032.7789374482654</v>
      </c>
      <c r="T9" s="1">
        <v>0</v>
      </c>
      <c r="U9" s="13">
        <f t="shared" si="2"/>
        <v>-1032.7789374482654</v>
      </c>
      <c r="V9" s="13">
        <f t="shared" si="3"/>
        <v>0</v>
      </c>
      <c r="W9" s="1">
        <v>4098.88771738997</v>
      </c>
      <c r="X9">
        <f t="shared" si="4"/>
        <v>-1032778.9374482654</v>
      </c>
      <c r="Y9" s="17">
        <v>515761.0326086086</v>
      </c>
      <c r="Z9">
        <f>ABS(K9)*'Technology Parameters '!$B$4+ABS(L9)*'Technology Parameters '!$C$4+ABS(T9)*'Technology Parameters '!$E$4+ABS(U9)*'Technology Parameters '!$D$4</f>
        <v>3.6492474570487294</v>
      </c>
    </row>
    <row r="10" spans="6:50" x14ac:dyDescent="0.25">
      <c r="F10">
        <v>0.55994591599036869</v>
      </c>
      <c r="G10">
        <v>559.94591599036869</v>
      </c>
      <c r="H10">
        <v>9</v>
      </c>
      <c r="I10" s="1">
        <v>0.27707500000000002</v>
      </c>
      <c r="J10" s="1">
        <v>272.86466599036868</v>
      </c>
      <c r="K10" s="1">
        <v>-337.5</v>
      </c>
      <c r="L10" s="13">
        <f t="shared" si="5"/>
        <v>0</v>
      </c>
      <c r="M10" s="1">
        <v>64.639999999999986</v>
      </c>
      <c r="N10" s="13">
        <f t="shared" si="0"/>
        <v>4.6659903686645521E-3</v>
      </c>
      <c r="O10">
        <f t="shared" si="1"/>
        <v>-337500</v>
      </c>
      <c r="Q10" s="1">
        <v>0</v>
      </c>
      <c r="S10" s="1">
        <v>1047.9166784950978</v>
      </c>
      <c r="T10" s="1">
        <v>0</v>
      </c>
      <c r="U10" s="13">
        <f t="shared" si="2"/>
        <v>-1047.9166784950976</v>
      </c>
      <c r="V10" s="13">
        <f t="shared" si="3"/>
        <v>0</v>
      </c>
      <c r="W10" s="1">
        <v>3050.9710388948724</v>
      </c>
      <c r="X10">
        <f t="shared" si="4"/>
        <v>-1047916.6784950976</v>
      </c>
      <c r="Y10" s="17">
        <v>559945.9159903687</v>
      </c>
      <c r="Z10">
        <f>ABS(K10)*'Technology Parameters '!$B$4+ABS(L10)*'Technology Parameters '!$C$4+ABS(T10)*'Technology Parameters '!$E$4+ABS(U10)*'Technology Parameters '!$D$4</f>
        <v>3.5150000354852926</v>
      </c>
    </row>
    <row r="11" spans="6:50" x14ac:dyDescent="0.25">
      <c r="F11">
        <v>0.5719274888872673</v>
      </c>
      <c r="G11">
        <v>571.92748888726726</v>
      </c>
      <c r="H11">
        <v>10</v>
      </c>
      <c r="I11" s="1">
        <v>0.27672799999999997</v>
      </c>
      <c r="J11" s="1">
        <v>-477.49126111273267</v>
      </c>
      <c r="K11" s="1">
        <v>-212.625</v>
      </c>
      <c r="L11" s="13">
        <f t="shared" si="5"/>
        <v>690.11599999999999</v>
      </c>
      <c r="M11" s="1">
        <v>0</v>
      </c>
      <c r="N11" s="13">
        <f t="shared" si="0"/>
        <v>-2.6111273268725199E-4</v>
      </c>
      <c r="O11">
        <f t="shared" si="1"/>
        <v>-212625</v>
      </c>
      <c r="Q11" s="1">
        <v>690.11599999999999</v>
      </c>
      <c r="S11" s="1">
        <v>857.7355490185148</v>
      </c>
      <c r="T11" s="1">
        <v>0</v>
      </c>
      <c r="U11" s="13">
        <f t="shared" si="2"/>
        <v>-857.73554901851458</v>
      </c>
      <c r="V11" s="13">
        <f t="shared" si="3"/>
        <v>0</v>
      </c>
      <c r="W11" s="1">
        <v>2193.2354898763579</v>
      </c>
      <c r="X11">
        <f t="shared" si="4"/>
        <v>-857735.54901851458</v>
      </c>
      <c r="Y11" s="17">
        <v>571927.4888872673</v>
      </c>
      <c r="Z11">
        <f>ABS(K11)*'Technology Parameters '!$B$4+ABS(L11)*'Technology Parameters '!$C$4+ABS(T11)*'Technology Parameters '!$E$4+ABS(U11)*'Technology Parameters '!$D$4</f>
        <v>4.1873261470555434</v>
      </c>
    </row>
    <row r="12" spans="6:50" x14ac:dyDescent="0.25">
      <c r="F12">
        <v>0.54497719768498487</v>
      </c>
      <c r="G12">
        <v>544.97719768498484</v>
      </c>
      <c r="H12">
        <v>11</v>
      </c>
      <c r="I12" s="1">
        <v>0.27678199999999997</v>
      </c>
      <c r="J12" s="1">
        <v>-1103.960302315015</v>
      </c>
      <c r="K12" s="1">
        <v>0</v>
      </c>
      <c r="L12" s="13">
        <f t="shared" si="5"/>
        <v>1103.960302315015</v>
      </c>
      <c r="M12" s="1">
        <v>0</v>
      </c>
      <c r="N12" s="13">
        <f t="shared" si="0"/>
        <v>0</v>
      </c>
      <c r="O12">
        <f t="shared" si="1"/>
        <v>0</v>
      </c>
      <c r="Q12">
        <v>1794.076302315015</v>
      </c>
      <c r="S12" s="1">
        <v>744.06406141520824</v>
      </c>
      <c r="T12" s="1">
        <v>0</v>
      </c>
      <c r="U12" s="13">
        <f t="shared" si="2"/>
        <v>-744.06406141520824</v>
      </c>
      <c r="V12" s="13">
        <f t="shared" si="3"/>
        <v>0</v>
      </c>
      <c r="W12" s="1">
        <v>1449.1714284611496</v>
      </c>
      <c r="X12">
        <f t="shared" si="4"/>
        <v>-744064.06141520827</v>
      </c>
      <c r="Y12" s="17">
        <v>544977.19768498489</v>
      </c>
      <c r="Z12">
        <f>ABS(K12)*'Technology Parameters '!$B$4+ABS(L12)*'Technology Parameters '!$C$4+ABS(T12)*'Technology Parameters '!$E$4+ABS(U12)*'Technology Parameters '!$D$4</f>
        <v>4.4401127888756555</v>
      </c>
    </row>
    <row r="13" spans="6:50" x14ac:dyDescent="0.25">
      <c r="F13">
        <v>0.50504241234859459</v>
      </c>
      <c r="G13">
        <v>505.04241234859455</v>
      </c>
      <c r="H13">
        <v>12</v>
      </c>
      <c r="I13" s="1">
        <v>0.270368</v>
      </c>
      <c r="J13" s="1">
        <v>-725.24508765140547</v>
      </c>
      <c r="K13" s="1">
        <v>0</v>
      </c>
      <c r="L13" s="13">
        <f t="shared" si="5"/>
        <v>725.24508765140558</v>
      </c>
      <c r="M13" s="1">
        <v>0</v>
      </c>
      <c r="N13" s="13">
        <f t="shared" si="0"/>
        <v>1.1368683772161603E-13</v>
      </c>
      <c r="O13">
        <f t="shared" si="1"/>
        <v>0</v>
      </c>
      <c r="Q13" s="1">
        <v>2519.3213899664206</v>
      </c>
      <c r="S13" s="1">
        <v>763.97576980125007</v>
      </c>
      <c r="T13" s="1">
        <v>0</v>
      </c>
      <c r="U13" s="13">
        <f t="shared" si="2"/>
        <v>-763.97576980125007</v>
      </c>
      <c r="V13" s="13">
        <f t="shared" si="3"/>
        <v>0</v>
      </c>
      <c r="W13" s="1">
        <v>685.19565865989955</v>
      </c>
      <c r="X13">
        <f t="shared" si="4"/>
        <v>-763975.76980125008</v>
      </c>
      <c r="Y13" s="17">
        <v>505042.41234859457</v>
      </c>
      <c r="Z13">
        <f>ABS(K13)*'Technology Parameters '!$B$4+ABS(L13)*'Technology Parameters '!$C$4+ABS(T13)*'Technology Parameters '!$E$4+ABS(U13)*'Technology Parameters '!$D$4</f>
        <v>3.7424174847065617</v>
      </c>
    </row>
    <row r="14" spans="6:50" x14ac:dyDescent="0.25">
      <c r="F14">
        <v>0.49751284905450693</v>
      </c>
      <c r="G14">
        <v>497.51284905450694</v>
      </c>
      <c r="H14">
        <v>13</v>
      </c>
      <c r="I14" s="1">
        <v>0.266897</v>
      </c>
      <c r="J14" s="1">
        <v>-860.68715094549304</v>
      </c>
      <c r="K14" s="1">
        <v>0</v>
      </c>
      <c r="L14" s="13">
        <f t="shared" si="5"/>
        <v>860.68715094549316</v>
      </c>
      <c r="M14" s="1">
        <v>0</v>
      </c>
      <c r="N14" s="13">
        <f t="shared" si="0"/>
        <v>1.1368683772161603E-13</v>
      </c>
      <c r="O14">
        <f t="shared" si="1"/>
        <v>0</v>
      </c>
      <c r="Q14" s="1">
        <v>3380.0085409119138</v>
      </c>
      <c r="S14" s="1">
        <v>718.98072808187499</v>
      </c>
      <c r="T14" s="1">
        <v>33.799999999999997</v>
      </c>
      <c r="U14" s="13">
        <f t="shared" si="2"/>
        <v>-685.19565865989955</v>
      </c>
      <c r="V14" s="13">
        <f t="shared" si="3"/>
        <v>-1.4930578024518582E-2</v>
      </c>
      <c r="W14" s="1">
        <v>0</v>
      </c>
      <c r="X14">
        <f t="shared" si="4"/>
        <v>-685195.65865989961</v>
      </c>
      <c r="Y14" s="17">
        <v>497512.84905450692</v>
      </c>
      <c r="Z14">
        <f>ABS(K14)*'Technology Parameters '!$B$4+ABS(L14)*'Technology Parameters '!$C$4+ABS(T14)*'Technology Parameters '!$E$4+ABS(U14)*'Technology Parameters '!$D$4</f>
        <v>3.8242812778706852</v>
      </c>
    </row>
    <row r="15" spans="6:50" x14ac:dyDescent="0.25">
      <c r="F15">
        <v>0.50746141817917079</v>
      </c>
      <c r="G15">
        <v>507.46141817917083</v>
      </c>
      <c r="H15">
        <v>14</v>
      </c>
      <c r="I15" s="1">
        <v>0.26474700000000001</v>
      </c>
      <c r="J15" s="1">
        <v>-423.8448318208292</v>
      </c>
      <c r="K15" s="1">
        <v>0</v>
      </c>
      <c r="L15" s="13">
        <f t="shared" si="5"/>
        <v>423.84483182082931</v>
      </c>
      <c r="M15" s="1">
        <v>0</v>
      </c>
      <c r="N15" s="13">
        <f t="shared" si="0"/>
        <v>1.1368683772161603E-13</v>
      </c>
      <c r="O15">
        <f t="shared" si="1"/>
        <v>0</v>
      </c>
      <c r="Q15" s="1">
        <v>3803.8533727327431</v>
      </c>
      <c r="S15" s="1">
        <v>719.56888235184806</v>
      </c>
      <c r="T15" s="1">
        <v>719.56</v>
      </c>
      <c r="U15" s="13">
        <f t="shared" si="2"/>
        <v>1260</v>
      </c>
      <c r="V15" s="13">
        <f t="shared" si="3"/>
        <v>1260.0088823518481</v>
      </c>
      <c r="W15" s="1">
        <v>1260</v>
      </c>
      <c r="X15">
        <f t="shared" si="4"/>
        <v>1260000</v>
      </c>
      <c r="Y15" s="17">
        <v>507461.41817917081</v>
      </c>
      <c r="Z15">
        <f>ABS(K15)*'Technology Parameters '!$B$4+ABS(L15)*'Technology Parameters '!$C$4+ABS(T15)*'Technology Parameters '!$E$4+ABS(U15)*'Technology Parameters '!$D$4</f>
        <v>5.6350736636416592</v>
      </c>
    </row>
    <row r="16" spans="6:50" x14ac:dyDescent="0.25">
      <c r="F16">
        <v>0.53905718036732164</v>
      </c>
      <c r="G16">
        <v>539.05718036732162</v>
      </c>
      <c r="H16">
        <v>15</v>
      </c>
      <c r="I16" s="1">
        <v>0.26649400000000001</v>
      </c>
      <c r="J16" s="1">
        <v>-910.68031963267845</v>
      </c>
      <c r="K16" s="1">
        <v>0</v>
      </c>
      <c r="L16" s="13">
        <f t="shared" si="5"/>
        <v>910.68031963267822</v>
      </c>
      <c r="M16" s="1">
        <v>0</v>
      </c>
      <c r="N16" s="13">
        <f t="shared" si="0"/>
        <v>-2.2737367544323206E-13</v>
      </c>
      <c r="O16">
        <f t="shared" si="1"/>
        <v>0</v>
      </c>
      <c r="Q16" s="1">
        <v>4714.5336923654213</v>
      </c>
      <c r="S16" s="1">
        <v>694.40221568518132</v>
      </c>
      <c r="T16" s="1">
        <v>694.4</v>
      </c>
      <c r="U16" s="13">
        <f t="shared" si="2"/>
        <v>1260</v>
      </c>
      <c r="V16" s="13">
        <f t="shared" si="3"/>
        <v>1260.0022156851815</v>
      </c>
      <c r="W16" s="1">
        <v>2520</v>
      </c>
      <c r="X16">
        <f t="shared" si="4"/>
        <v>1260000</v>
      </c>
      <c r="Y16" s="17">
        <v>539057.18036732159</v>
      </c>
      <c r="Z16">
        <f>ABS(K16)*'Technology Parameters '!$B$4+ABS(L16)*'Technology Parameters '!$C$4+ABS(T16)*'Technology Parameters '!$E$4+ABS(U16)*'Technology Parameters '!$D$4</f>
        <v>6.5735206392653565</v>
      </c>
    </row>
    <row r="17" spans="6:26" x14ac:dyDescent="0.25">
      <c r="F17">
        <v>0.55681499787919964</v>
      </c>
      <c r="G17">
        <v>556.81499787919961</v>
      </c>
      <c r="H17">
        <v>16</v>
      </c>
      <c r="I17" s="1">
        <v>0.270067</v>
      </c>
      <c r="J17" s="1">
        <v>-930.26000212080044</v>
      </c>
      <c r="K17" s="1">
        <v>0</v>
      </c>
      <c r="L17" s="13">
        <f t="shared" si="5"/>
        <v>930.26000212079998</v>
      </c>
      <c r="M17" s="1">
        <v>0</v>
      </c>
      <c r="N17" s="13">
        <f t="shared" si="0"/>
        <v>-4.5474735088646412E-13</v>
      </c>
      <c r="O17">
        <f t="shared" si="1"/>
        <v>0</v>
      </c>
      <c r="Q17" s="1">
        <v>5644.7936944862213</v>
      </c>
      <c r="S17" s="1">
        <v>720.15703662181977</v>
      </c>
      <c r="T17" s="1">
        <v>0</v>
      </c>
      <c r="U17" s="13">
        <f t="shared" si="2"/>
        <v>-720.15703662181977</v>
      </c>
      <c r="V17" s="13">
        <f t="shared" si="3"/>
        <v>0</v>
      </c>
      <c r="W17" s="1">
        <v>1799.8429633781802</v>
      </c>
      <c r="X17">
        <f t="shared" si="4"/>
        <v>-720157.03662181972</v>
      </c>
      <c r="Y17" s="17">
        <v>556814.99787919957</v>
      </c>
      <c r="Z17">
        <f>ABS(K17)*'Technology Parameters '!$B$4+ABS(L17)*'Technology Parameters '!$C$4+ABS(T17)*'Technology Parameters '!$E$4+ABS(U17)*'Technology Parameters '!$D$4</f>
        <v>4.0209911141070593</v>
      </c>
    </row>
    <row r="18" spans="6:26" x14ac:dyDescent="0.25">
      <c r="F18">
        <v>0.54800932167300853</v>
      </c>
      <c r="G18">
        <v>548.00932167300857</v>
      </c>
      <c r="H18">
        <v>17</v>
      </c>
      <c r="I18" s="1">
        <v>0.27431899999999998</v>
      </c>
      <c r="J18" s="1">
        <v>-999.70317832699141</v>
      </c>
      <c r="K18" s="1">
        <v>0</v>
      </c>
      <c r="L18" s="13">
        <f t="shared" si="5"/>
        <v>999.70317832699129</v>
      </c>
      <c r="M18" s="1">
        <v>0</v>
      </c>
      <c r="N18" s="13">
        <f t="shared" si="0"/>
        <v>-1.1368683772161603E-13</v>
      </c>
      <c r="O18">
        <f t="shared" si="1"/>
        <v>0</v>
      </c>
      <c r="Q18" s="1">
        <v>6644.4968728132126</v>
      </c>
      <c r="S18" s="1">
        <v>765.23541167452811</v>
      </c>
      <c r="T18" s="1">
        <v>0</v>
      </c>
      <c r="U18" s="13">
        <f t="shared" si="2"/>
        <v>-765.23541167452822</v>
      </c>
      <c r="V18" s="13">
        <f t="shared" si="3"/>
        <v>0</v>
      </c>
      <c r="W18" s="1">
        <v>1034.607551703652</v>
      </c>
      <c r="X18">
        <f t="shared" si="4"/>
        <v>-765235.41167452827</v>
      </c>
      <c r="Y18" s="17">
        <v>548009.32167300861</v>
      </c>
      <c r="Z18">
        <f>ABS(K18)*'Technology Parameters '!$B$4+ABS(L18)*'Technology Parameters '!$C$4+ABS(T18)*'Technology Parameters '!$E$4+ABS(U18)*'Technology Parameters '!$D$4</f>
        <v>4.295112591677567</v>
      </c>
    </row>
    <row r="19" spans="6:26" x14ac:dyDescent="0.25">
      <c r="F19">
        <v>0.49771872584464877</v>
      </c>
      <c r="G19">
        <v>497.71872584464876</v>
      </c>
      <c r="H19">
        <v>18</v>
      </c>
      <c r="I19" s="1">
        <v>0.27111299999999999</v>
      </c>
      <c r="J19" s="1">
        <v>-114.51877415535122</v>
      </c>
      <c r="K19" s="1">
        <v>0</v>
      </c>
      <c r="L19" s="13">
        <f t="shared" si="5"/>
        <v>114.51877415535091</v>
      </c>
      <c r="M19" s="1">
        <v>0</v>
      </c>
      <c r="N19" s="13">
        <f t="shared" si="0"/>
        <v>-3.1263880373444408E-13</v>
      </c>
      <c r="O19">
        <f t="shared" si="1"/>
        <v>0</v>
      </c>
      <c r="Q19" s="1">
        <v>6759.0156469685635</v>
      </c>
      <c r="S19" s="1">
        <v>745.32370328848651</v>
      </c>
      <c r="T19" s="1">
        <v>0</v>
      </c>
      <c r="U19" s="13">
        <f t="shared" si="2"/>
        <v>-745.32370328848651</v>
      </c>
      <c r="V19" s="13">
        <f t="shared" si="3"/>
        <v>0</v>
      </c>
      <c r="W19" s="1">
        <v>289.28384841516549</v>
      </c>
      <c r="X19">
        <f t="shared" si="4"/>
        <v>-745323.70328848646</v>
      </c>
      <c r="Y19" s="17">
        <v>497718.72584464878</v>
      </c>
      <c r="Z19">
        <f>ABS(K19)*'Technology Parameters '!$B$4+ABS(L19)*'Technology Parameters '!$C$4+ABS(T19)*'Technology Parameters '!$E$4+ABS(U19)*'Technology Parameters '!$D$4</f>
        <v>2.4650086581761612</v>
      </c>
    </row>
    <row r="20" spans="6:26" x14ac:dyDescent="0.25">
      <c r="F20">
        <v>0.4171480062447061</v>
      </c>
      <c r="G20">
        <v>417.1480062447061</v>
      </c>
      <c r="H20">
        <v>19</v>
      </c>
      <c r="I20" s="1">
        <v>0.28212799999999999</v>
      </c>
      <c r="J20" s="1">
        <v>337.51675624470613</v>
      </c>
      <c r="K20" s="1">
        <v>-337.5</v>
      </c>
      <c r="L20" s="13">
        <f t="shared" si="5"/>
        <v>3.5303143613418797E-4</v>
      </c>
      <c r="M20" s="1">
        <v>0</v>
      </c>
      <c r="N20" s="13">
        <f t="shared" si="0"/>
        <v>1.7109276142264207E-2</v>
      </c>
      <c r="O20">
        <f t="shared" si="1"/>
        <v>-337500</v>
      </c>
      <c r="Q20" s="1">
        <v>6759.0159999999996</v>
      </c>
      <c r="S20" s="1">
        <v>475.87190082644696</v>
      </c>
      <c r="T20" s="1">
        <v>475.87190082644696</v>
      </c>
      <c r="U20" s="13">
        <f t="shared" si="2"/>
        <v>1260</v>
      </c>
      <c r="V20" s="13">
        <f t="shared" si="3"/>
        <v>1260</v>
      </c>
      <c r="W20" s="1">
        <v>1549.2838484151655</v>
      </c>
      <c r="X20">
        <f t="shared" si="4"/>
        <v>1260000</v>
      </c>
      <c r="Y20" s="17">
        <v>417148.00624470611</v>
      </c>
      <c r="Z20">
        <f>ABS(K20)*'Technology Parameters '!$B$4+ABS(L20)*'Technology Parameters '!$C$4+ABS(T20)*'Technology Parameters '!$E$4+ABS(U20)*'Technology Parameters '!$D$4</f>
        <v>4.8174713672198983</v>
      </c>
    </row>
    <row r="21" spans="6:26" x14ac:dyDescent="0.25">
      <c r="F21">
        <v>0.46563127859207776</v>
      </c>
      <c r="G21">
        <v>465.63127859207776</v>
      </c>
      <c r="H21">
        <v>20</v>
      </c>
      <c r="I21" s="1">
        <v>0.28089700000000001</v>
      </c>
      <c r="J21" s="1">
        <v>465.60002859207776</v>
      </c>
      <c r="K21" s="1">
        <v>-337.5</v>
      </c>
      <c r="L21" s="13">
        <f t="shared" si="5"/>
        <v>-128.1003530314365</v>
      </c>
      <c r="M21" s="1">
        <v>0</v>
      </c>
      <c r="N21" s="13">
        <f t="shared" si="0"/>
        <v>-3.2443935873516239E-4</v>
      </c>
      <c r="O21">
        <f t="shared" si="1"/>
        <v>-337500</v>
      </c>
      <c r="Q21" s="1">
        <v>6630.9156469685631</v>
      </c>
      <c r="S21" s="1">
        <v>601.45523415978028</v>
      </c>
      <c r="T21" s="1">
        <v>0</v>
      </c>
      <c r="U21" s="13">
        <f t="shared" si="2"/>
        <v>-601.45523415978028</v>
      </c>
      <c r="V21" s="13">
        <f t="shared" si="3"/>
        <v>0</v>
      </c>
      <c r="W21" s="1">
        <v>947.82861425538522</v>
      </c>
      <c r="X21">
        <f t="shared" si="4"/>
        <v>-601455.23415978032</v>
      </c>
      <c r="Y21" s="17">
        <v>465631.27859207778</v>
      </c>
      <c r="Z21">
        <f>ABS(K21)*'Technology Parameters '!$B$4+ABS(L21)*'Technology Parameters '!$C$4+ABS(T21)*'Technology Parameters '!$E$4+ABS(U21)*'Technology Parameters '!$D$4</f>
        <v>2.4318164085422138</v>
      </c>
    </row>
    <row r="22" spans="6:26" x14ac:dyDescent="0.25">
      <c r="F22">
        <v>0.51274202974724936</v>
      </c>
      <c r="G22">
        <v>512.74202974724938</v>
      </c>
      <c r="H22">
        <v>21</v>
      </c>
      <c r="I22" s="1">
        <v>0.27615600000000001</v>
      </c>
      <c r="J22" s="1">
        <v>512.74202974724938</v>
      </c>
      <c r="K22" s="1">
        <v>-337.5</v>
      </c>
      <c r="L22" s="13">
        <f t="shared" si="5"/>
        <v>-175.24202974724903</v>
      </c>
      <c r="M22" s="1">
        <v>0</v>
      </c>
      <c r="N22" s="13">
        <f t="shared" si="0"/>
        <v>3.4106051316484809E-13</v>
      </c>
      <c r="O22">
        <f t="shared" si="1"/>
        <v>-337500</v>
      </c>
      <c r="Q22" s="1">
        <v>6455.6736172213141</v>
      </c>
      <c r="S22" s="1">
        <v>491.00964187327816</v>
      </c>
      <c r="T22" s="1">
        <v>0</v>
      </c>
      <c r="U22" s="13">
        <f t="shared" si="2"/>
        <v>-491.00964187327816</v>
      </c>
      <c r="V22" s="13">
        <f t="shared" si="3"/>
        <v>0</v>
      </c>
      <c r="W22" s="1">
        <v>456.81897238210706</v>
      </c>
      <c r="X22">
        <f t="shared" si="4"/>
        <v>-491009.64187327813</v>
      </c>
      <c r="Y22" s="17">
        <v>512742.02974724933</v>
      </c>
      <c r="Z22">
        <f>ABS(K22)*'Technology Parameters '!$B$4+ABS(L22)*'Technology Parameters '!$C$4+ABS(T22)*'Technology Parameters '!$E$4+ABS(U22)*'Technology Parameters '!$D$4</f>
        <v>2.1947629851143327</v>
      </c>
    </row>
    <row r="23" spans="6:26" x14ac:dyDescent="0.25">
      <c r="F23">
        <v>0.50874604423543901</v>
      </c>
      <c r="G23">
        <v>508.74604423543906</v>
      </c>
      <c r="H23">
        <v>22</v>
      </c>
      <c r="I23" s="1">
        <v>0.27117200000000002</v>
      </c>
      <c r="J23" s="1">
        <v>508.74604423543906</v>
      </c>
      <c r="K23" s="1">
        <v>-337.5</v>
      </c>
      <c r="L23" s="13">
        <f t="shared" si="5"/>
        <v>-171.24604423543951</v>
      </c>
      <c r="M23" s="1">
        <v>0</v>
      </c>
      <c r="N23" s="13">
        <f t="shared" si="0"/>
        <v>-4.5474735088646412E-13</v>
      </c>
      <c r="O23">
        <f t="shared" si="1"/>
        <v>-337500</v>
      </c>
      <c r="Q23" s="1">
        <v>6284.4275729858746</v>
      </c>
      <c r="S23" s="1">
        <v>296.34297520661147</v>
      </c>
      <c r="T23" s="1">
        <v>0</v>
      </c>
      <c r="U23" s="13">
        <f t="shared" si="2"/>
        <v>-296.34297520661147</v>
      </c>
      <c r="V23" s="13">
        <f t="shared" si="3"/>
        <v>0</v>
      </c>
      <c r="W23" s="1">
        <v>160.47599717549559</v>
      </c>
      <c r="X23">
        <f t="shared" si="4"/>
        <v>-296342.97520661145</v>
      </c>
      <c r="Y23" s="17">
        <v>508746.04423543904</v>
      </c>
      <c r="Z23">
        <f>ABS(K23)*'Technology Parameters '!$B$4+ABS(L23)*'Technology Parameters '!$C$4+ABS(T23)*'Technology Parameters '!$E$4+ABS(U23)*'Technology Parameters '!$D$4</f>
        <v>1.6027710140907134</v>
      </c>
    </row>
    <row r="24" spans="6:26" x14ac:dyDescent="0.25">
      <c r="F24">
        <v>0.51054919361575934</v>
      </c>
      <c r="G24">
        <v>510.54919361575929</v>
      </c>
      <c r="H24">
        <v>23</v>
      </c>
      <c r="I24" s="1">
        <v>0.26649</v>
      </c>
      <c r="J24" s="1">
        <v>510.54919361575929</v>
      </c>
      <c r="K24" s="1">
        <v>-337.5</v>
      </c>
      <c r="L24" s="13">
        <f t="shared" si="5"/>
        <v>-173.04919361575958</v>
      </c>
      <c r="M24" s="1">
        <v>0</v>
      </c>
      <c r="N24" s="13">
        <f t="shared" si="0"/>
        <v>-2.8421709430404007E-13</v>
      </c>
      <c r="O24">
        <f t="shared" si="1"/>
        <v>-337500</v>
      </c>
      <c r="Q24" s="1">
        <v>6111.378379370115</v>
      </c>
      <c r="S24" s="1">
        <v>151.92630853994481</v>
      </c>
      <c r="T24" s="1">
        <v>0</v>
      </c>
      <c r="U24" s="13">
        <f t="shared" si="2"/>
        <v>-151.92630853994481</v>
      </c>
      <c r="V24" s="13">
        <f t="shared" si="3"/>
        <v>0</v>
      </c>
      <c r="W24" s="1">
        <v>8.5496886355507797</v>
      </c>
      <c r="X24">
        <f t="shared" si="4"/>
        <v>-151926.30853994482</v>
      </c>
      <c r="Y24" s="17">
        <v>510549.19361575932</v>
      </c>
      <c r="Z24">
        <f>ABS(K24)*'Technology Parameters '!$B$4+ABS(L24)*'Technology Parameters '!$C$4+ABS(T24)*'Technology Parameters '!$E$4+ABS(U24)*'Technology Parameters '!$D$4</f>
        <v>1.1731273128513537</v>
      </c>
    </row>
    <row r="25" spans="6:26" x14ac:dyDescent="0.25">
      <c r="F25">
        <v>0.5007014805998985</v>
      </c>
      <c r="G25">
        <v>500.7014805998985</v>
      </c>
      <c r="H25">
        <v>24</v>
      </c>
      <c r="I25" s="1">
        <v>0.26110800000000001</v>
      </c>
      <c r="J25" s="1">
        <v>500.7014805998985</v>
      </c>
      <c r="K25" s="1">
        <v>212.625</v>
      </c>
      <c r="L25" s="13">
        <f t="shared" si="5"/>
        <v>-713.32648059989879</v>
      </c>
      <c r="M25" s="1">
        <v>0</v>
      </c>
      <c r="N25" s="13">
        <f t="shared" si="0"/>
        <v>-2.2737367544323206E-13</v>
      </c>
      <c r="O25">
        <f t="shared" si="1"/>
        <v>212625</v>
      </c>
      <c r="Q25" s="1">
        <v>5398.0518987702162</v>
      </c>
      <c r="S25" s="1">
        <v>32.004820936639099</v>
      </c>
      <c r="T25" s="1">
        <v>23.4</v>
      </c>
      <c r="U25" s="13">
        <f t="shared" si="2"/>
        <v>-8.5496886355507797</v>
      </c>
      <c r="V25" s="13">
        <f t="shared" si="3"/>
        <v>5.5132301088320901E-2</v>
      </c>
      <c r="W25" s="1">
        <v>0</v>
      </c>
      <c r="X25">
        <f t="shared" si="4"/>
        <v>-8549.6886355507795</v>
      </c>
      <c r="Y25" s="17">
        <v>500701.4805998985</v>
      </c>
      <c r="Z25">
        <f>ABS(K25)*'Technology Parameters '!$B$4+ABS(L25)*'Technology Parameters '!$C$4+ABS(T25)*'Technology Parameters '!$E$4+ABS(U25)*'Technology Parameters '!$D$4</f>
        <v>1.7189495271064499</v>
      </c>
    </row>
    <row r="26" spans="6:26" x14ac:dyDescent="0.25">
      <c r="Z26" s="14">
        <f>SUM(Z2:Z25)</f>
        <v>92.986434210539215</v>
      </c>
    </row>
    <row r="27" spans="6:26" x14ac:dyDescent="0.25">
      <c r="J27" t="s">
        <v>52</v>
      </c>
      <c r="K27" t="s">
        <v>51</v>
      </c>
    </row>
    <row r="28" spans="6:26" x14ac:dyDescent="0.25">
      <c r="J28" t="s">
        <v>53</v>
      </c>
      <c r="K28" t="s">
        <v>54</v>
      </c>
    </row>
  </sheetData>
  <conditionalFormatting sqref="N2:N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870A-05BE-4B09-8F2B-B94F27A993FD}">
  <dimension ref="F1:BC26"/>
  <sheetViews>
    <sheetView topLeftCell="C1" zoomScaleNormal="100" workbookViewId="0">
      <selection activeCell="W26" sqref="W26"/>
    </sheetView>
  </sheetViews>
  <sheetFormatPr defaultRowHeight="15" x14ac:dyDescent="0.25"/>
  <cols>
    <col min="7" max="7" width="13.85546875" bestFit="1" customWidth="1"/>
    <col min="8" max="9" width="9.42578125" bestFit="1" customWidth="1"/>
    <col min="10" max="10" width="17.140625" bestFit="1" customWidth="1"/>
    <col min="11" max="11" width="12.7109375" bestFit="1" customWidth="1"/>
    <col min="12" max="12" width="9.42578125" bestFit="1" customWidth="1"/>
    <col min="13" max="13" width="13.85546875" bestFit="1" customWidth="1"/>
    <col min="14" max="14" width="13.5703125" bestFit="1" customWidth="1"/>
    <col min="15" max="15" width="14.85546875" bestFit="1" customWidth="1"/>
    <col min="17" max="17" width="12" bestFit="1" customWidth="1"/>
    <col min="18" max="18" width="9.42578125" bestFit="1" customWidth="1"/>
    <col min="19" max="19" width="14.5703125" style="13" bestFit="1" customWidth="1"/>
    <col min="20" max="20" width="14.85546875" bestFit="1" customWidth="1"/>
    <col min="21" max="24" width="9.42578125" bestFit="1" customWidth="1"/>
    <col min="25" max="27" width="9.28515625" bestFit="1" customWidth="1"/>
  </cols>
  <sheetData>
    <row r="1" spans="6:55" x14ac:dyDescent="0.25">
      <c r="F1" t="s">
        <v>29</v>
      </c>
      <c r="G1" s="14" t="s">
        <v>57</v>
      </c>
      <c r="I1" s="1" t="s">
        <v>24</v>
      </c>
      <c r="J1" s="1" t="s">
        <v>26</v>
      </c>
      <c r="K1" s="1" t="s">
        <v>25</v>
      </c>
      <c r="L1" s="1" t="s">
        <v>59</v>
      </c>
      <c r="M1" s="16" t="s">
        <v>55</v>
      </c>
      <c r="N1" s="1" t="s">
        <v>61</v>
      </c>
      <c r="O1" s="1" t="s">
        <v>46</v>
      </c>
      <c r="Q1" s="1" t="s">
        <v>62</v>
      </c>
      <c r="R1" s="1" t="s">
        <v>63</v>
      </c>
      <c r="S1" s="16" t="s">
        <v>1</v>
      </c>
      <c r="T1" s="1" t="s">
        <v>46</v>
      </c>
      <c r="U1" s="1" t="s">
        <v>48</v>
      </c>
      <c r="V1" s="1" t="s">
        <v>47</v>
      </c>
      <c r="W1" s="1" t="s">
        <v>118</v>
      </c>
      <c r="AG1">
        <v>0.25714300000000001</v>
      </c>
      <c r="AH1">
        <v>0.25442999999999999</v>
      </c>
      <c r="AI1">
        <v>0.25297999999999998</v>
      </c>
      <c r="AJ1">
        <v>0.25274999999999997</v>
      </c>
      <c r="AK1">
        <v>0.25497999999999998</v>
      </c>
      <c r="AL1">
        <v>0.20627100000000001</v>
      </c>
      <c r="AM1">
        <v>0.269783</v>
      </c>
      <c r="AN1">
        <v>0.27707500000000002</v>
      </c>
      <c r="AO1">
        <v>0.27672799999999997</v>
      </c>
      <c r="AP1">
        <v>0.27678199999999997</v>
      </c>
      <c r="AQ1">
        <v>0.270368</v>
      </c>
      <c r="AR1">
        <v>0.266897</v>
      </c>
      <c r="AS1">
        <v>0.26474700000000001</v>
      </c>
      <c r="AT1">
        <v>0.26649400000000001</v>
      </c>
      <c r="AU1">
        <v>0.270067</v>
      </c>
      <c r="AV1">
        <v>0.27431899999999998</v>
      </c>
      <c r="AW1">
        <v>0.27111299999999999</v>
      </c>
      <c r="AX1">
        <v>0.28212799999999999</v>
      </c>
      <c r="AY1">
        <v>0.28089700000000001</v>
      </c>
      <c r="AZ1">
        <v>0.27615600000000001</v>
      </c>
      <c r="BA1">
        <v>0.27117200000000002</v>
      </c>
      <c r="BB1">
        <v>6.6489999999999994E-2</v>
      </c>
      <c r="BC1">
        <v>6.1108000000000003E-2</v>
      </c>
    </row>
    <row r="2" spans="6:55" x14ac:dyDescent="0.25">
      <c r="F2">
        <v>0.39173572530890799</v>
      </c>
      <c r="G2">
        <v>391.735725308908</v>
      </c>
      <c r="H2">
        <v>1</v>
      </c>
      <c r="I2" s="1">
        <v>0.26038899999999998</v>
      </c>
      <c r="J2" s="1">
        <v>0.53</v>
      </c>
      <c r="K2" s="1">
        <v>391.73572530890755</v>
      </c>
      <c r="L2" s="1">
        <v>337.5</v>
      </c>
      <c r="M2">
        <v>0</v>
      </c>
      <c r="N2" s="1">
        <v>0</v>
      </c>
      <c r="O2">
        <f>SUM(K2:N2)</f>
        <v>729.2357253089076</v>
      </c>
      <c r="Q2">
        <v>62.750000000000007</v>
      </c>
      <c r="R2" s="1">
        <v>62.750000000000007</v>
      </c>
      <c r="S2" s="13">
        <v>0</v>
      </c>
      <c r="T2">
        <f>Q2-R2+S2</f>
        <v>0</v>
      </c>
      <c r="U2" s="1">
        <v>0</v>
      </c>
      <c r="V2" s="1">
        <v>0</v>
      </c>
      <c r="W2">
        <f>ABS(L2)*'Technology Parameters '!$B$4+ABS(M2)*'Technology Parameters '!$C$4+ABS(R2)*'Technology Parameters '!$E$4+ABS(S2)*'Technology Parameters '!$D$4</f>
        <v>0.45910000000000006</v>
      </c>
    </row>
    <row r="3" spans="6:55" x14ac:dyDescent="0.25">
      <c r="F3">
        <v>0.39512728829926813</v>
      </c>
      <c r="G3">
        <v>395.12728829926812</v>
      </c>
      <c r="H3">
        <v>2</v>
      </c>
      <c r="I3" s="1">
        <v>0.25714300000000001</v>
      </c>
      <c r="J3" s="1">
        <v>0.53</v>
      </c>
      <c r="K3" s="1">
        <v>395.12728829926812</v>
      </c>
      <c r="L3" s="1">
        <v>337.5</v>
      </c>
      <c r="M3">
        <f t="shared" ref="M3:M25" si="0">U3-U2</f>
        <v>0</v>
      </c>
      <c r="N3" s="1">
        <v>0</v>
      </c>
      <c r="O3">
        <f t="shared" ref="O3:O25" si="1">SUM(K3:N3)</f>
        <v>732.62728829926812</v>
      </c>
      <c r="Q3">
        <v>62.750000000000007</v>
      </c>
      <c r="R3" s="1">
        <v>62.750000000000007</v>
      </c>
      <c r="S3" s="13">
        <f>V3-V2</f>
        <v>0</v>
      </c>
      <c r="T3">
        <f t="shared" ref="T3:T25" si="2">Q3-R3+S3</f>
        <v>0</v>
      </c>
      <c r="U3" s="1">
        <v>0</v>
      </c>
      <c r="V3" s="1">
        <v>0</v>
      </c>
      <c r="W3">
        <f>ABS(L3)*'Technology Parameters '!$B$4+ABS(M3)*'Technology Parameters '!$C$4+ABS(R3)*'Technology Parameters '!$E$4+ABS(S3)*'Technology Parameters '!$D$4</f>
        <v>0.45910000000000006</v>
      </c>
    </row>
    <row r="4" spans="6:55" x14ac:dyDescent="0.25">
      <c r="F4">
        <v>0.38683877182354337</v>
      </c>
      <c r="G4">
        <v>386.83877182354337</v>
      </c>
      <c r="H4">
        <v>3</v>
      </c>
      <c r="I4" s="1">
        <v>0.25442999999999999</v>
      </c>
      <c r="J4" s="1">
        <v>0.53</v>
      </c>
      <c r="K4" s="1">
        <v>386.83877182354337</v>
      </c>
      <c r="L4" s="1">
        <v>337.5</v>
      </c>
      <c r="M4">
        <f t="shared" si="0"/>
        <v>0</v>
      </c>
      <c r="N4" s="1">
        <v>0</v>
      </c>
      <c r="O4">
        <f t="shared" si="1"/>
        <v>724.33877182354331</v>
      </c>
      <c r="Q4">
        <v>62.750000000000007</v>
      </c>
      <c r="R4" s="1">
        <v>62.750000000000007</v>
      </c>
      <c r="S4" s="13">
        <f t="shared" ref="S4:S25" si="3">V4-V3</f>
        <v>0</v>
      </c>
      <c r="T4">
        <f t="shared" si="2"/>
        <v>0</v>
      </c>
      <c r="U4" s="1">
        <v>0</v>
      </c>
      <c r="V4" s="1">
        <v>0</v>
      </c>
      <c r="W4">
        <f>ABS(L4)*'Technology Parameters '!$B$4+ABS(M4)*'Technology Parameters '!$C$4+ABS(R4)*'Technology Parameters '!$E$4+ABS(S4)*'Technology Parameters '!$D$4</f>
        <v>0.45910000000000006</v>
      </c>
    </row>
    <row r="5" spans="6:55" x14ac:dyDescent="0.25">
      <c r="F5">
        <v>0.4003276007992681</v>
      </c>
      <c r="G5">
        <v>400.32760079926811</v>
      </c>
      <c r="H5">
        <v>4</v>
      </c>
      <c r="I5" s="1">
        <v>0.25297999999999998</v>
      </c>
      <c r="J5" s="1">
        <v>0.53</v>
      </c>
      <c r="K5" s="1">
        <v>400.32760079926811</v>
      </c>
      <c r="L5" s="1">
        <v>337.5</v>
      </c>
      <c r="M5">
        <f t="shared" si="0"/>
        <v>0</v>
      </c>
      <c r="N5" s="1">
        <v>0</v>
      </c>
      <c r="O5">
        <f t="shared" si="1"/>
        <v>737.82760079926811</v>
      </c>
      <c r="Q5">
        <v>62.750000000000007</v>
      </c>
      <c r="R5" s="1">
        <v>62.750000000000007</v>
      </c>
      <c r="S5" s="13">
        <f t="shared" si="3"/>
        <v>0</v>
      </c>
      <c r="T5">
        <f t="shared" si="2"/>
        <v>0</v>
      </c>
      <c r="U5" s="1">
        <v>0</v>
      </c>
      <c r="V5" s="1">
        <v>0</v>
      </c>
      <c r="W5">
        <f>ABS(L5)*'Technology Parameters '!$B$4+ABS(M5)*'Technology Parameters '!$C$4+ABS(R5)*'Technology Parameters '!$E$4+ABS(S5)*'Technology Parameters '!$D$4</f>
        <v>0.45910000000000006</v>
      </c>
    </row>
    <row r="6" spans="6:55" x14ac:dyDescent="0.25">
      <c r="F6">
        <v>0.39828908432354337</v>
      </c>
      <c r="G6">
        <v>398.28908432354336</v>
      </c>
      <c r="H6">
        <v>5</v>
      </c>
      <c r="I6" s="1">
        <v>0.25274999999999997</v>
      </c>
      <c r="J6" s="1">
        <v>0.53</v>
      </c>
      <c r="K6" s="1">
        <v>398.28908432354336</v>
      </c>
      <c r="L6" s="1">
        <v>337.5</v>
      </c>
      <c r="M6">
        <f t="shared" si="0"/>
        <v>6806.48</v>
      </c>
      <c r="N6" s="1">
        <v>0</v>
      </c>
      <c r="O6">
        <f t="shared" si="1"/>
        <v>7542.2690843235432</v>
      </c>
      <c r="Q6">
        <v>62.750000000000007</v>
      </c>
      <c r="R6" s="1">
        <v>62.750000000000007</v>
      </c>
      <c r="S6" s="13">
        <f t="shared" si="3"/>
        <v>0</v>
      </c>
      <c r="T6">
        <f t="shared" si="2"/>
        <v>0</v>
      </c>
      <c r="U6" s="1">
        <v>6806.48</v>
      </c>
      <c r="V6" s="1">
        <v>0</v>
      </c>
      <c r="W6">
        <f>ABS(L6)*'Technology Parameters '!$B$4+ABS(M6)*'Technology Parameters '!$C$4+ABS(R6)*'Technology Parameters '!$E$4+ABS(S6)*'Technology Parameters '!$D$4</f>
        <v>14.072059999999999</v>
      </c>
    </row>
    <row r="7" spans="6:55" x14ac:dyDescent="0.25">
      <c r="F7">
        <v>0.48574616169024515</v>
      </c>
      <c r="G7">
        <v>485.74616169024517</v>
      </c>
      <c r="H7">
        <v>6</v>
      </c>
      <c r="I7" s="1">
        <v>0.25497999999999998</v>
      </c>
      <c r="J7" s="1">
        <v>0.53</v>
      </c>
      <c r="K7" s="1">
        <v>485.74616169024517</v>
      </c>
      <c r="L7" s="1">
        <v>337.5</v>
      </c>
      <c r="M7">
        <f t="shared" si="0"/>
        <v>0</v>
      </c>
      <c r="N7" s="1">
        <v>823.24616169024512</v>
      </c>
      <c r="O7">
        <f>SUM(K7:N7)</f>
        <v>1646.4923233804902</v>
      </c>
      <c r="Q7">
        <v>89.092975206611584</v>
      </c>
      <c r="R7" s="1">
        <v>0</v>
      </c>
      <c r="S7" s="13">
        <f>V7-V6</f>
        <v>5740</v>
      </c>
      <c r="T7">
        <f>Q7-R7+S7</f>
        <v>5829.0929752066113</v>
      </c>
      <c r="U7" s="1">
        <v>6806.48</v>
      </c>
      <c r="V7" s="1">
        <v>5740</v>
      </c>
      <c r="W7">
        <f>ABS(L7)*'Technology Parameters '!$B$4+ABS(M7)*'Technology Parameters '!$C$4+ABS(R7)*'Technology Parameters '!$E$4+ABS(S7)*'Technology Parameters '!$D$4</f>
        <v>17.591249999999999</v>
      </c>
    </row>
    <row r="8" spans="6:55" x14ac:dyDescent="0.25">
      <c r="F8">
        <v>0.48765694417347405</v>
      </c>
      <c r="G8">
        <v>487.65694417347407</v>
      </c>
      <c r="H8">
        <v>7</v>
      </c>
      <c r="I8" s="1">
        <v>0.26271</v>
      </c>
      <c r="J8" s="1">
        <v>0.53</v>
      </c>
      <c r="K8" s="1">
        <v>487.65694417347407</v>
      </c>
      <c r="L8" s="1">
        <v>337.5</v>
      </c>
      <c r="M8">
        <f t="shared" si="0"/>
        <v>0</v>
      </c>
      <c r="N8" s="1">
        <v>0</v>
      </c>
      <c r="O8">
        <f t="shared" si="1"/>
        <v>825.15694417347413</v>
      </c>
      <c r="Q8">
        <v>608.33334516176456</v>
      </c>
      <c r="R8" s="1">
        <v>0</v>
      </c>
      <c r="S8" s="13">
        <f t="shared" si="3"/>
        <v>-608.33334516176456</v>
      </c>
      <c r="T8">
        <f t="shared" si="2"/>
        <v>0</v>
      </c>
      <c r="U8" s="1">
        <v>6806.48</v>
      </c>
      <c r="V8" s="1">
        <v>5131.6666548382354</v>
      </c>
      <c r="W8">
        <f>ABS(L8)*'Technology Parameters '!$B$4+ABS(M8)*'Technology Parameters '!$C$4+ABS(R8)*'Technology Parameters '!$E$4+ABS(S8)*'Technology Parameters '!$D$4</f>
        <v>2.1962500354852939</v>
      </c>
    </row>
    <row r="9" spans="6:55" x14ac:dyDescent="0.25">
      <c r="F9">
        <v>0.51576103260860862</v>
      </c>
      <c r="G9">
        <v>515.76103260860862</v>
      </c>
      <c r="H9">
        <v>8</v>
      </c>
      <c r="I9" s="1">
        <v>0.269783</v>
      </c>
      <c r="J9" s="1">
        <v>0.53</v>
      </c>
      <c r="K9" s="1">
        <v>514.64853260860855</v>
      </c>
      <c r="L9" s="1">
        <v>-337.5</v>
      </c>
      <c r="M9">
        <f t="shared" si="0"/>
        <v>-177.14853260860855</v>
      </c>
      <c r="N9" s="1">
        <v>0</v>
      </c>
      <c r="O9">
        <f t="shared" si="1"/>
        <v>0</v>
      </c>
      <c r="Q9">
        <v>1032.7789374482654</v>
      </c>
      <c r="R9" s="1">
        <v>0</v>
      </c>
      <c r="S9" s="13">
        <f t="shared" si="3"/>
        <v>-1032.7789374482654</v>
      </c>
      <c r="T9">
        <f t="shared" si="2"/>
        <v>0</v>
      </c>
      <c r="U9" s="1">
        <v>6629.331467391391</v>
      </c>
      <c r="V9" s="1">
        <v>4098.88771738997</v>
      </c>
      <c r="W9">
        <f>ABS(L9)*'Technology Parameters '!$B$4+ABS(M9)*'Technology Parameters '!$C$4+ABS(R9)*'Technology Parameters '!$E$4+ABS(S9)*'Technology Parameters '!$D$4</f>
        <v>3.8238838775620136</v>
      </c>
    </row>
    <row r="10" spans="6:55" x14ac:dyDescent="0.25">
      <c r="F10">
        <v>0.55994591599036869</v>
      </c>
      <c r="G10">
        <v>559.94591599036869</v>
      </c>
      <c r="H10">
        <v>9</v>
      </c>
      <c r="I10" s="1">
        <v>0.27707500000000002</v>
      </c>
      <c r="J10" s="1">
        <v>0.53</v>
      </c>
      <c r="K10" s="1">
        <v>272.86466599036868</v>
      </c>
      <c r="L10" s="1">
        <v>-337.5</v>
      </c>
      <c r="M10">
        <f t="shared" si="0"/>
        <v>64.635334009631151</v>
      </c>
      <c r="N10" s="1">
        <v>0</v>
      </c>
      <c r="O10">
        <f t="shared" si="1"/>
        <v>-1.7053025658242404E-13</v>
      </c>
      <c r="Q10">
        <v>1047.9166784950978</v>
      </c>
      <c r="R10" s="1">
        <v>0</v>
      </c>
      <c r="S10" s="13">
        <f t="shared" si="3"/>
        <v>-1047.9166784950976</v>
      </c>
      <c r="T10">
        <f t="shared" si="2"/>
        <v>0</v>
      </c>
      <c r="U10" s="1">
        <v>6693.9668014010222</v>
      </c>
      <c r="V10" s="1">
        <v>3050.9710388948724</v>
      </c>
      <c r="W10">
        <f>ABS(L10)*'Technology Parameters '!$B$4+ABS(M10)*'Technology Parameters '!$C$4+ABS(R10)*'Technology Parameters '!$E$4+ABS(S10)*'Technology Parameters '!$D$4</f>
        <v>3.6442707035045552</v>
      </c>
    </row>
    <row r="11" spans="6:55" x14ac:dyDescent="0.25">
      <c r="F11">
        <v>0.5719274888872673</v>
      </c>
      <c r="G11">
        <v>571.92748888726726</v>
      </c>
      <c r="H11">
        <v>10</v>
      </c>
      <c r="I11" s="1">
        <v>0.27672799999999997</v>
      </c>
      <c r="J11" s="1">
        <v>0.53</v>
      </c>
      <c r="K11" s="1">
        <v>-477.49126111273267</v>
      </c>
      <c r="L11" s="1">
        <v>-212.625</v>
      </c>
      <c r="M11">
        <f t="shared" si="0"/>
        <v>-825.96680140102217</v>
      </c>
      <c r="N11" s="1">
        <v>690.11599999999999</v>
      </c>
      <c r="O11">
        <f t="shared" si="1"/>
        <v>-825.96706251375485</v>
      </c>
      <c r="Q11">
        <v>857.7355490185148</v>
      </c>
      <c r="R11" s="1">
        <v>0</v>
      </c>
      <c r="S11" s="13">
        <f t="shared" si="3"/>
        <v>-857.73554901851458</v>
      </c>
      <c r="T11">
        <f t="shared" si="2"/>
        <v>0</v>
      </c>
      <c r="U11" s="1">
        <v>5868</v>
      </c>
      <c r="V11" s="1">
        <v>2193.2354898763579</v>
      </c>
      <c r="W11">
        <f>ABS(L11)*'Technology Parameters '!$B$4+ABS(M11)*'Technology Parameters '!$C$4+ABS(R11)*'Technology Parameters '!$E$4+ABS(S11)*'Technology Parameters '!$D$4</f>
        <v>4.4590277498575883</v>
      </c>
    </row>
    <row r="12" spans="6:55" x14ac:dyDescent="0.25">
      <c r="F12">
        <v>0.54497719768498487</v>
      </c>
      <c r="G12">
        <v>544.97719768498484</v>
      </c>
      <c r="H12">
        <v>11</v>
      </c>
      <c r="I12" s="1">
        <v>0.27678199999999997</v>
      </c>
      <c r="J12" s="1">
        <v>0.53</v>
      </c>
      <c r="K12" s="1">
        <v>-1103.960302315015</v>
      </c>
      <c r="L12" s="1">
        <v>0</v>
      </c>
      <c r="M12">
        <f t="shared" si="0"/>
        <v>0</v>
      </c>
      <c r="N12">
        <v>1794.076302315015</v>
      </c>
      <c r="O12">
        <f t="shared" si="1"/>
        <v>690.11599999999999</v>
      </c>
      <c r="Q12">
        <v>744.06406141520824</v>
      </c>
      <c r="R12" s="1">
        <v>0</v>
      </c>
      <c r="S12" s="13">
        <f t="shared" si="3"/>
        <v>-744.06406141520824</v>
      </c>
      <c r="T12">
        <f t="shared" si="2"/>
        <v>0</v>
      </c>
      <c r="U12" s="1">
        <v>5868</v>
      </c>
      <c r="V12" s="1">
        <v>1449.1714284611496</v>
      </c>
      <c r="W12">
        <f>ABS(L12)*'Technology Parameters '!$B$4+ABS(M12)*'Technology Parameters '!$C$4+ABS(R12)*'Technology Parameters '!$E$4+ABS(S12)*'Technology Parameters '!$D$4</f>
        <v>2.2321921842456249</v>
      </c>
    </row>
    <row r="13" spans="6:55" x14ac:dyDescent="0.25">
      <c r="F13">
        <v>0.50504241234859459</v>
      </c>
      <c r="G13">
        <v>505.04241234859455</v>
      </c>
      <c r="H13">
        <v>12</v>
      </c>
      <c r="I13" s="1">
        <v>0.270368</v>
      </c>
      <c r="J13" s="1">
        <v>0.53</v>
      </c>
      <c r="K13" s="1">
        <v>-725.24508765140547</v>
      </c>
      <c r="L13" s="1">
        <v>0</v>
      </c>
      <c r="M13">
        <f t="shared" si="0"/>
        <v>0</v>
      </c>
      <c r="N13" s="1">
        <v>2519.3213899664206</v>
      </c>
      <c r="O13">
        <f t="shared" si="1"/>
        <v>1794.0763023150153</v>
      </c>
      <c r="Q13">
        <v>763.97576980125007</v>
      </c>
      <c r="R13" s="1">
        <v>0</v>
      </c>
      <c r="S13" s="13">
        <f t="shared" si="3"/>
        <v>-763.97576980125007</v>
      </c>
      <c r="T13">
        <f t="shared" si="2"/>
        <v>0</v>
      </c>
      <c r="U13" s="1">
        <v>5868</v>
      </c>
      <c r="V13" s="1">
        <v>685.19565865989955</v>
      </c>
      <c r="W13">
        <f>ABS(L13)*'Technology Parameters '!$B$4+ABS(M13)*'Technology Parameters '!$C$4+ABS(R13)*'Technology Parameters '!$E$4+ABS(S13)*'Technology Parameters '!$D$4</f>
        <v>2.2919273094037504</v>
      </c>
    </row>
    <row r="14" spans="6:55" x14ac:dyDescent="0.25">
      <c r="F14">
        <v>0.49751284905450693</v>
      </c>
      <c r="G14">
        <v>497.51284905450694</v>
      </c>
      <c r="H14">
        <v>13</v>
      </c>
      <c r="I14" s="1">
        <v>0.266897</v>
      </c>
      <c r="J14" s="1">
        <v>0.53</v>
      </c>
      <c r="K14" s="1">
        <v>-860.68715094549304</v>
      </c>
      <c r="L14" s="1">
        <v>0</v>
      </c>
      <c r="M14">
        <f t="shared" si="0"/>
        <v>0</v>
      </c>
      <c r="N14" s="1">
        <v>3380.0085409119138</v>
      </c>
      <c r="O14">
        <f t="shared" si="1"/>
        <v>2519.3213899664206</v>
      </c>
      <c r="Q14">
        <v>718.98072808187499</v>
      </c>
      <c r="R14" s="1">
        <v>33.799999999999997</v>
      </c>
      <c r="S14" s="13">
        <f t="shared" si="3"/>
        <v>-685.19565865989955</v>
      </c>
      <c r="T14">
        <f t="shared" si="2"/>
        <v>-1.4930578024518582E-2</v>
      </c>
      <c r="U14" s="1">
        <v>5868</v>
      </c>
      <c r="V14" s="1">
        <v>0</v>
      </c>
      <c r="W14">
        <f>ABS(L14)*'Technology Parameters '!$B$4+ABS(M14)*'Technology Parameters '!$C$4+ABS(R14)*'Technology Parameters '!$E$4+ABS(S14)*'Technology Parameters '!$D$4</f>
        <v>2.1029069759796988</v>
      </c>
    </row>
    <row r="15" spans="6:55" x14ac:dyDescent="0.25">
      <c r="F15">
        <v>0.50746141817917079</v>
      </c>
      <c r="G15">
        <v>507.46141817917083</v>
      </c>
      <c r="H15">
        <v>14</v>
      </c>
      <c r="I15" s="1">
        <v>0.26474700000000001</v>
      </c>
      <c r="J15" s="1">
        <v>0.53</v>
      </c>
      <c r="K15" s="1">
        <v>-423.8448318208292</v>
      </c>
      <c r="L15" s="1">
        <v>0</v>
      </c>
      <c r="M15">
        <f t="shared" si="0"/>
        <v>0</v>
      </c>
      <c r="N15" s="1">
        <v>3803.8533727327431</v>
      </c>
      <c r="O15">
        <f t="shared" si="1"/>
        <v>3380.0085409119138</v>
      </c>
      <c r="Q15">
        <v>719.56888235184806</v>
      </c>
      <c r="R15" s="1">
        <v>719.56</v>
      </c>
      <c r="S15" s="13">
        <f t="shared" si="3"/>
        <v>1260</v>
      </c>
      <c r="T15">
        <f t="shared" si="2"/>
        <v>1260.0088823518481</v>
      </c>
      <c r="U15" s="1">
        <v>5868</v>
      </c>
      <c r="V15" s="1">
        <v>1260</v>
      </c>
      <c r="W15">
        <f>ABS(L15)*'Technology Parameters '!$B$4+ABS(M15)*'Technology Parameters '!$C$4+ABS(R15)*'Technology Parameters '!$E$4+ABS(S15)*'Technology Parameters '!$D$4</f>
        <v>4.7873840000000003</v>
      </c>
    </row>
    <row r="16" spans="6:55" x14ac:dyDescent="0.25">
      <c r="F16">
        <v>0.53905718036732164</v>
      </c>
      <c r="G16">
        <v>539.05718036732162</v>
      </c>
      <c r="H16">
        <v>15</v>
      </c>
      <c r="I16" s="1">
        <v>0.26649400000000001</v>
      </c>
      <c r="J16" s="1">
        <v>0.53</v>
      </c>
      <c r="K16" s="1">
        <v>-910.68031963267845</v>
      </c>
      <c r="L16" s="1">
        <v>0</v>
      </c>
      <c r="M16">
        <f t="shared" si="0"/>
        <v>0</v>
      </c>
      <c r="N16" s="1">
        <v>4714.5336923654213</v>
      </c>
      <c r="O16">
        <f t="shared" si="1"/>
        <v>3803.8533727327431</v>
      </c>
      <c r="Q16">
        <v>694.40221568518132</v>
      </c>
      <c r="R16" s="1">
        <v>694.4</v>
      </c>
      <c r="S16" s="13">
        <f t="shared" si="3"/>
        <v>1260</v>
      </c>
      <c r="T16">
        <f t="shared" si="2"/>
        <v>1260.0022156851815</v>
      </c>
      <c r="U16" s="1">
        <v>5868</v>
      </c>
      <c r="V16" s="1">
        <v>2520</v>
      </c>
      <c r="W16">
        <f>ABS(L16)*'Technology Parameters '!$B$4+ABS(M16)*'Technology Parameters '!$C$4+ABS(R16)*'Technology Parameters '!$E$4+ABS(S16)*'Technology Parameters '!$D$4</f>
        <v>4.7521599999999999</v>
      </c>
    </row>
    <row r="17" spans="6:23" x14ac:dyDescent="0.25">
      <c r="F17">
        <v>0.55681499787919964</v>
      </c>
      <c r="G17">
        <v>556.81499787919961</v>
      </c>
      <c r="H17">
        <v>16</v>
      </c>
      <c r="I17" s="1">
        <v>0.270067</v>
      </c>
      <c r="J17" s="1">
        <v>0.53</v>
      </c>
      <c r="K17" s="1">
        <v>-930.26000212080044</v>
      </c>
      <c r="L17" s="1">
        <v>0</v>
      </c>
      <c r="M17">
        <f t="shared" si="0"/>
        <v>0</v>
      </c>
      <c r="N17" s="1">
        <v>5644.7936944862213</v>
      </c>
      <c r="O17">
        <f t="shared" si="1"/>
        <v>4714.5336923654213</v>
      </c>
      <c r="Q17">
        <v>720.15703662181977</v>
      </c>
      <c r="R17" s="1">
        <v>0</v>
      </c>
      <c r="S17" s="13">
        <f t="shared" si="3"/>
        <v>-720.15703662181977</v>
      </c>
      <c r="T17">
        <f t="shared" si="2"/>
        <v>0</v>
      </c>
      <c r="U17" s="1">
        <v>5868</v>
      </c>
      <c r="V17" s="1">
        <v>1799.8429633781802</v>
      </c>
      <c r="W17">
        <f>ABS(L17)*'Technology Parameters '!$B$4+ABS(M17)*'Technology Parameters '!$C$4+ABS(R17)*'Technology Parameters '!$E$4+ABS(S17)*'Technology Parameters '!$D$4</f>
        <v>2.1604711098654592</v>
      </c>
    </row>
    <row r="18" spans="6:23" x14ac:dyDescent="0.25">
      <c r="F18">
        <v>0.54800932167300853</v>
      </c>
      <c r="G18">
        <v>548.00932167300857</v>
      </c>
      <c r="H18">
        <v>17</v>
      </c>
      <c r="I18" s="1">
        <v>0.27431899999999998</v>
      </c>
      <c r="J18" s="1">
        <v>0.53</v>
      </c>
      <c r="K18" s="1">
        <v>-999.70317832699141</v>
      </c>
      <c r="L18" s="1">
        <v>0</v>
      </c>
      <c r="M18">
        <f t="shared" si="0"/>
        <v>0</v>
      </c>
      <c r="N18" s="1">
        <v>6644.4968728132126</v>
      </c>
      <c r="O18">
        <f t="shared" si="1"/>
        <v>5644.7936944862213</v>
      </c>
      <c r="Q18">
        <v>765.23541167452811</v>
      </c>
      <c r="R18" s="1">
        <v>0</v>
      </c>
      <c r="S18" s="13">
        <f t="shared" si="3"/>
        <v>-765.23541167452822</v>
      </c>
      <c r="T18">
        <f t="shared" si="2"/>
        <v>0</v>
      </c>
      <c r="U18" s="1">
        <v>5868</v>
      </c>
      <c r="V18" s="1">
        <v>1034.607551703652</v>
      </c>
      <c r="W18">
        <f>ABS(L18)*'Technology Parameters '!$B$4+ABS(M18)*'Technology Parameters '!$C$4+ABS(R18)*'Technology Parameters '!$E$4+ABS(S18)*'Technology Parameters '!$D$4</f>
        <v>2.2957062350235846</v>
      </c>
    </row>
    <row r="19" spans="6:23" x14ac:dyDescent="0.25">
      <c r="F19">
        <v>0.49771872584464877</v>
      </c>
      <c r="G19">
        <v>497.71872584464876</v>
      </c>
      <c r="H19">
        <v>18</v>
      </c>
      <c r="I19" s="1">
        <v>0.27111299999999999</v>
      </c>
      <c r="J19" s="1">
        <v>0.53</v>
      </c>
      <c r="K19" s="1">
        <v>-114.51877415535122</v>
      </c>
      <c r="L19" s="1">
        <v>0</v>
      </c>
      <c r="M19">
        <f t="shared" si="0"/>
        <v>0</v>
      </c>
      <c r="N19" s="1">
        <v>6759.0156469685635</v>
      </c>
      <c r="O19">
        <f t="shared" si="1"/>
        <v>6644.4968728132126</v>
      </c>
      <c r="Q19">
        <v>745.32370328848651</v>
      </c>
      <c r="R19" s="1">
        <v>0</v>
      </c>
      <c r="S19" s="13">
        <f t="shared" si="3"/>
        <v>-745.32370328848651</v>
      </c>
      <c r="T19">
        <f t="shared" si="2"/>
        <v>0</v>
      </c>
      <c r="U19" s="1">
        <v>5868</v>
      </c>
      <c r="V19" s="1">
        <v>289.28384841516549</v>
      </c>
      <c r="W19">
        <f>ABS(L19)*'Technology Parameters '!$B$4+ABS(M19)*'Technology Parameters '!$C$4+ABS(R19)*'Technology Parameters '!$E$4+ABS(S19)*'Technology Parameters '!$D$4</f>
        <v>2.2359711098654595</v>
      </c>
    </row>
    <row r="20" spans="6:23" x14ac:dyDescent="0.25">
      <c r="F20">
        <v>0.4171480062447061</v>
      </c>
      <c r="G20">
        <v>417.1480062447061</v>
      </c>
      <c r="H20">
        <v>19</v>
      </c>
      <c r="I20" s="1">
        <v>0.28212799999999999</v>
      </c>
      <c r="J20" s="1">
        <v>0.53</v>
      </c>
      <c r="K20" s="1">
        <v>337.51675624470613</v>
      </c>
      <c r="L20" s="1">
        <v>-337.5</v>
      </c>
      <c r="M20">
        <f t="shared" si="0"/>
        <v>-4500</v>
      </c>
      <c r="N20" s="1">
        <v>5868</v>
      </c>
      <c r="O20">
        <f t="shared" si="1"/>
        <v>1368.0167562447059</v>
      </c>
      <c r="Q20">
        <v>475.87190082644696</v>
      </c>
      <c r="R20" s="1">
        <v>475.87190082644696</v>
      </c>
      <c r="S20" s="13">
        <f t="shared" si="3"/>
        <v>1260</v>
      </c>
      <c r="T20">
        <f>Q20-R20+S20</f>
        <v>1260</v>
      </c>
      <c r="U20" s="1">
        <v>1368</v>
      </c>
      <c r="V20" s="1">
        <v>1549.2838484151655</v>
      </c>
      <c r="W20">
        <f>ABS(L20)*'Technology Parameters '!$B$4+ABS(M20)*'Technology Parameters '!$C$4+ABS(R20)*'Technology Parameters '!$E$4+ABS(S20)*'Technology Parameters '!$D$4</f>
        <v>13.817470661157024</v>
      </c>
    </row>
    <row r="21" spans="6:23" x14ac:dyDescent="0.25">
      <c r="F21">
        <v>0.46563127859207776</v>
      </c>
      <c r="G21">
        <v>465.63127859207776</v>
      </c>
      <c r="H21">
        <v>20</v>
      </c>
      <c r="I21" s="1">
        <v>0.28089700000000001</v>
      </c>
      <c r="J21" s="1">
        <v>0.53</v>
      </c>
      <c r="K21" s="1">
        <v>465.60002859207776</v>
      </c>
      <c r="L21" s="1">
        <v>-337.5</v>
      </c>
      <c r="M21">
        <f t="shared" si="0"/>
        <v>-128.10002859207771</v>
      </c>
      <c r="N21" s="1">
        <v>0</v>
      </c>
      <c r="O21">
        <f t="shared" si="1"/>
        <v>5.6843418860808015E-14</v>
      </c>
      <c r="Q21">
        <v>601.45523415978028</v>
      </c>
      <c r="R21" s="1">
        <v>0</v>
      </c>
      <c r="S21" s="13">
        <f t="shared" si="3"/>
        <v>-601.45523415978028</v>
      </c>
      <c r="T21">
        <f t="shared" si="2"/>
        <v>0</v>
      </c>
      <c r="U21" s="1">
        <v>1239.8999714079223</v>
      </c>
      <c r="V21" s="1">
        <v>947.82861425538522</v>
      </c>
      <c r="W21">
        <f>ABS(L21)*'Technology Parameters '!$B$4+ABS(M21)*'Technology Parameters '!$C$4+ABS(R21)*'Technology Parameters '!$E$4+ABS(S21)*'Technology Parameters '!$D$4</f>
        <v>2.4318157596634964</v>
      </c>
    </row>
    <row r="22" spans="6:23" x14ac:dyDescent="0.25">
      <c r="F22">
        <v>0.51274202974724936</v>
      </c>
      <c r="G22">
        <v>512.74202974724938</v>
      </c>
      <c r="H22">
        <v>21</v>
      </c>
      <c r="I22" s="1">
        <v>0.27615600000000001</v>
      </c>
      <c r="J22" s="1">
        <v>0.53</v>
      </c>
      <c r="K22" s="1">
        <v>512.74202974724938</v>
      </c>
      <c r="L22" s="1">
        <v>-337.5</v>
      </c>
      <c r="M22">
        <f t="shared" si="0"/>
        <v>-175.24202974724949</v>
      </c>
      <c r="N22" s="1">
        <v>0</v>
      </c>
      <c r="O22">
        <f t="shared" si="1"/>
        <v>-1.1368683772161603E-13</v>
      </c>
      <c r="Q22">
        <v>491.00964187327816</v>
      </c>
      <c r="R22" s="1">
        <v>0</v>
      </c>
      <c r="S22" s="13">
        <f t="shared" si="3"/>
        <v>-491.00964187327816</v>
      </c>
      <c r="T22">
        <f t="shared" si="2"/>
        <v>0</v>
      </c>
      <c r="U22" s="1">
        <v>1064.6579416606728</v>
      </c>
      <c r="V22" s="1">
        <v>456.81897238210706</v>
      </c>
      <c r="W22">
        <f>ABS(L22)*'Technology Parameters '!$B$4+ABS(M22)*'Technology Parameters '!$C$4+ABS(R22)*'Technology Parameters '!$E$4+ABS(S22)*'Technology Parameters '!$D$4</f>
        <v>2.1947629851143335</v>
      </c>
    </row>
    <row r="23" spans="6:23" x14ac:dyDescent="0.25">
      <c r="F23">
        <v>0.50874604423543901</v>
      </c>
      <c r="G23">
        <v>508.74604423543906</v>
      </c>
      <c r="H23">
        <v>22</v>
      </c>
      <c r="I23" s="1">
        <v>0.27117200000000002</v>
      </c>
      <c r="J23" s="1">
        <v>0.53</v>
      </c>
      <c r="K23" s="1">
        <v>508.74604423543906</v>
      </c>
      <c r="L23" s="1">
        <v>-337.5</v>
      </c>
      <c r="M23">
        <f t="shared" si="0"/>
        <v>-171.24604423543906</v>
      </c>
      <c r="N23" s="1">
        <v>0</v>
      </c>
      <c r="O23">
        <f t="shared" si="1"/>
        <v>0</v>
      </c>
      <c r="Q23">
        <v>296.34297520661147</v>
      </c>
      <c r="R23" s="1">
        <v>0</v>
      </c>
      <c r="S23" s="13">
        <f t="shared" si="3"/>
        <v>-296.34297520661147</v>
      </c>
      <c r="T23">
        <f t="shared" si="2"/>
        <v>0</v>
      </c>
      <c r="U23" s="1">
        <v>893.41189742523375</v>
      </c>
      <c r="V23" s="1">
        <v>160.47599717549559</v>
      </c>
      <c r="W23">
        <f>ABS(L23)*'Technology Parameters '!$B$4+ABS(M23)*'Technology Parameters '!$C$4+ABS(R23)*'Technology Parameters '!$E$4+ABS(S23)*'Technology Parameters '!$D$4</f>
        <v>1.6027710140907125</v>
      </c>
    </row>
    <row r="24" spans="6:23" x14ac:dyDescent="0.25">
      <c r="F24">
        <v>0.51054919361575934</v>
      </c>
      <c r="G24">
        <v>510.54919361575929</v>
      </c>
      <c r="H24">
        <v>23</v>
      </c>
      <c r="I24" s="1">
        <v>0.26649</v>
      </c>
      <c r="J24" s="1">
        <v>0.53</v>
      </c>
      <c r="K24" s="1">
        <v>510.54919361575929</v>
      </c>
      <c r="L24" s="1">
        <v>-337.5</v>
      </c>
      <c r="M24">
        <f t="shared" si="0"/>
        <v>-173.04919361575935</v>
      </c>
      <c r="N24" s="1">
        <v>0</v>
      </c>
      <c r="O24">
        <f t="shared" si="1"/>
        <v>-5.6843418860808015E-14</v>
      </c>
      <c r="Q24">
        <v>151.92630853994481</v>
      </c>
      <c r="R24" s="1">
        <v>0</v>
      </c>
      <c r="S24" s="13">
        <f t="shared" si="3"/>
        <v>-151.92630853994481</v>
      </c>
      <c r="T24">
        <f t="shared" si="2"/>
        <v>0</v>
      </c>
      <c r="U24" s="1">
        <v>720.3627038094744</v>
      </c>
      <c r="V24" s="1">
        <v>8.5496886355507797</v>
      </c>
      <c r="W24">
        <f>ABS(L24)*'Technology Parameters '!$B$4+ABS(M24)*'Technology Parameters '!$C$4+ABS(R24)*'Technology Parameters '!$E$4+ABS(S24)*'Technology Parameters '!$D$4</f>
        <v>1.1731273128513533</v>
      </c>
    </row>
    <row r="25" spans="6:23" x14ac:dyDescent="0.25">
      <c r="F25">
        <v>0.5007014805998985</v>
      </c>
      <c r="G25">
        <v>500.7014805998985</v>
      </c>
      <c r="H25">
        <v>24</v>
      </c>
      <c r="I25" s="1">
        <v>0.26110800000000001</v>
      </c>
      <c r="J25" s="1">
        <v>0.53</v>
      </c>
      <c r="K25" s="1">
        <v>500.7014805998985</v>
      </c>
      <c r="L25" s="1">
        <v>212.625</v>
      </c>
      <c r="M25">
        <f t="shared" si="0"/>
        <v>-720.3627038094744</v>
      </c>
      <c r="N25" s="1">
        <v>0</v>
      </c>
      <c r="O25">
        <f t="shared" si="1"/>
        <v>-7.0362232095758372</v>
      </c>
      <c r="Q25">
        <v>32.004820936639099</v>
      </c>
      <c r="R25" s="1">
        <v>23.4</v>
      </c>
      <c r="S25" s="13">
        <f t="shared" si="3"/>
        <v>-8.5496886355507797</v>
      </c>
      <c r="T25">
        <f t="shared" si="2"/>
        <v>5.5132301088320901E-2</v>
      </c>
      <c r="U25" s="1">
        <v>0</v>
      </c>
      <c r="V25" s="1">
        <v>0</v>
      </c>
      <c r="W25">
        <f>ABS(L25)*'Technology Parameters '!$B$4+ABS(M25)*'Technology Parameters '!$C$4+ABS(R25)*'Technology Parameters '!$E$4+ABS(S25)*'Technology Parameters '!$D$4</f>
        <v>1.7330219735256012</v>
      </c>
    </row>
    <row r="26" spans="6:23" x14ac:dyDescent="0.25">
      <c r="V26" s="1"/>
      <c r="W26" s="14">
        <f>SUM(W2:W25)</f>
        <v>93.434830997195533</v>
      </c>
    </row>
  </sheetData>
  <conditionalFormatting sqref="O1: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FB96-A366-47A3-A296-52453B689DAB}">
  <dimension ref="A1:V26"/>
  <sheetViews>
    <sheetView zoomScale="115" workbookViewId="0">
      <selection activeCell="N14" sqref="N14"/>
    </sheetView>
  </sheetViews>
  <sheetFormatPr defaultRowHeight="15" x14ac:dyDescent="0.25"/>
  <cols>
    <col min="1" max="1" width="16" bestFit="1" customWidth="1"/>
    <col min="2" max="2" width="14" bestFit="1" customWidth="1"/>
    <col min="3" max="3" width="12" bestFit="1" customWidth="1"/>
    <col min="4" max="4" width="10.5703125" bestFit="1" customWidth="1"/>
    <col min="5" max="5" width="11" bestFit="1" customWidth="1"/>
    <col min="6" max="6" width="10.7109375" bestFit="1" customWidth="1"/>
    <col min="7" max="7" width="14" bestFit="1" customWidth="1"/>
    <col min="8" max="8" width="13.42578125" bestFit="1" customWidth="1"/>
    <col min="9" max="9" width="13.140625" bestFit="1" customWidth="1"/>
    <col min="10" max="10" width="12.7109375" bestFit="1" customWidth="1"/>
    <col min="11" max="12" width="11" bestFit="1" customWidth="1"/>
    <col min="13" max="13" width="14" bestFit="1" customWidth="1"/>
    <col min="14" max="14" width="34.28515625" bestFit="1" customWidth="1"/>
    <col min="15" max="15" width="9.28515625" bestFit="1" customWidth="1"/>
    <col min="16" max="16" width="11" bestFit="1" customWidth="1"/>
  </cols>
  <sheetData>
    <row r="1" spans="1:22" x14ac:dyDescent="0.25">
      <c r="A1" s="1" t="s">
        <v>97</v>
      </c>
      <c r="B1" s="14" t="s">
        <v>57</v>
      </c>
      <c r="C1" s="1" t="s">
        <v>98</v>
      </c>
      <c r="D1" t="s">
        <v>99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U1" s="1"/>
      <c r="V1" s="1"/>
    </row>
    <row r="2" spans="1:22" x14ac:dyDescent="0.25">
      <c r="A2" s="18">
        <v>0.25274999999999997</v>
      </c>
      <c r="B2" s="19">
        <v>398.28908432354336</v>
      </c>
      <c r="C2" s="18">
        <v>0</v>
      </c>
      <c r="D2" s="19">
        <v>0</v>
      </c>
      <c r="E2">
        <f>C2*A2</f>
        <v>0</v>
      </c>
      <c r="F2">
        <f>A2*D2</f>
        <v>0</v>
      </c>
      <c r="G2">
        <f>SUM(C2:C25)*A25</f>
        <v>12030.350299232734</v>
      </c>
      <c r="H2">
        <f>SUM(C2:C25)*A2</f>
        <v>10777.629438166625</v>
      </c>
      <c r="I2">
        <f>SUM(F2:F25)*A25</f>
        <v>0</v>
      </c>
      <c r="J2">
        <f>SUM(F2:F25)*A2</f>
        <v>0</v>
      </c>
      <c r="M2" t="s">
        <v>100</v>
      </c>
      <c r="N2">
        <f>(SUM(C2:C13)+SUM(D14:D25))/SUM(C2:D25)</f>
        <v>0.29833972073669895</v>
      </c>
    </row>
    <row r="3" spans="1:22" x14ac:dyDescent="0.25">
      <c r="A3" s="18">
        <v>0.25297999999999998</v>
      </c>
      <c r="B3" s="19">
        <v>400.32760079926811</v>
      </c>
      <c r="C3" s="18">
        <v>0</v>
      </c>
      <c r="D3" s="19">
        <v>0</v>
      </c>
      <c r="E3">
        <f t="shared" ref="E3:E25" si="0">C3*A3</f>
        <v>0</v>
      </c>
      <c r="F3">
        <f t="shared" ref="F3:F25" si="1">A3*D3</f>
        <v>0</v>
      </c>
      <c r="M3" t="s">
        <v>101</v>
      </c>
      <c r="N3">
        <f>'KPI Suff El'!N2</f>
        <v>0</v>
      </c>
    </row>
    <row r="4" spans="1:22" x14ac:dyDescent="0.25">
      <c r="A4" s="18">
        <v>0.25442999999999999</v>
      </c>
      <c r="B4" s="19">
        <v>386.83877182354337</v>
      </c>
      <c r="C4" s="18">
        <v>0</v>
      </c>
      <c r="D4" s="19">
        <v>0</v>
      </c>
      <c r="E4">
        <f t="shared" si="0"/>
        <v>0</v>
      </c>
      <c r="F4">
        <f t="shared" si="1"/>
        <v>0</v>
      </c>
      <c r="G4" t="s">
        <v>110</v>
      </c>
      <c r="H4" t="s">
        <v>111</v>
      </c>
      <c r="M4" t="s">
        <v>102</v>
      </c>
    </row>
    <row r="5" spans="1:22" x14ac:dyDescent="0.25">
      <c r="A5" s="18">
        <v>0.25497999999999998</v>
      </c>
      <c r="B5" s="19">
        <v>485.74616169024517</v>
      </c>
      <c r="C5" s="18">
        <v>823.24616169024512</v>
      </c>
      <c r="D5" s="19">
        <v>0</v>
      </c>
      <c r="E5">
        <f t="shared" si="0"/>
        <v>209.91130630777869</v>
      </c>
      <c r="F5">
        <f t="shared" si="1"/>
        <v>0</v>
      </c>
      <c r="G5" cm="1">
        <f t="array" ref="G5">SUM(A2:A25*C2:C25)</f>
        <v>11579.333839092093</v>
      </c>
      <c r="H5" cm="1">
        <f t="array" ref="H5">SUM(A2:A25*D2:D25)</f>
        <v>0</v>
      </c>
      <c r="M5" t="s">
        <v>103</v>
      </c>
      <c r="N5">
        <f>0.5*((G2-G5)/(G2-H2))</f>
        <v>0.18001474796101449</v>
      </c>
    </row>
    <row r="6" spans="1:22" x14ac:dyDescent="0.25">
      <c r="A6" s="18">
        <v>0.25714300000000001</v>
      </c>
      <c r="B6" s="19">
        <v>395.12728829926812</v>
      </c>
      <c r="C6" s="18">
        <v>0</v>
      </c>
      <c r="D6" s="19">
        <v>0</v>
      </c>
      <c r="E6">
        <f t="shared" si="0"/>
        <v>0</v>
      </c>
      <c r="F6">
        <f t="shared" si="1"/>
        <v>0</v>
      </c>
      <c r="N6" t="s">
        <v>112</v>
      </c>
    </row>
    <row r="7" spans="1:22" x14ac:dyDescent="0.25">
      <c r="A7" s="18">
        <v>0.26038899999999998</v>
      </c>
      <c r="B7" s="19">
        <v>391.735725308908</v>
      </c>
      <c r="C7" s="18">
        <v>0</v>
      </c>
      <c r="D7" s="19">
        <v>0</v>
      </c>
      <c r="E7">
        <f t="shared" si="0"/>
        <v>0</v>
      </c>
      <c r="F7">
        <f t="shared" si="1"/>
        <v>0</v>
      </c>
      <c r="M7" t="s">
        <v>56</v>
      </c>
    </row>
    <row r="8" spans="1:22" x14ac:dyDescent="0.25">
      <c r="A8" s="18">
        <v>0.26110800000000001</v>
      </c>
      <c r="B8" s="19">
        <v>500.7014805998985</v>
      </c>
      <c r="C8" s="18">
        <v>0</v>
      </c>
      <c r="D8" s="19">
        <v>0</v>
      </c>
      <c r="E8">
        <f t="shared" si="0"/>
        <v>0</v>
      </c>
      <c r="F8">
        <f t="shared" si="1"/>
        <v>0</v>
      </c>
      <c r="M8" t="s">
        <v>100</v>
      </c>
      <c r="N8">
        <v>0.32411441249941703</v>
      </c>
    </row>
    <row r="9" spans="1:22" x14ac:dyDescent="0.25">
      <c r="A9" s="18">
        <v>0.26271</v>
      </c>
      <c r="B9" s="19">
        <v>487.65694417347407</v>
      </c>
      <c r="C9" s="18">
        <v>0</v>
      </c>
      <c r="D9" s="19">
        <v>0</v>
      </c>
      <c r="E9">
        <f t="shared" si="0"/>
        <v>0</v>
      </c>
      <c r="F9">
        <f t="shared" si="1"/>
        <v>0</v>
      </c>
      <c r="M9" t="s">
        <v>113</v>
      </c>
      <c r="N9">
        <v>0.32411441249941703</v>
      </c>
    </row>
    <row r="10" spans="1:22" x14ac:dyDescent="0.25">
      <c r="A10" s="18">
        <v>0.26474700000000001</v>
      </c>
      <c r="B10" s="19">
        <v>507.46141817917083</v>
      </c>
      <c r="C10" s="18">
        <v>3803.8533727327431</v>
      </c>
      <c r="D10" s="19">
        <v>0</v>
      </c>
      <c r="E10">
        <f t="shared" si="0"/>
        <v>1007.0587688708756</v>
      </c>
      <c r="F10">
        <f t="shared" si="1"/>
        <v>0</v>
      </c>
      <c r="M10" t="s">
        <v>114</v>
      </c>
      <c r="N10">
        <v>0.34172236859221899</v>
      </c>
    </row>
    <row r="11" spans="1:22" x14ac:dyDescent="0.25">
      <c r="A11" s="18">
        <v>0.26649</v>
      </c>
      <c r="B11" s="19">
        <v>510.54919361575929</v>
      </c>
      <c r="C11" s="18">
        <v>0</v>
      </c>
      <c r="D11" s="19">
        <v>0</v>
      </c>
      <c r="E11">
        <f t="shared" si="0"/>
        <v>0</v>
      </c>
      <c r="F11">
        <f t="shared" si="1"/>
        <v>0</v>
      </c>
      <c r="M11" t="s">
        <v>115</v>
      </c>
      <c r="N11">
        <v>0</v>
      </c>
    </row>
    <row r="12" spans="1:22" x14ac:dyDescent="0.25">
      <c r="A12" s="18">
        <v>0.26649400000000001</v>
      </c>
      <c r="B12" s="19">
        <v>539.05718036732162</v>
      </c>
      <c r="C12" s="18">
        <v>4714.5336923654213</v>
      </c>
      <c r="D12" s="19">
        <v>0</v>
      </c>
      <c r="E12">
        <f t="shared" si="0"/>
        <v>1256.3949418132306</v>
      </c>
      <c r="F12">
        <f t="shared" si="1"/>
        <v>0</v>
      </c>
      <c r="M12" t="s">
        <v>116</v>
      </c>
      <c r="N12">
        <v>0</v>
      </c>
    </row>
    <row r="13" spans="1:22" x14ac:dyDescent="0.25">
      <c r="A13" s="18">
        <v>0.266897</v>
      </c>
      <c r="B13" s="19">
        <v>497.51284905450694</v>
      </c>
      <c r="C13" s="18">
        <v>3380.0085409119138</v>
      </c>
      <c r="D13" s="19">
        <v>0</v>
      </c>
      <c r="E13">
        <f t="shared" si="0"/>
        <v>902.11413954376701</v>
      </c>
      <c r="F13">
        <f t="shared" si="1"/>
        <v>0</v>
      </c>
      <c r="M13" t="s">
        <v>117</v>
      </c>
      <c r="N13">
        <v>0.95754250971412203</v>
      </c>
    </row>
    <row r="14" spans="1:22" x14ac:dyDescent="0.25">
      <c r="A14" s="20">
        <v>0.269783</v>
      </c>
      <c r="B14" s="21">
        <v>515.76103260860862</v>
      </c>
      <c r="C14" s="20">
        <v>0</v>
      </c>
      <c r="D14" s="21">
        <v>0</v>
      </c>
      <c r="E14">
        <f t="shared" si="0"/>
        <v>0</v>
      </c>
      <c r="F14">
        <f t="shared" si="1"/>
        <v>0</v>
      </c>
      <c r="M14" t="s">
        <v>119</v>
      </c>
      <c r="N14">
        <f>'DAY 51th_ECOOBJ'!W26/B26</f>
        <v>7.9821524265500238E-3</v>
      </c>
    </row>
    <row r="15" spans="1:22" x14ac:dyDescent="0.25">
      <c r="A15" s="20">
        <v>0.270067</v>
      </c>
      <c r="B15" s="21">
        <v>556.81499787919961</v>
      </c>
      <c r="C15" s="20">
        <v>5644.7936944862213</v>
      </c>
      <c r="D15" s="21">
        <v>0</v>
      </c>
      <c r="E15">
        <f t="shared" si="0"/>
        <v>1524.4724986888102</v>
      </c>
      <c r="F15">
        <f t="shared" si="1"/>
        <v>0</v>
      </c>
    </row>
    <row r="16" spans="1:22" x14ac:dyDescent="0.25">
      <c r="A16" s="20">
        <v>0.270368</v>
      </c>
      <c r="B16" s="21">
        <v>505.04241234859455</v>
      </c>
      <c r="C16" s="20">
        <v>2519.3213899664206</v>
      </c>
      <c r="D16" s="21">
        <v>0</v>
      </c>
      <c r="E16">
        <f t="shared" si="0"/>
        <v>681.14388556244126</v>
      </c>
      <c r="F16">
        <f t="shared" si="1"/>
        <v>0</v>
      </c>
    </row>
    <row r="17" spans="1:6" x14ac:dyDescent="0.25">
      <c r="A17" s="20">
        <v>0.27111299999999999</v>
      </c>
      <c r="B17" s="21">
        <v>497.71872584464876</v>
      </c>
      <c r="C17" s="20">
        <v>6759.0156469685635</v>
      </c>
      <c r="D17" s="21">
        <v>0</v>
      </c>
      <c r="E17">
        <f t="shared" si="0"/>
        <v>1832.4570090965881</v>
      </c>
      <c r="F17">
        <f t="shared" si="1"/>
        <v>0</v>
      </c>
    </row>
    <row r="18" spans="1:6" x14ac:dyDescent="0.25">
      <c r="A18" s="20">
        <v>0.27117200000000002</v>
      </c>
      <c r="B18" s="21">
        <v>508.74604423543906</v>
      </c>
      <c r="C18" s="20">
        <v>0</v>
      </c>
      <c r="D18" s="21">
        <v>0</v>
      </c>
      <c r="E18">
        <f t="shared" si="0"/>
        <v>0</v>
      </c>
      <c r="F18">
        <f t="shared" si="1"/>
        <v>0</v>
      </c>
    </row>
    <row r="19" spans="1:6" x14ac:dyDescent="0.25">
      <c r="A19" s="20">
        <v>0.27431899999999998</v>
      </c>
      <c r="B19" s="21">
        <v>548.00932167300857</v>
      </c>
      <c r="C19" s="20">
        <v>6644.4968728132126</v>
      </c>
      <c r="D19" s="21">
        <v>0</v>
      </c>
      <c r="E19">
        <f t="shared" si="0"/>
        <v>1822.7117376532476</v>
      </c>
      <c r="F19">
        <f t="shared" si="1"/>
        <v>0</v>
      </c>
    </row>
    <row r="20" spans="1:6" x14ac:dyDescent="0.25">
      <c r="A20" s="20">
        <v>0.27615600000000001</v>
      </c>
      <c r="B20" s="21">
        <v>512.74202974724938</v>
      </c>
      <c r="C20" s="20">
        <v>0</v>
      </c>
      <c r="D20" s="21">
        <v>0</v>
      </c>
      <c r="E20">
        <f t="shared" si="0"/>
        <v>0</v>
      </c>
      <c r="F20">
        <f t="shared" si="1"/>
        <v>0</v>
      </c>
    </row>
    <row r="21" spans="1:6" x14ac:dyDescent="0.25">
      <c r="A21" s="20">
        <v>0.27672799999999997</v>
      </c>
      <c r="B21" s="21">
        <v>571.92748888726726</v>
      </c>
      <c r="C21" s="20">
        <v>690.11599999999999</v>
      </c>
      <c r="D21" s="21">
        <v>0</v>
      </c>
      <c r="E21">
        <f t="shared" si="0"/>
        <v>190.97442044799999</v>
      </c>
      <c r="F21">
        <f t="shared" si="1"/>
        <v>0</v>
      </c>
    </row>
    <row r="22" spans="1:6" x14ac:dyDescent="0.25">
      <c r="A22" s="20">
        <v>0.27678199999999997</v>
      </c>
      <c r="B22" s="21">
        <v>544.97719768498484</v>
      </c>
      <c r="C22" s="21">
        <v>1794.076302315015</v>
      </c>
      <c r="D22" s="21">
        <v>0</v>
      </c>
      <c r="E22">
        <f t="shared" si="0"/>
        <v>496.56802710735445</v>
      </c>
      <c r="F22">
        <f t="shared" si="1"/>
        <v>0</v>
      </c>
    </row>
    <row r="23" spans="1:6" x14ac:dyDescent="0.25">
      <c r="A23" s="20">
        <v>0.27707500000000002</v>
      </c>
      <c r="B23" s="21">
        <v>559.94591599036869</v>
      </c>
      <c r="C23" s="20">
        <v>0</v>
      </c>
      <c r="D23" s="21">
        <v>0</v>
      </c>
      <c r="E23">
        <f t="shared" si="0"/>
        <v>0</v>
      </c>
      <c r="F23">
        <f t="shared" si="1"/>
        <v>0</v>
      </c>
    </row>
    <row r="24" spans="1:6" x14ac:dyDescent="0.25">
      <c r="A24" s="20">
        <v>0.28089700000000001</v>
      </c>
      <c r="B24" s="21">
        <v>465.63127859207776</v>
      </c>
      <c r="C24" s="20">
        <v>0</v>
      </c>
      <c r="D24" s="21">
        <v>0</v>
      </c>
      <c r="E24">
        <f t="shared" si="0"/>
        <v>0</v>
      </c>
      <c r="F24">
        <f t="shared" si="1"/>
        <v>0</v>
      </c>
    </row>
    <row r="25" spans="1:6" x14ac:dyDescent="0.25">
      <c r="A25" s="20">
        <v>0.28212799999999999</v>
      </c>
      <c r="B25" s="21">
        <v>417.1480062447061</v>
      </c>
      <c r="C25" s="20">
        <v>5868</v>
      </c>
      <c r="D25" s="21">
        <v>0</v>
      </c>
      <c r="E25">
        <f t="shared" si="0"/>
        <v>1655.527104</v>
      </c>
      <c r="F25">
        <f t="shared" si="1"/>
        <v>0</v>
      </c>
    </row>
    <row r="26" spans="1:6" x14ac:dyDescent="0.25">
      <c r="B26" s="14">
        <f>SUM(B2:B25)</f>
        <v>11705.468149971062</v>
      </c>
    </row>
  </sheetData>
  <sortState xmlns:xlrd2="http://schemas.microsoft.com/office/spreadsheetml/2017/richdata2" ref="A2:C26">
    <sortCondition ref="A1:A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6AC8-2250-41DA-9121-3F0638BE9F37}">
  <dimension ref="A1:N26"/>
  <sheetViews>
    <sheetView workbookViewId="0">
      <selection activeCell="N13" sqref="N13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1" bestFit="1" customWidth="1"/>
    <col min="7" max="7" width="13.5703125" bestFit="1" customWidth="1"/>
    <col min="8" max="8" width="13.28515625" bestFit="1" customWidth="1"/>
    <col min="9" max="9" width="13.140625" bestFit="1" customWidth="1"/>
    <col min="10" max="10" width="12.7109375" bestFit="1" customWidth="1"/>
    <col min="13" max="13" width="13.85546875" bestFit="1" customWidth="1"/>
    <col min="14" max="14" width="34.28515625" bestFit="1" customWidth="1"/>
  </cols>
  <sheetData>
    <row r="1" spans="1:14" x14ac:dyDescent="0.25">
      <c r="A1" s="1" t="s">
        <v>97</v>
      </c>
      <c r="B1" s="14" t="s">
        <v>57</v>
      </c>
      <c r="C1" s="1" t="s">
        <v>98</v>
      </c>
      <c r="D1" t="s">
        <v>99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4" x14ac:dyDescent="0.25">
      <c r="A2" s="22">
        <v>0.25274999999999997</v>
      </c>
      <c r="B2" s="23">
        <v>398.28908432354336</v>
      </c>
      <c r="C2" s="22">
        <v>0</v>
      </c>
      <c r="D2" s="22">
        <v>0</v>
      </c>
      <c r="E2">
        <f>C2*A2</f>
        <v>0</v>
      </c>
      <c r="F2">
        <f>A2*D2</f>
        <v>0</v>
      </c>
      <c r="G2">
        <f>SUM(C2:C25)*A25</f>
        <v>42.86652832</v>
      </c>
      <c r="H2">
        <f>SUM(C2:C25)*A2</f>
        <v>38.402834999999996</v>
      </c>
      <c r="I2">
        <f>SUM(F2:F25)*A25</f>
        <v>0</v>
      </c>
      <c r="J2">
        <f>SUM(F2:F25)*A2</f>
        <v>0</v>
      </c>
      <c r="M2" t="s">
        <v>100</v>
      </c>
      <c r="N2">
        <f>(SUM(C2:C13)+SUM(D14:D25))/SUM(C2:D25)</f>
        <v>0</v>
      </c>
    </row>
    <row r="3" spans="1:14" x14ac:dyDescent="0.25">
      <c r="A3" s="22">
        <v>0.25297999999999998</v>
      </c>
      <c r="B3" s="23">
        <v>400.32760079926811</v>
      </c>
      <c r="C3" s="22">
        <v>0</v>
      </c>
      <c r="D3" s="22">
        <v>0</v>
      </c>
      <c r="E3">
        <f t="shared" ref="E3:E25" si="0">C3*A3</f>
        <v>0</v>
      </c>
      <c r="F3">
        <f t="shared" ref="F3:F25" si="1">A3*D3</f>
        <v>0</v>
      </c>
      <c r="M3" t="s">
        <v>101</v>
      </c>
    </row>
    <row r="4" spans="1:14" x14ac:dyDescent="0.25">
      <c r="A4" s="22">
        <v>0.25442999999999999</v>
      </c>
      <c r="B4" s="23">
        <v>386.83877182354337</v>
      </c>
      <c r="C4" s="22">
        <v>0</v>
      </c>
      <c r="D4" s="22">
        <v>0</v>
      </c>
      <c r="E4">
        <f t="shared" si="0"/>
        <v>0</v>
      </c>
      <c r="F4">
        <f t="shared" si="1"/>
        <v>0</v>
      </c>
      <c r="G4" t="s">
        <v>110</v>
      </c>
      <c r="H4" t="s">
        <v>111</v>
      </c>
      <c r="M4" t="s">
        <v>102</v>
      </c>
    </row>
    <row r="5" spans="1:14" x14ac:dyDescent="0.25">
      <c r="A5" s="22">
        <v>0.25497999999999998</v>
      </c>
      <c r="B5" s="23">
        <v>485.74616169024517</v>
      </c>
      <c r="C5" s="22">
        <v>0</v>
      </c>
      <c r="D5" s="22">
        <v>0</v>
      </c>
      <c r="E5">
        <f t="shared" si="0"/>
        <v>0</v>
      </c>
      <c r="F5">
        <f t="shared" si="1"/>
        <v>0</v>
      </c>
      <c r="G5" cm="1">
        <f t="array" ref="G5">SUM(A2:A25*C2:C25)</f>
        <v>41.462183899999999</v>
      </c>
      <c r="H5" cm="1">
        <f t="array" ref="H5">SUM(A2:A25*D2:D25)</f>
        <v>0</v>
      </c>
      <c r="M5" t="s">
        <v>103</v>
      </c>
      <c r="N5">
        <f>0.5*((G2-G5)/(G2-H2))</f>
        <v>0.15730744915961203</v>
      </c>
    </row>
    <row r="6" spans="1:14" x14ac:dyDescent="0.25">
      <c r="A6" s="22">
        <v>0.25714300000000001</v>
      </c>
      <c r="B6" s="23">
        <v>395.12728829926812</v>
      </c>
      <c r="C6" s="22">
        <v>0</v>
      </c>
      <c r="D6" s="22">
        <v>0</v>
      </c>
      <c r="E6">
        <f t="shared" si="0"/>
        <v>0</v>
      </c>
      <c r="F6">
        <f t="shared" si="1"/>
        <v>0</v>
      </c>
      <c r="N6" t="s">
        <v>112</v>
      </c>
    </row>
    <row r="7" spans="1:14" x14ac:dyDescent="0.25">
      <c r="A7" s="22">
        <v>0.26038899999999998</v>
      </c>
      <c r="B7" s="23">
        <v>391.735725308908</v>
      </c>
      <c r="C7" s="22">
        <v>0</v>
      </c>
      <c r="D7" s="22">
        <v>0</v>
      </c>
      <c r="E7">
        <f t="shared" si="0"/>
        <v>0</v>
      </c>
      <c r="F7">
        <f t="shared" si="1"/>
        <v>0</v>
      </c>
      <c r="M7" t="s">
        <v>100</v>
      </c>
      <c r="N7">
        <v>0.62939686965029895</v>
      </c>
    </row>
    <row r="8" spans="1:14" x14ac:dyDescent="0.25">
      <c r="A8" s="22">
        <v>0.26110800000000001</v>
      </c>
      <c r="B8" s="23">
        <v>500.7014805998985</v>
      </c>
      <c r="C8" s="22">
        <v>0</v>
      </c>
      <c r="D8" s="22">
        <v>0</v>
      </c>
      <c r="E8">
        <f t="shared" si="0"/>
        <v>0</v>
      </c>
      <c r="F8">
        <f t="shared" si="1"/>
        <v>0</v>
      </c>
      <c r="M8" t="s">
        <v>113</v>
      </c>
      <c r="N8">
        <v>0.62939686965029895</v>
      </c>
    </row>
    <row r="9" spans="1:14" x14ac:dyDescent="0.25">
      <c r="A9" s="22">
        <v>0.26271</v>
      </c>
      <c r="B9" s="23">
        <v>487.65694417347407</v>
      </c>
      <c r="C9" s="22">
        <v>0</v>
      </c>
      <c r="D9" s="22">
        <v>0</v>
      </c>
      <c r="E9">
        <f t="shared" si="0"/>
        <v>0</v>
      </c>
      <c r="F9">
        <f t="shared" si="1"/>
        <v>0</v>
      </c>
      <c r="M9" t="s">
        <v>114</v>
      </c>
      <c r="N9">
        <v>0.59843826218464302</v>
      </c>
    </row>
    <row r="10" spans="1:14" x14ac:dyDescent="0.25">
      <c r="A10" s="22">
        <v>0.26474700000000001</v>
      </c>
      <c r="B10" s="23">
        <v>507.46141817917083</v>
      </c>
      <c r="C10" s="22">
        <v>0</v>
      </c>
      <c r="D10" s="22">
        <v>0</v>
      </c>
      <c r="E10">
        <f t="shared" si="0"/>
        <v>0</v>
      </c>
      <c r="F10">
        <f t="shared" si="1"/>
        <v>0</v>
      </c>
      <c r="M10" t="s">
        <v>115</v>
      </c>
      <c r="N10">
        <v>0</v>
      </c>
    </row>
    <row r="11" spans="1:14" x14ac:dyDescent="0.25">
      <c r="A11" s="22">
        <v>0.26649</v>
      </c>
      <c r="B11" s="23">
        <v>510.54919361575929</v>
      </c>
      <c r="C11" s="22">
        <v>0</v>
      </c>
      <c r="D11" s="22">
        <v>0</v>
      </c>
      <c r="E11">
        <f t="shared" si="0"/>
        <v>0</v>
      </c>
      <c r="F11">
        <f t="shared" si="1"/>
        <v>0</v>
      </c>
      <c r="M11" t="s">
        <v>116</v>
      </c>
      <c r="N11">
        <v>0</v>
      </c>
    </row>
    <row r="12" spans="1:14" x14ac:dyDescent="0.25">
      <c r="A12" s="22">
        <v>0.26649400000000001</v>
      </c>
      <c r="B12" s="23">
        <v>539.05718036732162</v>
      </c>
      <c r="C12" s="22">
        <v>0</v>
      </c>
      <c r="D12" s="22">
        <v>0</v>
      </c>
      <c r="E12">
        <f t="shared" si="0"/>
        <v>0</v>
      </c>
      <c r="F12">
        <f t="shared" si="1"/>
        <v>0</v>
      </c>
      <c r="M12" t="s">
        <v>117</v>
      </c>
      <c r="N12">
        <v>0.92445546655725397</v>
      </c>
    </row>
    <row r="13" spans="1:14" x14ac:dyDescent="0.25">
      <c r="A13" s="22">
        <v>0.266897</v>
      </c>
      <c r="B13" s="23">
        <v>497.51284905450694</v>
      </c>
      <c r="C13" s="22">
        <v>0</v>
      </c>
      <c r="D13" s="22">
        <v>0</v>
      </c>
      <c r="E13">
        <f t="shared" si="0"/>
        <v>0</v>
      </c>
      <c r="F13">
        <f t="shared" si="1"/>
        <v>0</v>
      </c>
      <c r="M13" t="s">
        <v>119</v>
      </c>
      <c r="N13">
        <f>'DAY 51th_SELF CONSUMPTION '!Z26/B26</f>
        <v>7.9438458179709025E-3</v>
      </c>
    </row>
    <row r="14" spans="1:14" x14ac:dyDescent="0.25">
      <c r="A14" s="20">
        <v>0.269783</v>
      </c>
      <c r="B14" s="21">
        <v>515.76103260860862</v>
      </c>
      <c r="C14" s="20">
        <v>87.3</v>
      </c>
      <c r="D14" s="20">
        <v>0</v>
      </c>
      <c r="E14">
        <f t="shared" si="0"/>
        <v>23.552055899999999</v>
      </c>
      <c r="F14">
        <f t="shared" si="1"/>
        <v>0</v>
      </c>
    </row>
    <row r="15" spans="1:14" x14ac:dyDescent="0.25">
      <c r="A15" s="20">
        <v>0.270067</v>
      </c>
      <c r="B15" s="21">
        <v>556.81499787919961</v>
      </c>
      <c r="C15" s="20">
        <v>0</v>
      </c>
      <c r="D15" s="20">
        <v>0</v>
      </c>
      <c r="E15">
        <f t="shared" si="0"/>
        <v>0</v>
      </c>
      <c r="F15">
        <f t="shared" si="1"/>
        <v>0</v>
      </c>
    </row>
    <row r="16" spans="1:14" x14ac:dyDescent="0.25">
      <c r="A16" s="20">
        <v>0.270368</v>
      </c>
      <c r="B16" s="21">
        <v>505.04241234859455</v>
      </c>
      <c r="C16" s="20">
        <v>0</v>
      </c>
      <c r="D16" s="20">
        <v>0</v>
      </c>
      <c r="E16">
        <f t="shared" si="0"/>
        <v>0</v>
      </c>
      <c r="F16">
        <f t="shared" si="1"/>
        <v>0</v>
      </c>
    </row>
    <row r="17" spans="1:6" x14ac:dyDescent="0.25">
      <c r="A17" s="20">
        <v>0.27111299999999999</v>
      </c>
      <c r="B17" s="21">
        <v>497.71872584464876</v>
      </c>
      <c r="C17" s="20">
        <v>0</v>
      </c>
      <c r="D17" s="20">
        <v>0</v>
      </c>
      <c r="E17">
        <f t="shared" si="0"/>
        <v>0</v>
      </c>
      <c r="F17">
        <f t="shared" si="1"/>
        <v>0</v>
      </c>
    </row>
    <row r="18" spans="1:6" x14ac:dyDescent="0.25">
      <c r="A18" s="20">
        <v>0.27117200000000002</v>
      </c>
      <c r="B18" s="21">
        <v>508.74604423543906</v>
      </c>
      <c r="C18" s="20">
        <v>0</v>
      </c>
      <c r="D18" s="20">
        <v>0</v>
      </c>
      <c r="E18">
        <f t="shared" si="0"/>
        <v>0</v>
      </c>
      <c r="F18">
        <f t="shared" si="1"/>
        <v>0</v>
      </c>
    </row>
    <row r="19" spans="1:6" x14ac:dyDescent="0.25">
      <c r="A19" s="20">
        <v>0.27431899999999998</v>
      </c>
      <c r="B19" s="21">
        <v>548.00932167300857</v>
      </c>
      <c r="C19" s="20">
        <v>0</v>
      </c>
      <c r="D19" s="20">
        <v>0</v>
      </c>
      <c r="E19">
        <f t="shared" si="0"/>
        <v>0</v>
      </c>
      <c r="F19">
        <f t="shared" si="1"/>
        <v>0</v>
      </c>
    </row>
    <row r="20" spans="1:6" x14ac:dyDescent="0.25">
      <c r="A20" s="20">
        <v>0.27615600000000001</v>
      </c>
      <c r="B20" s="21">
        <v>512.74202974724938</v>
      </c>
      <c r="C20" s="20">
        <v>0</v>
      </c>
      <c r="D20" s="20">
        <v>0</v>
      </c>
      <c r="E20">
        <f t="shared" si="0"/>
        <v>0</v>
      </c>
      <c r="F20">
        <f t="shared" si="1"/>
        <v>0</v>
      </c>
    </row>
    <row r="21" spans="1:6" x14ac:dyDescent="0.25">
      <c r="A21" s="20">
        <v>0.27672799999999997</v>
      </c>
      <c r="B21" s="21">
        <v>571.92748888726726</v>
      </c>
      <c r="C21" s="20">
        <v>0</v>
      </c>
      <c r="D21" s="20">
        <v>0</v>
      </c>
      <c r="E21">
        <f t="shared" si="0"/>
        <v>0</v>
      </c>
      <c r="F21">
        <f t="shared" si="1"/>
        <v>0</v>
      </c>
    </row>
    <row r="22" spans="1:6" x14ac:dyDescent="0.25">
      <c r="A22" s="20">
        <v>0.27678199999999997</v>
      </c>
      <c r="B22" s="21">
        <v>544.97719768498484</v>
      </c>
      <c r="C22" s="20">
        <v>0</v>
      </c>
      <c r="D22" s="20">
        <v>0</v>
      </c>
      <c r="E22">
        <f t="shared" si="0"/>
        <v>0</v>
      </c>
      <c r="F22">
        <f t="shared" si="1"/>
        <v>0</v>
      </c>
    </row>
    <row r="23" spans="1:6" x14ac:dyDescent="0.25">
      <c r="A23" s="20">
        <v>0.27707500000000002</v>
      </c>
      <c r="B23" s="21">
        <v>559.94591599036869</v>
      </c>
      <c r="C23" s="20">
        <v>64.639999999999986</v>
      </c>
      <c r="D23" s="20">
        <v>0</v>
      </c>
      <c r="E23">
        <f t="shared" si="0"/>
        <v>17.910127999999997</v>
      </c>
      <c r="F23">
        <f t="shared" si="1"/>
        <v>0</v>
      </c>
    </row>
    <row r="24" spans="1:6" x14ac:dyDescent="0.25">
      <c r="A24" s="20">
        <v>0.28089700000000001</v>
      </c>
      <c r="B24" s="21">
        <v>465.63127859207776</v>
      </c>
      <c r="C24" s="20">
        <v>0</v>
      </c>
      <c r="D24" s="20">
        <v>0</v>
      </c>
      <c r="E24">
        <f t="shared" si="0"/>
        <v>0</v>
      </c>
      <c r="F24">
        <f t="shared" si="1"/>
        <v>0</v>
      </c>
    </row>
    <row r="25" spans="1:6" x14ac:dyDescent="0.25">
      <c r="A25" s="20">
        <v>0.28212799999999999</v>
      </c>
      <c r="B25" s="21">
        <v>417.1480062447061</v>
      </c>
      <c r="C25" s="20">
        <v>0</v>
      </c>
      <c r="D25" s="20">
        <v>0</v>
      </c>
      <c r="E25">
        <f t="shared" si="0"/>
        <v>0</v>
      </c>
      <c r="F25">
        <f t="shared" si="1"/>
        <v>0</v>
      </c>
    </row>
    <row r="26" spans="1:6" x14ac:dyDescent="0.25">
      <c r="B26" s="14">
        <f>SUM(B2:B25)</f>
        <v>11705.468149971062</v>
      </c>
    </row>
  </sheetData>
  <sortState xmlns:xlrd2="http://schemas.microsoft.com/office/spreadsheetml/2017/richdata2" ref="A2:D25">
    <sortCondition ref="A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7BE7-ACCB-43D9-BBE1-5A9BDABC78D3}">
  <dimension ref="A1:G26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2.7109375" bestFit="1" customWidth="1"/>
    <col min="3" max="3" width="12" style="13" bestFit="1" customWidth="1"/>
    <col min="4" max="4" width="12.7109375" bestFit="1" customWidth="1"/>
    <col min="5" max="5" width="15.85546875" bestFit="1" customWidth="1"/>
    <col min="6" max="7" width="12" bestFit="1" customWidth="1"/>
  </cols>
  <sheetData>
    <row r="1" spans="1:7" x14ac:dyDescent="0.25">
      <c r="A1" s="1" t="s">
        <v>26</v>
      </c>
      <c r="B1" s="1" t="s">
        <v>62</v>
      </c>
      <c r="C1" s="1" t="s">
        <v>63</v>
      </c>
      <c r="D1" s="16" t="s">
        <v>1</v>
      </c>
      <c r="E1" s="1" t="s">
        <v>46</v>
      </c>
      <c r="F1" s="1"/>
      <c r="G1" s="1"/>
    </row>
    <row r="2" spans="1:7" x14ac:dyDescent="0.25">
      <c r="A2" s="1">
        <v>0.53</v>
      </c>
      <c r="B2">
        <v>62.750000000000007</v>
      </c>
      <c r="C2" s="1">
        <v>62.750000000000007</v>
      </c>
      <c r="D2">
        <v>0</v>
      </c>
      <c r="E2">
        <f>B2-C2+D2</f>
        <v>0</v>
      </c>
      <c r="F2" s="1"/>
      <c r="G2" s="1"/>
    </row>
    <row r="3" spans="1:7" x14ac:dyDescent="0.25">
      <c r="A3" s="1">
        <v>0.53</v>
      </c>
      <c r="B3">
        <v>62.750000000000007</v>
      </c>
      <c r="C3" s="1">
        <v>62.750000000000007</v>
      </c>
      <c r="D3">
        <v>0</v>
      </c>
      <c r="E3">
        <f t="shared" ref="E3:E25" si="0">B3-C3+D3</f>
        <v>0</v>
      </c>
      <c r="F3" s="1"/>
      <c r="G3" s="1"/>
    </row>
    <row r="4" spans="1:7" x14ac:dyDescent="0.25">
      <c r="A4" s="1">
        <v>0.53</v>
      </c>
      <c r="B4">
        <v>62.750000000000007</v>
      </c>
      <c r="C4" s="1">
        <v>62.750000000000007</v>
      </c>
      <c r="D4">
        <v>0</v>
      </c>
      <c r="E4">
        <f t="shared" si="0"/>
        <v>0</v>
      </c>
      <c r="F4" s="1"/>
      <c r="G4" s="1"/>
    </row>
    <row r="5" spans="1:7" x14ac:dyDescent="0.25">
      <c r="A5" s="1">
        <v>0.53</v>
      </c>
      <c r="B5">
        <v>62.750000000000007</v>
      </c>
      <c r="C5" s="1">
        <v>62.750000000000007</v>
      </c>
      <c r="D5">
        <v>0</v>
      </c>
      <c r="E5">
        <f t="shared" si="0"/>
        <v>0</v>
      </c>
      <c r="F5" s="1"/>
      <c r="G5" s="1"/>
    </row>
    <row r="6" spans="1:7" x14ac:dyDescent="0.25">
      <c r="A6" s="1">
        <v>0.53</v>
      </c>
      <c r="B6">
        <v>62.750000000000007</v>
      </c>
      <c r="C6" s="1">
        <v>62.750000000000007</v>
      </c>
      <c r="D6">
        <v>0</v>
      </c>
      <c r="E6">
        <f t="shared" si="0"/>
        <v>0</v>
      </c>
      <c r="F6" s="1"/>
      <c r="G6" s="1"/>
    </row>
    <row r="7" spans="1:7" x14ac:dyDescent="0.25">
      <c r="A7" s="1">
        <v>0.53</v>
      </c>
      <c r="B7">
        <v>89.092975206611598</v>
      </c>
      <c r="C7" s="1">
        <v>0</v>
      </c>
      <c r="D7">
        <v>-89.092975206611598</v>
      </c>
      <c r="E7">
        <f t="shared" si="0"/>
        <v>0</v>
      </c>
      <c r="F7" s="1"/>
      <c r="G7" s="1"/>
    </row>
    <row r="8" spans="1:7" x14ac:dyDescent="0.25">
      <c r="A8" s="1">
        <v>0.53</v>
      </c>
      <c r="B8">
        <v>608.33334516176456</v>
      </c>
      <c r="C8" s="1">
        <v>0</v>
      </c>
      <c r="D8">
        <v>-608.33334516176456</v>
      </c>
      <c r="E8">
        <f t="shared" si="0"/>
        <v>0</v>
      </c>
      <c r="F8" s="1"/>
      <c r="G8" s="1"/>
    </row>
    <row r="9" spans="1:7" x14ac:dyDescent="0.25">
      <c r="A9" s="1">
        <v>0.53</v>
      </c>
      <c r="B9">
        <v>1032.7789374482654</v>
      </c>
      <c r="C9" s="1">
        <v>0</v>
      </c>
      <c r="D9">
        <v>-1032.7789374482654</v>
      </c>
      <c r="E9">
        <f t="shared" si="0"/>
        <v>0</v>
      </c>
      <c r="F9" s="1"/>
      <c r="G9" s="1"/>
    </row>
    <row r="10" spans="1:7" x14ac:dyDescent="0.25">
      <c r="A10" s="1">
        <v>0.53</v>
      </c>
      <c r="B10">
        <v>1047.9166784950978</v>
      </c>
      <c r="C10" s="1">
        <v>0</v>
      </c>
      <c r="D10">
        <v>-1047.9166784950976</v>
      </c>
      <c r="E10">
        <f t="shared" si="0"/>
        <v>0</v>
      </c>
      <c r="F10" s="1"/>
      <c r="G10" s="1"/>
    </row>
    <row r="11" spans="1:7" x14ac:dyDescent="0.25">
      <c r="A11" s="1">
        <v>0.53</v>
      </c>
      <c r="B11">
        <v>857.7355490185148</v>
      </c>
      <c r="C11" s="1">
        <v>0</v>
      </c>
      <c r="D11">
        <v>-857.73554901851458</v>
      </c>
      <c r="E11">
        <f t="shared" si="0"/>
        <v>0</v>
      </c>
      <c r="F11" s="1"/>
      <c r="G11" s="1"/>
    </row>
    <row r="12" spans="1:7" x14ac:dyDescent="0.25">
      <c r="A12" s="1">
        <v>0.53</v>
      </c>
      <c r="B12">
        <v>744.06406141520824</v>
      </c>
      <c r="C12" s="1">
        <v>0</v>
      </c>
      <c r="D12">
        <v>-744.06406141520824</v>
      </c>
      <c r="E12">
        <f t="shared" si="0"/>
        <v>0</v>
      </c>
      <c r="F12" s="1"/>
      <c r="G12" s="1"/>
    </row>
    <row r="13" spans="1:7" x14ac:dyDescent="0.25">
      <c r="A13" s="1">
        <v>0.53</v>
      </c>
      <c r="B13">
        <v>763.97576980125007</v>
      </c>
      <c r="C13" s="1">
        <v>0</v>
      </c>
      <c r="D13">
        <v>-763.97576980125007</v>
      </c>
      <c r="E13">
        <f t="shared" si="0"/>
        <v>0</v>
      </c>
      <c r="F13" s="1"/>
      <c r="G13" s="1"/>
    </row>
    <row r="14" spans="1:7" x14ac:dyDescent="0.25">
      <c r="A14" s="1">
        <v>0.53</v>
      </c>
      <c r="B14">
        <v>718.98072808187499</v>
      </c>
      <c r="C14" s="1">
        <v>33.799999999999997</v>
      </c>
      <c r="D14">
        <v>-685.19565865989955</v>
      </c>
      <c r="E14">
        <f t="shared" si="0"/>
        <v>-1.4930578024518582E-2</v>
      </c>
      <c r="F14" s="1"/>
      <c r="G14" s="1"/>
    </row>
    <row r="15" spans="1:7" x14ac:dyDescent="0.25">
      <c r="A15" s="1">
        <v>0.53</v>
      </c>
      <c r="B15">
        <v>719.56888235184806</v>
      </c>
      <c r="C15" s="1">
        <v>719.56</v>
      </c>
      <c r="D15">
        <v>1260</v>
      </c>
      <c r="E15">
        <f t="shared" si="0"/>
        <v>1260.0088823518481</v>
      </c>
      <c r="F15" s="1"/>
      <c r="G15" s="1"/>
    </row>
    <row r="16" spans="1:7" x14ac:dyDescent="0.25">
      <c r="A16" s="1">
        <v>0.53</v>
      </c>
      <c r="B16">
        <v>694.40221568518132</v>
      </c>
      <c r="C16" s="1">
        <v>694.4</v>
      </c>
      <c r="D16">
        <v>1260</v>
      </c>
      <c r="E16">
        <f t="shared" si="0"/>
        <v>1260.0022156851815</v>
      </c>
      <c r="F16" s="1"/>
      <c r="G16" s="1"/>
    </row>
    <row r="17" spans="1:7" x14ac:dyDescent="0.25">
      <c r="A17" s="1">
        <v>0.53</v>
      </c>
      <c r="B17">
        <v>720.15703662181977</v>
      </c>
      <c r="C17" s="1">
        <v>0</v>
      </c>
      <c r="D17">
        <v>-720.15703662181977</v>
      </c>
      <c r="E17">
        <f t="shared" si="0"/>
        <v>0</v>
      </c>
      <c r="F17" s="1"/>
      <c r="G17" s="1"/>
    </row>
    <row r="18" spans="1:7" x14ac:dyDescent="0.25">
      <c r="A18" s="1">
        <v>0.53</v>
      </c>
      <c r="B18">
        <v>765.23541167452811</v>
      </c>
      <c r="C18" s="1">
        <v>0</v>
      </c>
      <c r="D18">
        <v>-765.23541167452822</v>
      </c>
      <c r="E18">
        <f t="shared" si="0"/>
        <v>0</v>
      </c>
      <c r="F18" s="1"/>
      <c r="G18" s="1"/>
    </row>
    <row r="19" spans="1:7" x14ac:dyDescent="0.25">
      <c r="A19" s="1">
        <v>0.53</v>
      </c>
      <c r="B19">
        <v>745.32370328848651</v>
      </c>
      <c r="C19" s="1">
        <v>0</v>
      </c>
      <c r="D19">
        <v>-745.32370328848651</v>
      </c>
      <c r="E19">
        <f t="shared" si="0"/>
        <v>0</v>
      </c>
      <c r="F19" s="1"/>
      <c r="G19" s="1"/>
    </row>
    <row r="20" spans="1:7" x14ac:dyDescent="0.25">
      <c r="A20" s="1">
        <v>0.53</v>
      </c>
      <c r="B20">
        <v>475.87190082644696</v>
      </c>
      <c r="C20" s="1">
        <v>475.87190082644696</v>
      </c>
      <c r="D20">
        <v>1260</v>
      </c>
      <c r="E20">
        <f t="shared" si="0"/>
        <v>1260</v>
      </c>
      <c r="F20" s="1"/>
      <c r="G20" s="1"/>
    </row>
    <row r="21" spans="1:7" x14ac:dyDescent="0.25">
      <c r="A21" s="1">
        <v>0.53</v>
      </c>
      <c r="B21">
        <v>601.45523415978028</v>
      </c>
      <c r="C21" s="1">
        <v>0</v>
      </c>
      <c r="D21">
        <v>-601.45523415978028</v>
      </c>
      <c r="E21">
        <f t="shared" si="0"/>
        <v>0</v>
      </c>
      <c r="F21" s="1"/>
      <c r="G21" s="1"/>
    </row>
    <row r="22" spans="1:7" x14ac:dyDescent="0.25">
      <c r="A22" s="1">
        <v>0.53</v>
      </c>
      <c r="B22">
        <v>491.00964187327816</v>
      </c>
      <c r="C22" s="1">
        <v>0</v>
      </c>
      <c r="D22">
        <v>-491.00964187327816</v>
      </c>
      <c r="E22">
        <f t="shared" si="0"/>
        <v>0</v>
      </c>
      <c r="F22" s="1"/>
      <c r="G22" s="1"/>
    </row>
    <row r="23" spans="1:7" x14ac:dyDescent="0.25">
      <c r="A23" s="1">
        <v>0.53</v>
      </c>
      <c r="B23">
        <v>296.34297520661147</v>
      </c>
      <c r="C23" s="1">
        <v>0</v>
      </c>
      <c r="D23">
        <v>-296.34297520661147</v>
      </c>
      <c r="E23">
        <f t="shared" si="0"/>
        <v>0</v>
      </c>
      <c r="F23" s="1"/>
      <c r="G23" s="1"/>
    </row>
    <row r="24" spans="1:7" x14ac:dyDescent="0.25">
      <c r="A24" s="1">
        <v>0.53</v>
      </c>
      <c r="B24">
        <v>151.92630853994481</v>
      </c>
      <c r="C24" s="1">
        <v>0</v>
      </c>
      <c r="D24">
        <v>-151.92630853994481</v>
      </c>
      <c r="E24">
        <f t="shared" si="0"/>
        <v>0</v>
      </c>
      <c r="F24" s="1"/>
      <c r="G24" s="1"/>
    </row>
    <row r="25" spans="1:7" x14ac:dyDescent="0.25">
      <c r="A25" s="1">
        <v>0.53</v>
      </c>
      <c r="B25">
        <v>32.004820936639099</v>
      </c>
      <c r="C25" s="1">
        <v>23.4</v>
      </c>
      <c r="D25">
        <v>-8.5496886355507797</v>
      </c>
      <c r="E25">
        <f t="shared" si="0"/>
        <v>5.5132301088320901E-2</v>
      </c>
      <c r="F25" s="1"/>
      <c r="G25" s="1"/>
    </row>
    <row r="26" spans="1:7" x14ac:dyDescent="0.25">
      <c r="F26" s="1"/>
    </row>
  </sheetData>
  <conditionalFormatting sqref="D26:D1048576 E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9D12-A3EA-420A-8B7E-9AD2C9246010}">
  <dimension ref="A1:F26"/>
  <sheetViews>
    <sheetView zoomScale="145" zoomScaleNormal="145" workbookViewId="0">
      <selection activeCell="I25" sqref="I25"/>
    </sheetView>
  </sheetViews>
  <sheetFormatPr defaultRowHeight="15" x14ac:dyDescent="0.25"/>
  <cols>
    <col min="1" max="1" width="19.140625" customWidth="1"/>
    <col min="2" max="2" width="12.7109375" bestFit="1" customWidth="1"/>
    <col min="4" max="4" width="4.85546875" bestFit="1" customWidth="1"/>
    <col min="5" max="5" width="15.85546875" bestFit="1" customWidth="1"/>
    <col min="6" max="6" width="11.28515625" bestFit="1" customWidth="1"/>
    <col min="7" max="7" width="10" bestFit="1" customWidth="1"/>
  </cols>
  <sheetData>
    <row r="1" spans="1:5" x14ac:dyDescent="0.25">
      <c r="A1" s="1" t="s">
        <v>26</v>
      </c>
      <c r="B1" s="1" t="s">
        <v>62</v>
      </c>
      <c r="C1" s="1" t="s">
        <v>63</v>
      </c>
      <c r="D1" s="16" t="s">
        <v>1</v>
      </c>
      <c r="E1" s="16" t="s">
        <v>46</v>
      </c>
    </row>
    <row r="2" spans="1:5" x14ac:dyDescent="0.25">
      <c r="A2" s="1">
        <v>0.53</v>
      </c>
      <c r="B2" s="1">
        <v>62.750000000000007</v>
      </c>
      <c r="C2" s="1">
        <v>62.750000000000007</v>
      </c>
      <c r="D2" s="16">
        <v>0</v>
      </c>
      <c r="E2" s="13">
        <f>B2-C2+D2</f>
        <v>0</v>
      </c>
    </row>
    <row r="3" spans="1:5" x14ac:dyDescent="0.25">
      <c r="A3" s="1">
        <v>0.53</v>
      </c>
      <c r="B3" s="1">
        <v>62.750000000000007</v>
      </c>
      <c r="C3" s="1">
        <v>62.750000000000007</v>
      </c>
      <c r="D3" s="13">
        <f>'KPIs Eco El'!V3-'KPIs Eco El'!V2</f>
        <v>0</v>
      </c>
      <c r="E3" s="13">
        <f t="shared" ref="E3:E25" si="0">B3-C3+D3</f>
        <v>0</v>
      </c>
    </row>
    <row r="4" spans="1:5" x14ac:dyDescent="0.25">
      <c r="A4" s="1">
        <v>0.53</v>
      </c>
      <c r="B4" s="1">
        <v>62.750000000000007</v>
      </c>
      <c r="C4" s="1">
        <v>62.750000000000007</v>
      </c>
      <c r="D4" s="13">
        <f>'KPIs Eco El'!V4-'KPIs Eco El'!V3</f>
        <v>0</v>
      </c>
      <c r="E4" s="13">
        <f t="shared" si="0"/>
        <v>0</v>
      </c>
    </row>
    <row r="5" spans="1:5" x14ac:dyDescent="0.25">
      <c r="A5" s="1">
        <v>0.53</v>
      </c>
      <c r="B5" s="1">
        <v>62.750000000000007</v>
      </c>
      <c r="C5" s="1">
        <v>62.750000000000007</v>
      </c>
      <c r="D5" s="13">
        <f>'KPIs Eco El'!V5-'KPIs Eco El'!V4</f>
        <v>0</v>
      </c>
      <c r="E5" s="13">
        <f t="shared" si="0"/>
        <v>0</v>
      </c>
    </row>
    <row r="6" spans="1:5" x14ac:dyDescent="0.25">
      <c r="A6" s="1">
        <v>0.53</v>
      </c>
      <c r="B6" s="1">
        <v>62.750000000000007</v>
      </c>
      <c r="C6" s="1">
        <v>62.750000000000007</v>
      </c>
      <c r="D6" s="13">
        <f>'KPIs Eco El'!V6-'KPIs Eco El'!V5</f>
        <v>0</v>
      </c>
      <c r="E6" s="13">
        <f t="shared" si="0"/>
        <v>0</v>
      </c>
    </row>
    <row r="7" spans="1:5" x14ac:dyDescent="0.25">
      <c r="A7" s="1">
        <v>0.53</v>
      </c>
      <c r="B7" s="1">
        <v>89.092975206611598</v>
      </c>
      <c r="C7" s="1">
        <v>0</v>
      </c>
      <c r="D7" s="13">
        <f>'KPIs Eco El'!V7-'KPIs Eco El'!V6</f>
        <v>0</v>
      </c>
      <c r="E7" s="13">
        <f>B7-C7+D7</f>
        <v>89.092975206611598</v>
      </c>
    </row>
    <row r="8" spans="1:5" x14ac:dyDescent="0.25">
      <c r="A8" s="1">
        <v>0.53</v>
      </c>
      <c r="B8" s="1">
        <v>608.33334516176456</v>
      </c>
      <c r="C8" s="1">
        <v>0</v>
      </c>
      <c r="D8" s="13">
        <f>'KPIs Eco El'!V8-'KPIs Eco El'!V7</f>
        <v>0</v>
      </c>
      <c r="E8" s="13">
        <f t="shared" si="0"/>
        <v>608.33334516176456</v>
      </c>
    </row>
    <row r="9" spans="1:5" x14ac:dyDescent="0.25">
      <c r="A9" s="1">
        <v>0.53</v>
      </c>
      <c r="B9" s="1">
        <v>1032.7789374482654</v>
      </c>
      <c r="C9" s="1">
        <v>0</v>
      </c>
      <c r="D9" s="13">
        <f>'KPIs Eco El'!V9-'KPIs Eco El'!V8</f>
        <v>0</v>
      </c>
      <c r="E9" s="13">
        <f t="shared" si="0"/>
        <v>1032.7789374482654</v>
      </c>
    </row>
    <row r="10" spans="1:5" x14ac:dyDescent="0.25">
      <c r="A10" s="1">
        <v>0.53</v>
      </c>
      <c r="B10" s="1">
        <v>1047.9166784950978</v>
      </c>
      <c r="C10" s="1">
        <v>0</v>
      </c>
      <c r="D10" s="13">
        <f>'KPIs Eco El'!V10-'KPIs Eco El'!V9</f>
        <v>0</v>
      </c>
      <c r="E10" s="13">
        <f t="shared" si="0"/>
        <v>1047.9166784950978</v>
      </c>
    </row>
    <row r="11" spans="1:5" x14ac:dyDescent="0.25">
      <c r="A11" s="1">
        <v>0.53</v>
      </c>
      <c r="B11" s="1">
        <v>857.7355490185148</v>
      </c>
      <c r="C11" s="1">
        <v>0</v>
      </c>
      <c r="D11" s="13">
        <f>'KPIs Eco El'!V11-'KPIs Eco El'!V10</f>
        <v>0</v>
      </c>
      <c r="E11" s="13">
        <f t="shared" si="0"/>
        <v>857.7355490185148</v>
      </c>
    </row>
    <row r="12" spans="1:5" x14ac:dyDescent="0.25">
      <c r="A12" s="1">
        <v>0.53</v>
      </c>
      <c r="B12" s="1">
        <v>744.06406141520824</v>
      </c>
      <c r="C12" s="1">
        <v>0</v>
      </c>
      <c r="D12" s="13">
        <f>'KPIs Eco El'!V12-'KPIs Eco El'!V11</f>
        <v>0</v>
      </c>
      <c r="E12" s="13">
        <f t="shared" si="0"/>
        <v>744.06406141520824</v>
      </c>
    </row>
    <row r="13" spans="1:5" x14ac:dyDescent="0.25">
      <c r="A13" s="1">
        <v>0.53</v>
      </c>
      <c r="B13" s="1">
        <v>763.97576980125007</v>
      </c>
      <c r="C13" s="1">
        <v>0</v>
      </c>
      <c r="D13" s="13">
        <f>'KPIs Eco El'!V13-'KPIs Eco El'!V12</f>
        <v>0</v>
      </c>
      <c r="E13" s="13">
        <f t="shared" si="0"/>
        <v>763.97576980125007</v>
      </c>
    </row>
    <row r="14" spans="1:5" x14ac:dyDescent="0.25">
      <c r="A14" s="1">
        <v>0.53</v>
      </c>
      <c r="B14" s="1">
        <v>718.98072808187499</v>
      </c>
      <c r="C14" s="1">
        <v>33.799999999999997</v>
      </c>
      <c r="D14" s="13">
        <f>'KPIs Eco El'!V14-'KPIs Eco El'!V13</f>
        <v>0</v>
      </c>
      <c r="E14" s="13">
        <f t="shared" si="0"/>
        <v>685.18072808187503</v>
      </c>
    </row>
    <row r="15" spans="1:5" x14ac:dyDescent="0.25">
      <c r="A15" s="1">
        <v>0.53</v>
      </c>
      <c r="B15" s="1">
        <v>719.56888235184806</v>
      </c>
      <c r="C15" s="1">
        <v>719.56</v>
      </c>
      <c r="D15" s="13">
        <f>'KPIs Eco El'!V15-'KPIs Eco El'!V14</f>
        <v>0</v>
      </c>
      <c r="E15" s="13">
        <f t="shared" si="0"/>
        <v>8.8823518481149222E-3</v>
      </c>
    </row>
    <row r="16" spans="1:5" x14ac:dyDescent="0.25">
      <c r="A16" s="1">
        <v>0.53</v>
      </c>
      <c r="B16" s="1">
        <v>694.40221568518132</v>
      </c>
      <c r="C16" s="1">
        <v>694.4</v>
      </c>
      <c r="D16" s="13">
        <f>'KPIs Eco El'!V16-'KPIs Eco El'!V15</f>
        <v>0</v>
      </c>
      <c r="E16" s="13">
        <f t="shared" si="0"/>
        <v>2.215685181340632E-3</v>
      </c>
    </row>
    <row r="17" spans="1:6" x14ac:dyDescent="0.25">
      <c r="A17" s="1">
        <v>0.53</v>
      </c>
      <c r="B17" s="1">
        <v>720.15703662181977</v>
      </c>
      <c r="C17" s="1">
        <v>0</v>
      </c>
      <c r="D17" s="13">
        <f>'KPIs Eco El'!V17-'KPIs Eco El'!V16</f>
        <v>0</v>
      </c>
      <c r="E17" s="13">
        <f t="shared" si="0"/>
        <v>720.15703662181977</v>
      </c>
    </row>
    <row r="18" spans="1:6" x14ac:dyDescent="0.25">
      <c r="A18" s="1">
        <v>0.53</v>
      </c>
      <c r="B18" s="1">
        <v>765.23541167452811</v>
      </c>
      <c r="C18" s="1">
        <v>0</v>
      </c>
      <c r="D18" s="13">
        <f>'KPIs Eco El'!V18-'KPIs Eco El'!V17</f>
        <v>0</v>
      </c>
      <c r="E18" s="13">
        <f t="shared" si="0"/>
        <v>765.23541167452811</v>
      </c>
    </row>
    <row r="19" spans="1:6" x14ac:dyDescent="0.25">
      <c r="A19" s="1">
        <v>0.53</v>
      </c>
      <c r="B19" s="1">
        <v>745.32370328848651</v>
      </c>
      <c r="C19" s="1">
        <v>0</v>
      </c>
      <c r="D19" s="13">
        <f>'KPIs Eco El'!V19-'KPIs Eco El'!V18</f>
        <v>0</v>
      </c>
      <c r="E19" s="13">
        <f t="shared" si="0"/>
        <v>745.32370328848651</v>
      </c>
    </row>
    <row r="20" spans="1:6" x14ac:dyDescent="0.25">
      <c r="A20" s="1">
        <v>0.53</v>
      </c>
      <c r="B20" s="1">
        <v>475.87190082644696</v>
      </c>
      <c r="C20" s="1">
        <v>475.87190082644696</v>
      </c>
      <c r="D20" s="13">
        <f>'KPIs Eco El'!V20-'KPIs Eco El'!V19</f>
        <v>0</v>
      </c>
      <c r="E20" s="13">
        <f t="shared" si="0"/>
        <v>0</v>
      </c>
    </row>
    <row r="21" spans="1:6" x14ac:dyDescent="0.25">
      <c r="A21" s="1">
        <v>0.53</v>
      </c>
      <c r="B21" s="1">
        <v>601.45523415978028</v>
      </c>
      <c r="C21" s="1">
        <v>0</v>
      </c>
      <c r="D21" s="13">
        <f>'KPIs Eco El'!V21-'KPIs Eco El'!V20</f>
        <v>0</v>
      </c>
      <c r="E21" s="13">
        <f t="shared" si="0"/>
        <v>601.45523415978028</v>
      </c>
    </row>
    <row r="22" spans="1:6" x14ac:dyDescent="0.25">
      <c r="A22" s="1">
        <v>0.53</v>
      </c>
      <c r="B22" s="1">
        <v>491.00964187327816</v>
      </c>
      <c r="C22" s="1">
        <v>0</v>
      </c>
      <c r="D22" s="13">
        <f>'KPIs Eco El'!V22-'KPIs Eco El'!V21</f>
        <v>0</v>
      </c>
      <c r="E22" s="13">
        <f t="shared" si="0"/>
        <v>491.00964187327816</v>
      </c>
    </row>
    <row r="23" spans="1:6" x14ac:dyDescent="0.25">
      <c r="A23" s="1">
        <v>0.53</v>
      </c>
      <c r="B23" s="1">
        <v>296.34297520661147</v>
      </c>
      <c r="C23" s="1">
        <v>0</v>
      </c>
      <c r="D23" s="13">
        <f>'KPIs Eco El'!V23-'KPIs Eco El'!V22</f>
        <v>0</v>
      </c>
      <c r="E23" s="13">
        <f t="shared" si="0"/>
        <v>296.34297520661147</v>
      </c>
    </row>
    <row r="24" spans="1:6" x14ac:dyDescent="0.25">
      <c r="A24" s="1">
        <v>0.53</v>
      </c>
      <c r="B24" s="1">
        <v>151.92630853994481</v>
      </c>
      <c r="C24" s="1">
        <v>0</v>
      </c>
      <c r="D24" s="13">
        <f>'KPIs Eco El'!V24-'KPIs Eco El'!V23</f>
        <v>0</v>
      </c>
      <c r="E24" s="13">
        <f t="shared" si="0"/>
        <v>151.92630853994481</v>
      </c>
    </row>
    <row r="25" spans="1:6" x14ac:dyDescent="0.25">
      <c r="A25" s="1">
        <v>0.53</v>
      </c>
      <c r="B25" s="1">
        <v>32.004820936639099</v>
      </c>
      <c r="C25" s="1">
        <v>23.4</v>
      </c>
      <c r="D25" s="13">
        <f>'KPIs Eco El'!V25-'KPIs Eco El'!V24</f>
        <v>0</v>
      </c>
      <c r="E25" s="13">
        <f t="shared" si="0"/>
        <v>8.6048209366391006</v>
      </c>
    </row>
    <row r="26" spans="1:6" x14ac:dyDescent="0.25">
      <c r="F26" s="13"/>
    </row>
  </sheetData>
  <conditionalFormatting sqref="E2:E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AF08-C285-4B82-A2B7-011F837FB678}">
  <dimension ref="A1:AG25"/>
  <sheetViews>
    <sheetView topLeftCell="D1" workbookViewId="0">
      <selection activeCell="AE2" sqref="AE2"/>
    </sheetView>
  </sheetViews>
  <sheetFormatPr defaultRowHeight="15" x14ac:dyDescent="0.25"/>
  <cols>
    <col min="13" max="13" width="10.7109375" bestFit="1" customWidth="1"/>
  </cols>
  <sheetData>
    <row r="1" spans="1:33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64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</row>
    <row r="2" spans="1:33" x14ac:dyDescent="0.25">
      <c r="A2">
        <v>0</v>
      </c>
      <c r="B2">
        <v>0</v>
      </c>
      <c r="C2">
        <v>0</v>
      </c>
      <c r="D2">
        <v>-391735.72530890797</v>
      </c>
      <c r="E2">
        <v>0</v>
      </c>
      <c r="F2">
        <v>0</v>
      </c>
      <c r="G2">
        <v>0</v>
      </c>
      <c r="H2">
        <v>0</v>
      </c>
      <c r="I2">
        <v>337500</v>
      </c>
      <c r="J2">
        <v>0</v>
      </c>
      <c r="K2">
        <v>-1916.11</v>
      </c>
      <c r="L2">
        <v>1</v>
      </c>
      <c r="M2">
        <v>0</v>
      </c>
      <c r="N2">
        <v>-62750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0.5</v>
      </c>
      <c r="AC2">
        <v>1</v>
      </c>
      <c r="AD2">
        <v>-54235.725308907597</v>
      </c>
      <c r="AE2">
        <v>-64665.11</v>
      </c>
      <c r="AF2">
        <v>0.254685102</v>
      </c>
      <c r="AG2">
        <v>0.19520999999999999</v>
      </c>
    </row>
    <row r="3" spans="1:33" x14ac:dyDescent="0.25">
      <c r="A3">
        <v>3600</v>
      </c>
      <c r="B3">
        <v>0</v>
      </c>
      <c r="C3">
        <v>0</v>
      </c>
      <c r="D3">
        <v>-395127.288299268</v>
      </c>
      <c r="E3">
        <v>0</v>
      </c>
      <c r="F3">
        <v>0</v>
      </c>
      <c r="G3">
        <v>0</v>
      </c>
      <c r="H3">
        <v>0</v>
      </c>
      <c r="I3">
        <v>337500</v>
      </c>
      <c r="J3">
        <v>0</v>
      </c>
      <c r="K3">
        <v>-1745.93</v>
      </c>
      <c r="L3">
        <v>1</v>
      </c>
      <c r="M3">
        <v>0</v>
      </c>
      <c r="N3">
        <v>-62750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0.5</v>
      </c>
      <c r="AA3">
        <v>0.5</v>
      </c>
      <c r="AB3">
        <v>0.29816102265081901</v>
      </c>
      <c r="AC3">
        <v>1</v>
      </c>
      <c r="AD3">
        <v>-57627.288299268097</v>
      </c>
      <c r="AE3">
        <v>-64494.93</v>
      </c>
      <c r="AF3">
        <v>0.23503848899999999</v>
      </c>
      <c r="AG3">
        <v>0.17444999999999999</v>
      </c>
    </row>
    <row r="4" spans="1:33" x14ac:dyDescent="0.25">
      <c r="A4">
        <v>7200</v>
      </c>
      <c r="B4">
        <v>0</v>
      </c>
      <c r="C4">
        <v>0</v>
      </c>
      <c r="D4">
        <v>-386838.771823544</v>
      </c>
      <c r="E4">
        <v>0</v>
      </c>
      <c r="F4">
        <v>0</v>
      </c>
      <c r="G4">
        <v>0</v>
      </c>
      <c r="H4">
        <v>0</v>
      </c>
      <c r="I4">
        <v>337500</v>
      </c>
      <c r="J4">
        <v>0</v>
      </c>
      <c r="K4">
        <v>-1504.68</v>
      </c>
      <c r="L4">
        <v>1</v>
      </c>
      <c r="M4">
        <v>0</v>
      </c>
      <c r="N4">
        <v>-62750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</v>
      </c>
      <c r="AA4">
        <v>0.5</v>
      </c>
      <c r="AB4">
        <v>9.6322045301637099E-2</v>
      </c>
      <c r="AC4">
        <v>1</v>
      </c>
      <c r="AD4">
        <v>-49338.771823543502</v>
      </c>
      <c r="AE4">
        <v>-64253.68</v>
      </c>
      <c r="AF4">
        <v>0.20922375300000001</v>
      </c>
      <c r="AG4">
        <v>0.14960999999999999</v>
      </c>
    </row>
    <row r="5" spans="1:33" x14ac:dyDescent="0.25">
      <c r="A5">
        <v>10800</v>
      </c>
      <c r="B5">
        <v>0</v>
      </c>
      <c r="C5">
        <v>0</v>
      </c>
      <c r="D5">
        <v>-400327.600799268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-1389.39</v>
      </c>
      <c r="L5">
        <v>1</v>
      </c>
      <c r="M5">
        <v>0</v>
      </c>
      <c r="N5">
        <v>-62750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  <c r="AA5">
        <v>0.5</v>
      </c>
      <c r="AB5">
        <v>0</v>
      </c>
      <c r="AC5">
        <v>1</v>
      </c>
      <c r="AD5">
        <v>-400327.600799268</v>
      </c>
      <c r="AE5">
        <v>-64138.39</v>
      </c>
      <c r="AF5">
        <v>0.200678984</v>
      </c>
      <c r="AG5">
        <v>0.14057</v>
      </c>
    </row>
    <row r="6" spans="1:33" x14ac:dyDescent="0.25">
      <c r="A6">
        <v>14400</v>
      </c>
      <c r="B6">
        <v>0</v>
      </c>
      <c r="C6">
        <v>0</v>
      </c>
      <c r="D6">
        <v>-398289.084323544</v>
      </c>
      <c r="E6">
        <v>0</v>
      </c>
      <c r="F6">
        <v>0</v>
      </c>
      <c r="G6">
        <v>3428771.5</v>
      </c>
      <c r="H6">
        <v>0</v>
      </c>
      <c r="I6">
        <v>0</v>
      </c>
      <c r="J6">
        <v>0</v>
      </c>
      <c r="K6">
        <v>-1330.01</v>
      </c>
      <c r="L6">
        <v>1</v>
      </c>
      <c r="M6">
        <v>0</v>
      </c>
      <c r="N6">
        <v>-62750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</v>
      </c>
      <c r="AC6">
        <v>1</v>
      </c>
      <c r="AD6">
        <v>3030482.4156764601</v>
      </c>
      <c r="AE6">
        <v>-64079.01</v>
      </c>
      <c r="AF6">
        <v>0.20197621599999999</v>
      </c>
      <c r="AG6">
        <v>0.14055999999999999</v>
      </c>
    </row>
    <row r="7" spans="1:33" x14ac:dyDescent="0.25">
      <c r="A7">
        <v>18000</v>
      </c>
      <c r="B7">
        <v>0</v>
      </c>
      <c r="C7">
        <v>0</v>
      </c>
      <c r="D7">
        <v>-485746.16169024498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-1261.3</v>
      </c>
      <c r="L7">
        <v>1</v>
      </c>
      <c r="M7">
        <v>0</v>
      </c>
      <c r="N7">
        <v>-62750</v>
      </c>
      <c r="O7">
        <v>0</v>
      </c>
      <c r="P7">
        <v>-2634.29752066116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0.163137263651772</v>
      </c>
      <c r="AA7">
        <v>0.5</v>
      </c>
      <c r="AB7">
        <v>0</v>
      </c>
      <c r="AC7">
        <v>1</v>
      </c>
      <c r="AD7">
        <v>-485746.16169024498</v>
      </c>
      <c r="AE7">
        <v>-90353.275206611594</v>
      </c>
      <c r="AF7">
        <v>0.20758394199999999</v>
      </c>
      <c r="AG7">
        <v>0.14516000000000001</v>
      </c>
    </row>
    <row r="8" spans="1:33" x14ac:dyDescent="0.25">
      <c r="A8">
        <v>21600</v>
      </c>
      <c r="B8">
        <v>0</v>
      </c>
      <c r="C8">
        <v>0</v>
      </c>
      <c r="D8">
        <v>-487656.94417347398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-25186.1</v>
      </c>
      <c r="L8">
        <v>1</v>
      </c>
      <c r="M8">
        <v>0</v>
      </c>
      <c r="N8">
        <v>-188333.33333333299</v>
      </c>
      <c r="O8">
        <v>-367314.06141520798</v>
      </c>
      <c r="P8">
        <v>-5268.59504132232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0.163137263651772</v>
      </c>
      <c r="AA8">
        <v>0.5</v>
      </c>
      <c r="AB8">
        <v>0</v>
      </c>
      <c r="AC8">
        <v>1</v>
      </c>
      <c r="AD8">
        <v>-487656.94417347398</v>
      </c>
      <c r="AE8">
        <v>-633518.44516176498</v>
      </c>
      <c r="AF8">
        <v>0.22290945400000001</v>
      </c>
      <c r="AG8">
        <v>0.15945999999999999</v>
      </c>
    </row>
    <row r="9" spans="1:33" x14ac:dyDescent="0.25">
      <c r="A9">
        <v>25200</v>
      </c>
      <c r="B9">
        <v>0</v>
      </c>
      <c r="C9">
        <v>1112.5</v>
      </c>
      <c r="D9">
        <v>-515761.03260860901</v>
      </c>
      <c r="E9">
        <v>0</v>
      </c>
      <c r="F9">
        <v>0</v>
      </c>
      <c r="G9">
        <v>-177148.53260000001</v>
      </c>
      <c r="H9">
        <v>0</v>
      </c>
      <c r="I9">
        <v>-337500</v>
      </c>
      <c r="J9">
        <v>0</v>
      </c>
      <c r="K9">
        <v>-49335.7</v>
      </c>
      <c r="L9">
        <v>1</v>
      </c>
      <c r="M9">
        <v>0</v>
      </c>
      <c r="N9">
        <v>-533750</v>
      </c>
      <c r="O9">
        <v>-367314.06141520798</v>
      </c>
      <c r="P9">
        <v>-13171.487603305801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0.163137263651772</v>
      </c>
      <c r="AA9">
        <v>0.5</v>
      </c>
      <c r="AB9">
        <v>0</v>
      </c>
      <c r="AC9">
        <v>1</v>
      </c>
      <c r="AD9">
        <v>-1029297.06520861</v>
      </c>
      <c r="AE9">
        <v>-1082113.6374482701</v>
      </c>
      <c r="AF9">
        <v>0.23400607000000001</v>
      </c>
      <c r="AG9">
        <v>0.17157</v>
      </c>
    </row>
    <row r="10" spans="1:33" x14ac:dyDescent="0.25">
      <c r="A10">
        <v>28800</v>
      </c>
      <c r="B10">
        <v>0</v>
      </c>
      <c r="C10">
        <v>287081.25</v>
      </c>
      <c r="D10">
        <v>-559945.91599036905</v>
      </c>
      <c r="E10">
        <v>0</v>
      </c>
      <c r="F10">
        <v>0</v>
      </c>
      <c r="G10">
        <v>64635.334009999999</v>
      </c>
      <c r="H10">
        <v>0</v>
      </c>
      <c r="I10">
        <v>-337500</v>
      </c>
      <c r="J10">
        <v>0</v>
      </c>
      <c r="K10">
        <v>-48084.2</v>
      </c>
      <c r="L10">
        <v>1</v>
      </c>
      <c r="M10">
        <v>0</v>
      </c>
      <c r="N10">
        <v>-627916.66666666698</v>
      </c>
      <c r="O10">
        <v>-367314.06141520798</v>
      </c>
      <c r="P10">
        <v>-5268.59504132232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0.190691525007081</v>
      </c>
      <c r="AA10">
        <v>0.5</v>
      </c>
      <c r="AB10">
        <v>6.5990132316662897E-2</v>
      </c>
      <c r="AC10">
        <v>1</v>
      </c>
      <c r="AD10">
        <v>-545729.33198036905</v>
      </c>
      <c r="AE10">
        <v>-1095999.8784951</v>
      </c>
      <c r="AF10">
        <v>0.20459496199999999</v>
      </c>
      <c r="AG10">
        <v>0.14926</v>
      </c>
    </row>
    <row r="11" spans="1:33" x14ac:dyDescent="0.25">
      <c r="A11">
        <v>32400</v>
      </c>
      <c r="B11">
        <v>0</v>
      </c>
      <c r="C11">
        <v>1049418.75</v>
      </c>
      <c r="D11">
        <v>-571927.48888726695</v>
      </c>
      <c r="E11">
        <v>0</v>
      </c>
      <c r="F11">
        <v>0</v>
      </c>
      <c r="G11">
        <v>-825966.8014</v>
      </c>
      <c r="H11">
        <v>0</v>
      </c>
      <c r="I11">
        <v>-212625</v>
      </c>
      <c r="J11">
        <v>0</v>
      </c>
      <c r="K11">
        <v>3928.43</v>
      </c>
      <c r="L11">
        <v>1</v>
      </c>
      <c r="M11">
        <v>0</v>
      </c>
      <c r="N11">
        <v>-477250</v>
      </c>
      <c r="O11">
        <v>-367314.06141520798</v>
      </c>
      <c r="P11">
        <v>-1317.14876033057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0.18063495159933199</v>
      </c>
      <c r="AA11">
        <v>0.5</v>
      </c>
      <c r="AB11">
        <v>0.13549086117963699</v>
      </c>
      <c r="AC11">
        <v>1</v>
      </c>
      <c r="AD11">
        <v>-561100.54028726695</v>
      </c>
      <c r="AE11">
        <v>-853806.11901851499</v>
      </c>
      <c r="AF11">
        <v>0.19017879100000001</v>
      </c>
      <c r="AG11">
        <v>0.14055999999999999</v>
      </c>
    </row>
    <row r="12" spans="1:33" x14ac:dyDescent="0.25">
      <c r="A12">
        <v>36000</v>
      </c>
      <c r="B12">
        <v>0</v>
      </c>
      <c r="C12">
        <v>1648937.5</v>
      </c>
      <c r="D12">
        <v>-544977.19768498605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12700.7</v>
      </c>
      <c r="L12">
        <v>1</v>
      </c>
      <c r="M12">
        <v>0</v>
      </c>
      <c r="N12">
        <v>-376750</v>
      </c>
      <c r="O12">
        <v>-367314.06141520798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0.30837282977948399</v>
      </c>
      <c r="AA12">
        <v>0.5</v>
      </c>
      <c r="AB12">
        <v>0.16235310607759601</v>
      </c>
      <c r="AC12">
        <v>1</v>
      </c>
      <c r="AD12">
        <v>1103960.30231501</v>
      </c>
      <c r="AE12">
        <v>-731362.36141520797</v>
      </c>
      <c r="AF12">
        <v>0.178113509</v>
      </c>
      <c r="AG12">
        <v>0.13582</v>
      </c>
    </row>
    <row r="13" spans="1:33" x14ac:dyDescent="0.25">
      <c r="A13">
        <v>39600</v>
      </c>
      <c r="B13">
        <v>0</v>
      </c>
      <c r="C13">
        <v>1230287.5</v>
      </c>
      <c r="D13">
        <v>-505042.41234859498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52287.9</v>
      </c>
      <c r="L13">
        <v>1</v>
      </c>
      <c r="M13">
        <v>0</v>
      </c>
      <c r="N13">
        <v>-364166.66666666698</v>
      </c>
      <c r="O13">
        <v>-399809.10313458298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0.30837282977948399</v>
      </c>
      <c r="AA13">
        <v>0.5</v>
      </c>
      <c r="AB13">
        <v>0.16235310607759601</v>
      </c>
      <c r="AC13">
        <v>1</v>
      </c>
      <c r="AD13">
        <v>725245.08765140502</v>
      </c>
      <c r="AE13">
        <v>-711686.86980125005</v>
      </c>
      <c r="AF13">
        <v>0.171302914</v>
      </c>
      <c r="AG13">
        <v>0.13022</v>
      </c>
    </row>
    <row r="14" spans="1:33" x14ac:dyDescent="0.25">
      <c r="A14">
        <v>43200</v>
      </c>
      <c r="B14">
        <v>0</v>
      </c>
      <c r="C14">
        <v>1358200</v>
      </c>
      <c r="D14">
        <v>-497512.84905450698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60700.9</v>
      </c>
      <c r="L14">
        <v>1</v>
      </c>
      <c r="M14">
        <v>0</v>
      </c>
      <c r="N14">
        <v>-351666.66666666698</v>
      </c>
      <c r="O14">
        <v>-367314.06141520798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0.30837282977948399</v>
      </c>
      <c r="AA14">
        <v>0.5</v>
      </c>
      <c r="AB14">
        <v>0.16235310607759601</v>
      </c>
      <c r="AC14">
        <v>1</v>
      </c>
      <c r="AD14">
        <v>860687.15094549302</v>
      </c>
      <c r="AE14">
        <v>-658278.82808187499</v>
      </c>
      <c r="AF14">
        <v>0.17035473900000001</v>
      </c>
      <c r="AG14">
        <v>0.12872</v>
      </c>
    </row>
    <row r="15" spans="1:33" x14ac:dyDescent="0.25">
      <c r="A15">
        <v>46800</v>
      </c>
      <c r="B15">
        <v>0</v>
      </c>
      <c r="C15">
        <v>931306.25</v>
      </c>
      <c r="D15">
        <v>-507461.41817917099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148898</v>
      </c>
      <c r="L15">
        <v>1</v>
      </c>
      <c r="M15">
        <v>0</v>
      </c>
      <c r="N15">
        <v>-339083.33333333302</v>
      </c>
      <c r="O15">
        <v>-367314.06141520798</v>
      </c>
      <c r="P15">
        <v>-1317.14876033057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0.30837282977948399</v>
      </c>
      <c r="AA15">
        <v>0.5</v>
      </c>
      <c r="AB15">
        <v>0.16235310607759601</v>
      </c>
      <c r="AC15">
        <v>1</v>
      </c>
      <c r="AD15">
        <v>423844.83182082901</v>
      </c>
      <c r="AE15">
        <v>-570669.88235184795</v>
      </c>
      <c r="AF15">
        <v>0.171294636</v>
      </c>
      <c r="AG15">
        <v>0.12992999999999999</v>
      </c>
    </row>
    <row r="16" spans="1:33" x14ac:dyDescent="0.25">
      <c r="A16">
        <v>50400</v>
      </c>
      <c r="B16">
        <v>0</v>
      </c>
      <c r="C16">
        <v>1449737.5</v>
      </c>
      <c r="D16">
        <v>-539057.18036732206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108168</v>
      </c>
      <c r="L16">
        <v>1</v>
      </c>
      <c r="M16">
        <v>0</v>
      </c>
      <c r="N16">
        <v>-313916.66666666698</v>
      </c>
      <c r="O16">
        <v>-367314.06141520798</v>
      </c>
      <c r="P16">
        <v>-1317.14876033057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0.30837282977948399</v>
      </c>
      <c r="AA16">
        <v>0.5</v>
      </c>
      <c r="AB16">
        <v>0.16235310607759601</v>
      </c>
      <c r="AC16">
        <v>1</v>
      </c>
      <c r="AD16">
        <v>910680.31963267794</v>
      </c>
      <c r="AE16">
        <v>-586233.21568518097</v>
      </c>
      <c r="AF16">
        <v>0.170437012</v>
      </c>
      <c r="AG16">
        <v>0.12889999999999999</v>
      </c>
    </row>
    <row r="17" spans="1:33" x14ac:dyDescent="0.25">
      <c r="A17">
        <v>54000</v>
      </c>
      <c r="B17">
        <v>0</v>
      </c>
      <c r="C17">
        <v>1487075</v>
      </c>
      <c r="D17">
        <v>-556814.99787919899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92478.7</v>
      </c>
      <c r="L17">
        <v>1</v>
      </c>
      <c r="M17">
        <v>0</v>
      </c>
      <c r="N17">
        <v>-326500</v>
      </c>
      <c r="O17">
        <v>-367314.06141520798</v>
      </c>
      <c r="P17">
        <v>-2634.29752066116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0.30837282977948399</v>
      </c>
      <c r="AA17">
        <v>0.5</v>
      </c>
      <c r="AB17">
        <v>0.16235310607759601</v>
      </c>
      <c r="AC17">
        <v>1</v>
      </c>
      <c r="AD17">
        <v>930260.00212080101</v>
      </c>
      <c r="AE17">
        <v>-627677.33662182</v>
      </c>
      <c r="AF17">
        <v>0.167840183</v>
      </c>
      <c r="AG17">
        <v>0.12529000000000001</v>
      </c>
    </row>
    <row r="18" spans="1:33" x14ac:dyDescent="0.25">
      <c r="A18">
        <v>57600</v>
      </c>
      <c r="B18">
        <v>0</v>
      </c>
      <c r="C18">
        <v>1547712.5</v>
      </c>
      <c r="D18">
        <v>-548009.32167300896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142138</v>
      </c>
      <c r="L18">
        <v>1</v>
      </c>
      <c r="M18">
        <v>0</v>
      </c>
      <c r="N18">
        <v>-339083.33333333302</v>
      </c>
      <c r="O18">
        <v>-399809.10313458298</v>
      </c>
      <c r="P18">
        <v>-2634.29752066116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0.30837282977948399</v>
      </c>
      <c r="AA18">
        <v>0.5</v>
      </c>
      <c r="AB18">
        <v>0.16235310607759601</v>
      </c>
      <c r="AC18">
        <v>1</v>
      </c>
      <c r="AD18">
        <v>999703.17832699104</v>
      </c>
      <c r="AE18">
        <v>-623096.41167452803</v>
      </c>
      <c r="AF18">
        <v>0.17468782299999999</v>
      </c>
      <c r="AG18">
        <v>0.12831999999999999</v>
      </c>
    </row>
    <row r="19" spans="1:33" x14ac:dyDescent="0.25">
      <c r="A19">
        <v>61200</v>
      </c>
      <c r="B19">
        <v>0</v>
      </c>
      <c r="C19">
        <v>612237.5</v>
      </c>
      <c r="D19">
        <v>-497718.72584464902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-3979.18</v>
      </c>
      <c r="L19">
        <v>1</v>
      </c>
      <c r="M19">
        <v>0</v>
      </c>
      <c r="N19">
        <v>-351666.66666666698</v>
      </c>
      <c r="O19">
        <v>-367314.06141520798</v>
      </c>
      <c r="P19">
        <v>-2634.29752066116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0.30837282977948399</v>
      </c>
      <c r="AA19">
        <v>0.5</v>
      </c>
      <c r="AB19">
        <v>0.16235310607759601</v>
      </c>
      <c r="AC19">
        <v>1</v>
      </c>
      <c r="AD19">
        <v>114518.774155351</v>
      </c>
      <c r="AE19">
        <v>-749301.88328848605</v>
      </c>
      <c r="AF19">
        <v>0.185012962</v>
      </c>
      <c r="AG19">
        <v>0.13632</v>
      </c>
    </row>
    <row r="20" spans="1:33" x14ac:dyDescent="0.25">
      <c r="A20">
        <v>64800</v>
      </c>
      <c r="B20">
        <v>0</v>
      </c>
      <c r="C20">
        <v>79631.25</v>
      </c>
      <c r="D20">
        <v>-417148.00624470599</v>
      </c>
      <c r="E20">
        <v>0</v>
      </c>
      <c r="F20">
        <v>0</v>
      </c>
      <c r="G20">
        <v>-4500000</v>
      </c>
      <c r="H20">
        <v>0</v>
      </c>
      <c r="I20">
        <v>-337500</v>
      </c>
      <c r="J20">
        <v>0</v>
      </c>
      <c r="K20">
        <v>-3636.21</v>
      </c>
      <c r="L20">
        <v>1</v>
      </c>
      <c r="M20">
        <v>0</v>
      </c>
      <c r="N20">
        <v>-370500</v>
      </c>
      <c r="O20">
        <v>0</v>
      </c>
      <c r="P20">
        <v>-10537.1900826447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0.30837282977948399</v>
      </c>
      <c r="AA20">
        <v>0.5</v>
      </c>
      <c r="AB20">
        <v>0.20499159004261</v>
      </c>
      <c r="AC20">
        <v>1</v>
      </c>
      <c r="AD20">
        <v>-5175016.7562447097</v>
      </c>
      <c r="AE20">
        <v>-479507.11082644702</v>
      </c>
      <c r="AF20">
        <v>0.25895084000000002</v>
      </c>
      <c r="AG20">
        <v>0.19972000000000001</v>
      </c>
    </row>
    <row r="21" spans="1:33" x14ac:dyDescent="0.25">
      <c r="A21">
        <v>68400</v>
      </c>
      <c r="B21">
        <v>0</v>
      </c>
      <c r="C21">
        <v>31.25</v>
      </c>
      <c r="D21">
        <v>-465631.27859207703</v>
      </c>
      <c r="E21">
        <v>0</v>
      </c>
      <c r="F21">
        <v>0</v>
      </c>
      <c r="G21">
        <v>-128100.02860000001</v>
      </c>
      <c r="H21">
        <v>0</v>
      </c>
      <c r="I21">
        <v>-337500</v>
      </c>
      <c r="J21">
        <v>0</v>
      </c>
      <c r="K21">
        <v>-3366.21</v>
      </c>
      <c r="L21">
        <v>1</v>
      </c>
      <c r="M21">
        <v>0</v>
      </c>
      <c r="N21">
        <v>-496083.33333333302</v>
      </c>
      <c r="O21">
        <v>0</v>
      </c>
      <c r="P21">
        <v>-10537.1900826447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0.77501560634136302</v>
      </c>
      <c r="AA21">
        <v>0.5</v>
      </c>
      <c r="AB21">
        <v>0.29026855797264001</v>
      </c>
      <c r="AC21">
        <v>1</v>
      </c>
      <c r="AD21">
        <v>-931200.05719207798</v>
      </c>
      <c r="AE21">
        <v>-604820.44415978005</v>
      </c>
      <c r="AF21">
        <v>0.27743423</v>
      </c>
      <c r="AG21">
        <v>0.21782000000000001</v>
      </c>
    </row>
    <row r="22" spans="1:33" x14ac:dyDescent="0.25">
      <c r="A22">
        <v>72000</v>
      </c>
      <c r="B22">
        <v>0</v>
      </c>
      <c r="C22">
        <v>0</v>
      </c>
      <c r="D22">
        <v>-512742.02974724898</v>
      </c>
      <c r="E22">
        <v>0</v>
      </c>
      <c r="F22">
        <v>0</v>
      </c>
      <c r="G22">
        <v>-175242.02970000001</v>
      </c>
      <c r="H22">
        <v>0</v>
      </c>
      <c r="I22">
        <v>-337500</v>
      </c>
      <c r="J22">
        <v>0</v>
      </c>
      <c r="K22">
        <v>-2405.64</v>
      </c>
      <c r="L22">
        <v>1</v>
      </c>
      <c r="M22">
        <v>0</v>
      </c>
      <c r="N22">
        <v>-464666.66666666698</v>
      </c>
      <c r="O22">
        <v>0</v>
      </c>
      <c r="P22">
        <v>-2634.29752066116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0.79459223039731997</v>
      </c>
      <c r="AA22">
        <v>0.5</v>
      </c>
      <c r="AB22">
        <v>0.37554552590266899</v>
      </c>
      <c r="AC22">
        <v>1</v>
      </c>
      <c r="AD22">
        <v>-1025484.05944725</v>
      </c>
      <c r="AE22">
        <v>-493414.28187327803</v>
      </c>
      <c r="AF22">
        <v>0.28452875100000002</v>
      </c>
      <c r="AG22">
        <v>0.22478999999999999</v>
      </c>
    </row>
    <row r="23" spans="1:33" x14ac:dyDescent="0.25">
      <c r="A23">
        <v>75600</v>
      </c>
      <c r="B23">
        <v>0</v>
      </c>
      <c r="C23">
        <v>0</v>
      </c>
      <c r="D23">
        <v>-508746.04423543898</v>
      </c>
      <c r="E23">
        <v>0</v>
      </c>
      <c r="F23">
        <v>0</v>
      </c>
      <c r="G23">
        <v>-171246.0442</v>
      </c>
      <c r="H23">
        <v>0</v>
      </c>
      <c r="I23">
        <v>-337500</v>
      </c>
      <c r="J23">
        <v>0</v>
      </c>
      <c r="K23">
        <v>-2027.3</v>
      </c>
      <c r="L23">
        <v>1</v>
      </c>
      <c r="M23">
        <v>0</v>
      </c>
      <c r="N23">
        <v>-270000</v>
      </c>
      <c r="O23">
        <v>0</v>
      </c>
      <c r="P23">
        <v>-2634.29752066116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0.81894790607625201</v>
      </c>
      <c r="AA23">
        <v>0.5</v>
      </c>
      <c r="AB23">
        <v>0.46082249383269802</v>
      </c>
      <c r="AC23">
        <v>1</v>
      </c>
      <c r="AD23">
        <v>-1017492.08843544</v>
      </c>
      <c r="AE23">
        <v>-298369.27520661103</v>
      </c>
      <c r="AF23">
        <v>0.28195294799999998</v>
      </c>
      <c r="AG23">
        <v>0.22303000000000001</v>
      </c>
    </row>
    <row r="24" spans="1:33" x14ac:dyDescent="0.25">
      <c r="A24">
        <v>79200</v>
      </c>
      <c r="B24">
        <v>0</v>
      </c>
      <c r="C24">
        <v>0</v>
      </c>
      <c r="D24">
        <v>-510549.19361575902</v>
      </c>
      <c r="E24">
        <v>0</v>
      </c>
      <c r="F24">
        <v>0</v>
      </c>
      <c r="G24">
        <v>-173049.1936</v>
      </c>
      <c r="H24">
        <v>0</v>
      </c>
      <c r="I24">
        <v>-337500</v>
      </c>
      <c r="J24">
        <v>0</v>
      </c>
      <c r="K24">
        <v>-1982.61</v>
      </c>
      <c r="L24">
        <v>1</v>
      </c>
      <c r="M24">
        <v>0</v>
      </c>
      <c r="N24">
        <v>-125583.33333333299</v>
      </c>
      <c r="O24">
        <v>0</v>
      </c>
      <c r="P24">
        <v>-2634.29752066116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0.84260303618736199</v>
      </c>
      <c r="AA24">
        <v>0.5</v>
      </c>
      <c r="AB24">
        <v>0.54609946176272695</v>
      </c>
      <c r="AC24">
        <v>1</v>
      </c>
      <c r="AD24">
        <v>-1021098.38721576</v>
      </c>
      <c r="AE24">
        <v>-153907.91853994501</v>
      </c>
      <c r="AF24">
        <v>0.27047363200000002</v>
      </c>
      <c r="AG24">
        <v>0.21471999999999999</v>
      </c>
    </row>
    <row r="25" spans="1:33" x14ac:dyDescent="0.25">
      <c r="A25">
        <v>82800</v>
      </c>
      <c r="B25">
        <v>0</v>
      </c>
      <c r="C25">
        <v>0</v>
      </c>
      <c r="D25">
        <v>-500701.48059989797</v>
      </c>
      <c r="E25">
        <v>0</v>
      </c>
      <c r="F25">
        <v>0</v>
      </c>
      <c r="G25">
        <v>-720362.70380000002</v>
      </c>
      <c r="H25">
        <v>0</v>
      </c>
      <c r="I25">
        <v>212625</v>
      </c>
      <c r="J25">
        <v>0</v>
      </c>
      <c r="K25">
        <v>-1863.19</v>
      </c>
      <c r="L25">
        <v>1</v>
      </c>
      <c r="M25">
        <v>0</v>
      </c>
      <c r="N25">
        <v>-18833.333333333299</v>
      </c>
      <c r="O25">
        <v>0</v>
      </c>
      <c r="P25">
        <v>-1317.14876033057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0.86632565397266703</v>
      </c>
      <c r="AA25">
        <v>0.5</v>
      </c>
      <c r="AB25">
        <v>0.55034901323166596</v>
      </c>
      <c r="AC25">
        <v>1</v>
      </c>
      <c r="AD25">
        <v>-1008439.1843999</v>
      </c>
      <c r="AE25">
        <v>-33867.010936639097</v>
      </c>
      <c r="AF25">
        <v>0.26045217100000001</v>
      </c>
      <c r="AG25">
        <v>0.20463000000000001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9322ADFE2CA643A0121F29B0E5C6FB" ma:contentTypeVersion="16" ma:contentTypeDescription="Creare un nuovo documento." ma:contentTypeScope="" ma:versionID="01ab750537898cb5c1383251f555db92">
  <xsd:schema xmlns:xsd="http://www.w3.org/2001/XMLSchema" xmlns:xs="http://www.w3.org/2001/XMLSchema" xmlns:p="http://schemas.microsoft.com/office/2006/metadata/properties" xmlns:ns3="7afa66c6-c77d-474d-b1f4-b1aecefa7b5e" xmlns:ns4="ef0dc92e-f76d-4b3c-abb1-9b509f3d249d" targetNamespace="http://schemas.microsoft.com/office/2006/metadata/properties" ma:root="true" ma:fieldsID="22e9e51ddcfb9e82e0fe826749093a0c" ns3:_="" ns4:_="">
    <xsd:import namespace="7afa66c6-c77d-474d-b1f4-b1aecefa7b5e"/>
    <xsd:import namespace="ef0dc92e-f76d-4b3c-abb1-9b509f3d24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a66c6-c77d-474d-b1f4-b1aecefa7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dc92e-f76d-4b3c-abb1-9b509f3d24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fa66c6-c77d-474d-b1f4-b1aecefa7b5e" xsi:nil="true"/>
  </documentManagement>
</p:properties>
</file>

<file path=customXml/itemProps1.xml><?xml version="1.0" encoding="utf-8"?>
<ds:datastoreItem xmlns:ds="http://schemas.openxmlformats.org/officeDocument/2006/customXml" ds:itemID="{148BFEAF-7E98-4898-8432-91168E79E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fa66c6-c77d-474d-b1f4-b1aecefa7b5e"/>
    <ds:schemaRef ds:uri="ef0dc92e-f76d-4b3c-abb1-9b509f3d2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C39DBD-A6ED-4B14-93AB-1D2C60CD7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4210B-E357-491D-84B0-930D776C3A0E}">
  <ds:schemaRefs>
    <ds:schemaRef ds:uri="http://purl.org/dc/dcmitype/"/>
    <ds:schemaRef ds:uri="7afa66c6-c77d-474d-b1f4-b1aecefa7b5e"/>
    <ds:schemaRef ds:uri="ef0dc92e-f76d-4b3c-abb1-9b509f3d249d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Technology Parameters </vt:lpstr>
      <vt:lpstr>Scenario</vt:lpstr>
      <vt:lpstr>DAY 51th_SELF CONSUMPTION </vt:lpstr>
      <vt:lpstr>DAY 51th_ECOOBJ</vt:lpstr>
      <vt:lpstr>KPIs Eco El</vt:lpstr>
      <vt:lpstr>KPI Suff El</vt:lpstr>
      <vt:lpstr>KPIs Eco Thermal</vt:lpstr>
      <vt:lpstr>KPI Suf th </vt:lpstr>
      <vt:lpstr>Eco sim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Ferruzzi</dc:creator>
  <cp:lastModifiedBy>Seyede Zahra Tajalli</cp:lastModifiedBy>
  <dcterms:created xsi:type="dcterms:W3CDTF">2025-02-13T08:24:09Z</dcterms:created>
  <dcterms:modified xsi:type="dcterms:W3CDTF">2025-03-03T11:28:26Z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0x010100F79322ADFE2CA643A0121F29B0E5C6FB</vt:lpwstr>
  </property>
</Properties>
</file>