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RABAJO\Desktop\"/>
    </mc:Choice>
  </mc:AlternateContent>
  <xr:revisionPtr revIDLastSave="0" documentId="13_ncr:1_{506AC677-4B21-4A6C-8FFA-A319C87DF24B}" xr6:coauthVersionLast="47" xr6:coauthVersionMax="47" xr10:uidLastSave="{00000000-0000-0000-0000-000000000000}"/>
  <bookViews>
    <workbookView xWindow="-120" yWindow="-120" windowWidth="29040" windowHeight="15720" tabRatio="784" xr2:uid="{00000000-000D-0000-FFFF-FFFF00000000}"/>
  </bookViews>
  <sheets>
    <sheet name="KPI" sheetId="3" r:id="rId1"/>
    <sheet name="DATA_input" sheetId="1" r:id="rId2"/>
    <sheet name="DAY01" sheetId="4" r:id="rId3"/>
    <sheet name="DAY02" sheetId="5" r:id="rId4"/>
    <sheet name="DAY03" sheetId="6" r:id="rId5"/>
    <sheet name="DAY04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8" i="1" l="1"/>
  <c r="R28" i="1"/>
  <c r="R25" i="1"/>
  <c r="T25" i="1"/>
  <c r="L25" i="1"/>
  <c r="M25" i="1"/>
  <c r="K25" i="1"/>
  <c r="T24" i="1"/>
  <c r="R24" i="1"/>
  <c r="K18" i="1"/>
  <c r="G24" i="1"/>
  <c r="T20" i="1"/>
  <c r="R22" i="1"/>
  <c r="R23" i="1"/>
  <c r="R20" i="1"/>
  <c r="S23" i="1"/>
  <c r="S22" i="1"/>
  <c r="S21" i="1"/>
  <c r="S20" i="1"/>
  <c r="U23" i="1"/>
  <c r="U22" i="1"/>
  <c r="U21" i="1"/>
  <c r="U20" i="1"/>
  <c r="J23" i="1"/>
  <c r="I23" i="1"/>
  <c r="H23" i="1"/>
  <c r="G23" i="1"/>
  <c r="F23" i="1"/>
  <c r="J22" i="1"/>
  <c r="I22" i="1"/>
  <c r="H22" i="1"/>
  <c r="G22" i="1"/>
  <c r="F22" i="1"/>
  <c r="J21" i="1"/>
  <c r="I21" i="1"/>
  <c r="H21" i="1"/>
  <c r="G21" i="1"/>
  <c r="F21" i="1"/>
  <c r="J20" i="1"/>
  <c r="J24" i="1" s="1"/>
  <c r="I20" i="1"/>
  <c r="I24" i="1" s="1"/>
  <c r="I19" i="1" s="1"/>
  <c r="H20" i="1"/>
  <c r="H24" i="1" s="1"/>
  <c r="G20" i="1"/>
  <c r="F20" i="1"/>
  <c r="F24" i="1" s="1"/>
  <c r="E23" i="1"/>
  <c r="E22" i="1"/>
  <c r="E21" i="1"/>
  <c r="E20" i="1"/>
  <c r="E24" i="1" s="1"/>
  <c r="E19" i="1" s="1"/>
  <c r="Q23" i="1"/>
  <c r="T23" i="1" s="1"/>
  <c r="Q22" i="1"/>
  <c r="T22" i="1" s="1"/>
  <c r="Q21" i="1"/>
  <c r="T21" i="1" s="1"/>
  <c r="Q20" i="1"/>
  <c r="Q24" i="1" s="1"/>
  <c r="P23" i="1"/>
  <c r="P22" i="1"/>
  <c r="P21" i="1"/>
  <c r="P20" i="1"/>
  <c r="P24" i="1" s="1"/>
  <c r="P19" i="1" s="1"/>
  <c r="O20" i="1"/>
  <c r="O24" i="1" s="1"/>
  <c r="O19" i="1" s="1"/>
  <c r="N20" i="1"/>
  <c r="N24" i="1" s="1"/>
  <c r="N19" i="1" s="1"/>
  <c r="O21" i="1"/>
  <c r="N21" i="1"/>
  <c r="O22" i="1"/>
  <c r="N22" i="1"/>
  <c r="O23" i="1"/>
  <c r="N23" i="1"/>
  <c r="M20" i="1"/>
  <c r="M24" i="1" s="1"/>
  <c r="M21" i="1"/>
  <c r="M22" i="1"/>
  <c r="M23" i="1"/>
  <c r="L20" i="1"/>
  <c r="L24" i="1" s="1"/>
  <c r="L19" i="1" s="1"/>
  <c r="L27" i="1" s="1"/>
  <c r="L21" i="1"/>
  <c r="L22" i="1"/>
  <c r="L23" i="1"/>
  <c r="K23" i="1"/>
  <c r="K20" i="1"/>
  <c r="K24" i="1" s="1"/>
  <c r="K19" i="1" s="1"/>
  <c r="K27" i="1" s="1"/>
  <c r="K21" i="1"/>
  <c r="K22" i="1"/>
  <c r="E9" i="3"/>
  <c r="L18" i="1"/>
  <c r="L26" i="1" s="1" a="1"/>
  <c r="L26" i="1" s="1"/>
  <c r="L29" i="1" s="1"/>
  <c r="N18" i="1"/>
  <c r="O18" i="1"/>
  <c r="P18" i="1"/>
  <c r="M11" i="1"/>
  <c r="M18" i="1" s="1"/>
  <c r="F11" i="3"/>
  <c r="F9" i="3"/>
  <c r="C21" i="1"/>
  <c r="C22" i="1"/>
  <c r="C23" i="1"/>
  <c r="C20" i="1"/>
  <c r="I12" i="1"/>
  <c r="E7" i="1"/>
  <c r="G12" i="1"/>
  <c r="E12" i="1"/>
  <c r="I11" i="1"/>
  <c r="G11" i="1"/>
  <c r="E11" i="1"/>
  <c r="I10" i="1"/>
  <c r="G10" i="1"/>
  <c r="E10" i="1"/>
  <c r="I7" i="1"/>
  <c r="G7" i="1"/>
  <c r="G19" i="1" l="1"/>
  <c r="M26" i="1" a="1"/>
  <c r="M26" i="1" s="1"/>
  <c r="M29" i="1" s="1"/>
  <c r="M19" i="1"/>
  <c r="M27" i="1" s="1"/>
  <c r="K26" i="1" a="1"/>
  <c r="K26" i="1" s="1"/>
  <c r="K29" i="1" s="1"/>
  <c r="R21" i="1"/>
  <c r="T29" i="1"/>
  <c r="G11" i="3"/>
  <c r="H11" i="3"/>
  <c r="C9" i="3"/>
  <c r="E18" i="1"/>
  <c r="I18" i="1"/>
  <c r="C11" i="3"/>
  <c r="D9" i="3"/>
  <c r="E11" i="3"/>
  <c r="G18" i="1"/>
  <c r="G9" i="3" s="1"/>
  <c r="D11" i="3"/>
  <c r="H9" i="3"/>
  <c r="R29" i="1" l="1"/>
  <c r="I13" i="3" s="1"/>
  <c r="I9" i="3"/>
  <c r="I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tc={F4694C07-1CBE-4F7C-9A75-C88377AC1B68}</author>
  </authors>
  <commentList>
    <comment ref="D13" authorId="0" shapeId="0" xr:uid="{F4694C07-1CBE-4F7C-9A75-C88377AC1B6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3.41% (from: references [41] and [43] of https://www.mdpi.com/2076-3417/11/16/7395)
[41] Mongird, K.; Viswanathan, V.V.; Balducci, P.J.; Alam, M.J.E.; Fotedar, V.; Koritarov, V.S.; Hadjerioua, B. Energy Storage Technology and Cost Characterization Report; Technical Report; Pacific Northwest National Lab. (PNNL): Richland, WA, USA, 2019. [Google Scholar]
[43] Mongird, K.; Viswanathan, V.; Balducci, P.; Alam, J.; Fotedar, V.; Koritarov, V.; Hadjerioua, B. An evaluation of energy storage cost and performance characteristics. Energies 2020, 13, 3307. [Google Scholar] [CrossRef]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<sst xmlns="http://schemas.openxmlformats.org/spreadsheetml/2006/main" count="214" uniqueCount="107">
  <si>
    <t>HP</t>
  </si>
  <si>
    <t>BAT</t>
  </si>
  <si>
    <t>PCM</t>
  </si>
  <si>
    <t>Boiler</t>
  </si>
  <si>
    <t>max kW / module</t>
  </si>
  <si>
    <t>max kWh (=100%Soc) / module</t>
  </si>
  <si>
    <t>O&amp;M cost/kWh</t>
  </si>
  <si>
    <t>O&amp;M cost / module</t>
  </si>
  <si>
    <t>Specific capital cost/kWh</t>
  </si>
  <si>
    <t>Specific capital cost/modul</t>
  </si>
  <si>
    <t>WG</t>
  </si>
  <si>
    <t>PV</t>
  </si>
  <si>
    <t>over 95%</t>
  </si>
  <si>
    <t>Plant power (kW)</t>
  </si>
  <si>
    <t>Plant efficiency</t>
  </si>
  <si>
    <t>Pumping power (kW)</t>
  </si>
  <si>
    <t>Stored energy (kWh)</t>
  </si>
  <si>
    <t>System Energy Efficiency</t>
  </si>
  <si>
    <t>System operational CO2 emission</t>
  </si>
  <si>
    <t xml:space="preserve">Flexibility Factor </t>
  </si>
  <si>
    <t>CAPEX</t>
  </si>
  <si>
    <t>OPEX</t>
  </si>
  <si>
    <t>LCOE</t>
  </si>
  <si>
    <t>LCOH</t>
  </si>
  <si>
    <t>LCOEnergy</t>
  </si>
  <si>
    <t>LCOEnergyS</t>
  </si>
  <si>
    <t>LCOTES</t>
  </si>
  <si>
    <t>LCOElectricityS</t>
  </si>
  <si>
    <t>LCOEapp</t>
  </si>
  <si>
    <t>Number of modules</t>
  </si>
  <si>
    <t>Rankine cycle</t>
  </si>
  <si>
    <t>Marcos</t>
  </si>
  <si>
    <t>Enea</t>
  </si>
  <si>
    <t>Lit</t>
  </si>
  <si>
    <t>th: 0.38 el: 0.4</t>
  </si>
  <si>
    <t>day in a year</t>
  </si>
  <si>
    <t xml:space="preserve">Date </t>
  </si>
  <si>
    <t>DATA_in_info</t>
  </si>
  <si>
    <t>CSP</t>
  </si>
  <si>
    <t>TPS</t>
  </si>
  <si>
    <t>Ocurrence</t>
  </si>
  <si>
    <t>T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</si>
  <si>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</si>
  <si>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</si>
  <si>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</si>
  <si>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</si>
  <si>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</si>
  <si>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</si>
  <si>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</si>
  <si>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</si>
  <si>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</si>
  <si>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</si>
  <si>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</si>
  <si>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</si>
  <si>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P_c_Ctbu_1</t>
  </si>
  <si>
    <t>P_c_Ctbu_2</t>
  </si>
  <si>
    <t>P_c_Ctbu_3</t>
  </si>
  <si>
    <t>P_c_Ctbu_4</t>
  </si>
  <si>
    <t>P_c_Ctbu_5</t>
  </si>
  <si>
    <t>P_c_Ctbu_6</t>
  </si>
  <si>
    <t>P_c_Ctbu_7</t>
  </si>
  <si>
    <t>P_c_Ctbu_8</t>
  </si>
  <si>
    <t>P_c_Ctbu_9</t>
  </si>
  <si>
    <t>P_c_Ctbu_10</t>
  </si>
  <si>
    <t>P_c_Ctbu_11</t>
  </si>
  <si>
    <t>P_c_Ctbu_12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</si>
  <si>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</si>
  <si>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</si>
  <si>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</si>
  <si>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</si>
  <si>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</si>
  <si>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</si>
  <si>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</si>
  <si>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</si>
  <si>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O&amp;M cost/kW</t>
  </si>
  <si>
    <t>Specific capital cost/kW</t>
  </si>
  <si>
    <t>https://en.wikipedia.org/wiki/Levelized_cost_of_electricity</t>
  </si>
  <si>
    <t>rate discount</t>
  </si>
  <si>
    <t>expected lifetime</t>
  </si>
  <si>
    <t>Comments/extra info/etc.</t>
  </si>
  <si>
    <t>€/kW</t>
  </si>
  <si>
    <t>TOT_GEN_el [kW]</t>
  </si>
  <si>
    <t>TOT_GEN_th [kW]</t>
  </si>
  <si>
    <t>TOT_ESS [kW]</t>
  </si>
  <si>
    <t>CAPEX_ESS [€]</t>
  </si>
  <si>
    <t>CAPEX_GEN_el [€]</t>
  </si>
  <si>
    <t>CAPEX_GEN_th [€]</t>
  </si>
  <si>
    <t>OPEX_GEN_el [€]</t>
  </si>
  <si>
    <t>OPEX_GEN_th [€]</t>
  </si>
  <si>
    <t>OPEX_ESS [€]</t>
  </si>
  <si>
    <t>Energy Day 1 [kWh]</t>
  </si>
  <si>
    <t>Energy Day 2 [kWh]</t>
  </si>
  <si>
    <t>Energy Day 3 [kWh]</t>
  </si>
  <si>
    <t>Energy Day 4 [kWh]</t>
  </si>
  <si>
    <t>OPEX [€]</t>
  </si>
  <si>
    <t>CAPEX [€]</t>
  </si>
  <si>
    <t>Not included in Simulink, assimilated due to lack of thermal power [Pt_grid]</t>
  </si>
  <si>
    <t>Electricity cost [€/kWh]</t>
  </si>
  <si>
    <t>Electricity revenue [€/kWh]</t>
  </si>
  <si>
    <t>Positive implies injected into the grid</t>
  </si>
  <si>
    <t>LCOE term1: (CAPEX/(1+r))/(En*sum(1/(1+r)^n))</t>
  </si>
  <si>
    <t>LCOE term2: (OPEX)/(En)</t>
  </si>
  <si>
    <t>LCOE red: cost/En</t>
  </si>
  <si>
    <t>Pe_grid inject</t>
  </si>
  <si>
    <t>Pe_grid consumed</t>
  </si>
  <si>
    <t>Energy TOTAL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</si>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</sst>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 Rounded MT Bold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i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1" fillId="0" borderId="1" xfId="0" applyFont="1" applyBorder="1"/>
    <xf numFmtId="0" fontId="0" fillId="4" borderId="0" xfId="0" applyFill="1"/>
    <xf numFmtId="0" fontId="0" fillId="3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0" fillId="3" borderId="1" xfId="0" applyFill="1" applyBorder="1"/>
    <xf numFmtId="0" fontId="5" fillId="3" borderId="1" xfId="0" applyFont="1" applyFill="1" applyBorder="1" applyAlignment="1">
      <alignment vertical="center" wrapText="1"/>
    </xf>
    <xf numFmtId="14" fontId="0" fillId="0" borderId="0" xfId="0" applyNumberFormat="1"/>
    <xf numFmtId="0" fontId="0" fillId="0" borderId="0" xfId="0" applyBorder="1"/>
    <xf numFmtId="0" fontId="0" fillId="7" borderId="1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top"/>
    </xf>
    <xf numFmtId="0" fontId="8" fillId="0" borderId="0" xfId="2"/>
    <xf numFmtId="0" fontId="0" fillId="0" borderId="0" xfId="0" applyAlignment="1">
      <alignment wrapText="1"/>
    </xf>
    <xf numFmtId="10" fontId="0" fillId="0" borderId="0" xfId="1" applyNumberFormat="1" applyFont="1"/>
    <xf numFmtId="0" fontId="0" fillId="8" borderId="1" xfId="0" applyFill="1" applyBorder="1"/>
    <xf numFmtId="0" fontId="3" fillId="8" borderId="1" xfId="0" applyFont="1" applyFill="1" applyBorder="1"/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0" fillId="0" borderId="0" xfId="0" applyFont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3" xfId="0" applyBorder="1"/>
    <xf numFmtId="0" fontId="0" fillId="0" borderId="2" xfId="0" applyBorder="1"/>
    <xf numFmtId="0" fontId="7" fillId="0" borderId="0" xfId="0" applyFont="1"/>
    <xf numFmtId="0" fontId="1" fillId="0" borderId="5" xfId="0" applyFont="1" applyBorder="1"/>
    <xf numFmtId="0" fontId="1" fillId="0" borderId="6" xfId="0" applyFont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6" borderId="5" xfId="0" applyFont="1" applyFill="1" applyBorder="1"/>
    <xf numFmtId="0" fontId="3" fillId="6" borderId="6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3" fillId="0" borderId="5" xfId="0" applyFont="1" applyBorder="1"/>
    <xf numFmtId="0" fontId="3" fillId="0" borderId="6" xfId="0" applyFont="1" applyBorder="1"/>
    <xf numFmtId="0" fontId="0" fillId="9" borderId="0" xfId="0" applyFill="1" applyAlignment="1">
      <alignment vertical="center"/>
    </xf>
  </cellXfs>
  <cellStyles count="3">
    <cellStyle name="Hipervínculo" xfId="2" builtinId="8"/>
    <cellStyle name="Normal" xfId="0" builtinId="0"/>
    <cellStyle name="Porcentaje" xfId="1" builtinId="5"/>
  </cellStyles>
  <dxfs count="9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os.blanco" id="{6662DA12-EB43-410C-926B-5F3EF0E8FBB5}" userId="S::marcos.blanco@ciemat.es::c05743eb-5e65-47cc-aee7-55cc4f0f223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9AD4F-2E1A-4A30-878E-2CB77D0DABEC}" name="DAY01_tp3778e756_2156_42ad_985e_0e9a2cb52100_KPI" displayName="DAY01_tp3778e756_2156_42ad_985e_0e9a2cb52100_KPI" ref="A1:AG25" totalsRowShown="0">
  <autoFilter ref="A1:AG25" xr:uid="{CCD9AD4F-2E1A-4A30-878E-2CB77D0DABEC}"/>
  <tableColumns count="33">
    <tableColumn id="1" xr3:uid="{8625C52D-2851-432F-80BC-1EEC380DAAB2}" name="T"/>
    <tableColumn id="2" xr3:uid="{82CFEA8E-DE58-49C7-B57C-50DC947C7B13}" name="P_CT_WD"/>
    <tableColumn id="3" xr3:uid="{A3205937-7EA6-48AD-8505-5694D897B34D}" name="P_CT_PV"/>
    <tableColumn id="4" xr3:uid="{9BDEA50B-9A91-4259-AC0B-4A0AAF34E721}" name="P_c_Cbu"/>
    <tableColumn id="5" xr3:uid="{A91EE262-5317-4CC7-B551-042DBBF4627C}" name="P_c_CEV"/>
    <tableColumn id="6" xr3:uid="{93C1B6D2-9295-488B-A93C-FDAA36B5976C}" name="P_c_CPl"/>
    <tableColumn id="7" xr3:uid="{6AEB1873-58CF-43B0-8099-4561599FD8A0}" name="P_ess_BAT"/>
    <tableColumn id="8" xr3:uid="{729B23A4-FA5C-4578-B4D3-848F4E8DD6F5}" name="P_ess_SC"/>
    <tableColumn id="9" xr3:uid="{19A0CE15-CC2E-4E02-8399-C35BE21ABE79}" name="P_ess_HP"/>
    <tableColumn id="10" xr3:uid="{459A522E-5874-483B-A322-2385938C5BC3}" name="P2rk"/>
    <tableColumn id="11" xr3:uid="{E7696622-EF42-498D-BA54-405E6E73C0A1}" name="P_csp"/>
    <tableColumn id="12" xr3:uid="{A9C14974-A61C-4358-BC88-3B6E6E6431E8}" name="P_tsp"/>
    <tableColumn id="13" xr3:uid="{22AF8E82-D831-491E-80A5-34BD35C0542E}" name="P_ess_PCM"/>
    <tableColumn id="14" xr3:uid="{938FDA8F-FD76-4D55-925A-3194AAA7BAF6}" name="P_c_Ctbu_1"/>
    <tableColumn id="15" xr3:uid="{EBE46DEC-751B-4B63-A4F1-8721B0EB5622}" name="P_c_Ctbu_2"/>
    <tableColumn id="16" xr3:uid="{3D36ED6C-AEA4-4787-9280-CB7BB2003720}" name="P_c_Ctbu_3"/>
    <tableColumn id="17" xr3:uid="{E16AFF65-1B9D-4998-B1C6-2AFF37BE6400}" name="P_c_Ctbu_4"/>
    <tableColumn id="18" xr3:uid="{B7EC704E-1311-4071-A6BC-778AD4099F16}" name="P_c_Ctbu_5"/>
    <tableColumn id="19" xr3:uid="{04A4C4BF-3149-48B6-8B7D-394FF3AB2C72}" name="P_c_Ctbu_6"/>
    <tableColumn id="20" xr3:uid="{6AC2B364-47CE-4612-8BFD-2774B5F99F59}" name="P_c_Ctbu_7"/>
    <tableColumn id="21" xr3:uid="{6B2CA422-A3D7-414D-8F8E-193DBE4C537C}" name="P_c_Ctbu_8"/>
    <tableColumn id="22" xr3:uid="{A08209BA-9326-42DC-A51C-3EC181BEE708}" name="P_c_Ctbu_9"/>
    <tableColumn id="23" xr3:uid="{FE3F19D8-B167-47AF-843F-A6A1DAF3FA02}" name="P_c_Ctbu_10"/>
    <tableColumn id="24" xr3:uid="{1AFD6427-86A3-40B3-8917-5F0F225ACFEE}" name="P_c_Ctbu_11"/>
    <tableColumn id="25" xr3:uid="{C16A6797-479A-415D-AE14-6543F5FEEDD3}" name="P_c_Ctbu_12"/>
    <tableColumn id="26" xr3:uid="{8D215D45-D196-4AFD-A292-7A024AF997F8}" name="SOC_BAT"/>
    <tableColumn id="27" xr3:uid="{B220EE36-81C3-4DAB-B84D-1004009A4DCC}" name="SOC_SC"/>
    <tableColumn id="28" xr3:uid="{71DD1CA1-742D-4D89-A2F1-229E8C069D32}" name="SOC_HP"/>
    <tableColumn id="29" xr3:uid="{432CE31A-5D20-44AA-8319-583F35429BE3}" name="SOC_PCM"/>
    <tableColumn id="30" xr3:uid="{FB48E3B9-93CE-43B0-B884-A17849E9DB1F}" name="Pe_grid"/>
    <tableColumn id="31" xr3:uid="{EE12F0FF-382B-462B-82C7-2193E4D17E40}" name="Pt_grid"/>
    <tableColumn id="32" xr3:uid="{FC6E6DBB-7C85-4321-81D0-963029E2C7DE}" name="EP_con"/>
    <tableColumn id="33" xr3:uid="{A87F8F35-7693-427F-9CAA-603410F79ED0}" name="EP_gen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E04E29-B58B-465C-B5AE-9C0BAB46312A}" name="DAY02_tp85daa4f8_a07b_4c35_a927_82fafb86281c_KPI" displayName="DAY02_tp85daa4f8_a07b_4c35_a927_82fafb86281c_KPI" ref="A1:AG25" totalsRowShown="0">
  <autoFilter ref="A1:AG25" xr:uid="{14E04E29-B58B-465C-B5AE-9C0BAB46312A}"/>
  <tableColumns count="33">
    <tableColumn id="1" xr3:uid="{D5DB5C4A-FFD1-4130-8FB2-476084FF147D}" name="T" dataDxfId="98"/>
    <tableColumn id="2" xr3:uid="{E4AB3F7E-00A2-498E-9295-1B7E3F4892C8}" name="P_CT_WD" dataDxfId="97"/>
    <tableColumn id="3" xr3:uid="{A2CD1AD1-8760-4392-AAF6-59D068C796EF}" name="P_CT_PV" dataDxfId="96"/>
    <tableColumn id="4" xr3:uid="{42B437AD-FE67-416A-849D-CFEE55C1714A}" name="P_c_Cbu" dataDxfId="95"/>
    <tableColumn id="5" xr3:uid="{0AD1E5F3-EED2-40E2-85DD-1AAE73CA035E}" name="P_c_CEV" dataDxfId="94"/>
    <tableColumn id="6" xr3:uid="{0940E7E5-5235-4593-B94B-E7EB318F43FB}" name="P_c_CPl" dataDxfId="93"/>
    <tableColumn id="7" xr3:uid="{7505C8B1-9899-421E-BFF8-AFF8D9BC5B94}" name="P_ess_BAT" dataDxfId="92"/>
    <tableColumn id="8" xr3:uid="{36B535E4-6C02-4F55-9827-4C64C8AA7FFC}" name="P_ess_SC" dataDxfId="91"/>
    <tableColumn id="9" xr3:uid="{3551F355-3F5B-4EDC-B09E-807E983E0BEF}" name="P_ess_HP" dataDxfId="90"/>
    <tableColumn id="10" xr3:uid="{558025CF-9C68-4983-8A84-333222DA9F77}" name="P2rk" dataDxfId="89"/>
    <tableColumn id="11" xr3:uid="{716503C2-ADB0-4642-8158-411533781574}" name="P_csp" dataDxfId="88"/>
    <tableColumn id="12" xr3:uid="{DF8B9476-AB51-4631-8FD8-74ED518DEDD3}" name="P_tsp" dataDxfId="87"/>
    <tableColumn id="13" xr3:uid="{AC1D6901-B141-4EC0-9FCF-8646C94F640D}" name="P_ess_PCM" dataDxfId="86"/>
    <tableColumn id="14" xr3:uid="{ABBE7EB8-7181-4648-99B0-E9991679930E}" name="P_c_Ctbu_1" dataDxfId="85"/>
    <tableColumn id="15" xr3:uid="{0EF294A5-C3B3-458D-8110-233DE2824560}" name="P_c_Ctbu_2" dataDxfId="84"/>
    <tableColumn id="16" xr3:uid="{1D297366-687C-4A96-B5CC-5889872D1297}" name="P_c_Ctbu_3" dataDxfId="83"/>
    <tableColumn id="17" xr3:uid="{AB3E1AB2-AA6C-423A-8069-B253D674791D}" name="P_c_Ctbu_4" dataDxfId="82"/>
    <tableColumn id="18" xr3:uid="{EFF94167-3355-469F-8AA1-945F3E3A0831}" name="P_c_Ctbu_5" dataDxfId="81"/>
    <tableColumn id="19" xr3:uid="{F5FDF0BF-728F-4915-A4A0-F203B94B4798}" name="P_c_Ctbu_6" dataDxfId="80"/>
    <tableColumn id="20" xr3:uid="{F51337F8-E7DB-4BB7-A02B-F0F1048C33C5}" name="P_c_Ctbu_7" dataDxfId="79"/>
    <tableColumn id="21" xr3:uid="{48ACD673-FC39-4BBF-BE2D-51918B15C5D0}" name="P_c_Ctbu_8" dataDxfId="78"/>
    <tableColumn id="22" xr3:uid="{8F4A42DA-8BB8-45ED-81F3-3ACCEFA9F9F5}" name="P_c_Ctbu_9" dataDxfId="77"/>
    <tableColumn id="23" xr3:uid="{442AD6D2-6263-4EAA-818B-EACC38D318B5}" name="P_c_Ctbu_10" dataDxfId="76"/>
    <tableColumn id="24" xr3:uid="{A5D2FFFA-2F42-4073-8535-37F35364F69C}" name="P_c_Ctbu_11" dataDxfId="75"/>
    <tableColumn id="25" xr3:uid="{A1DF5525-EB4E-4344-A3BD-9E51073EA622}" name="P_c_Ctbu_12" dataDxfId="74"/>
    <tableColumn id="26" xr3:uid="{7350C939-5C0B-4A5A-B866-5104F9E24B4B}" name="SOC_BAT" dataDxfId="73"/>
    <tableColumn id="27" xr3:uid="{2100C339-2FC5-4F2D-851B-5BF0226CE5AE}" name="SOC_SC" dataDxfId="72"/>
    <tableColumn id="28" xr3:uid="{D934A7CA-06EB-431D-88CF-9413D10F1CF9}" name="SOC_HP" dataDxfId="71"/>
    <tableColumn id="29" xr3:uid="{7BC9E2F1-9EAE-4985-B798-2721E654187F}" name="SOC_PCM" dataDxfId="70"/>
    <tableColumn id="30" xr3:uid="{BD92D92E-921F-48DC-9E9C-EBE91EC44CD2}" name="Pe_grid" dataDxfId="69"/>
    <tableColumn id="31" xr3:uid="{526BB3F9-1EB0-4A22-AA86-A06C441C4B93}" name="Pt_grid" dataDxfId="68"/>
    <tableColumn id="32" xr3:uid="{FD22CA6D-A6C8-4788-98ED-EE42906301C9}" name="EP_con" dataDxfId="67"/>
    <tableColumn id="33" xr3:uid="{5021A44E-140E-4D09-AE4D-E601CEEF398C}" name="EP_gen" dataDxfId="6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B0DB9C-E8AD-4EF1-BA54-D7BC80A53C91}" name="DAY03_tpf9c71200_662c_4d6c_a7cb_7e97d4c4becb_KPI" displayName="DAY03_tpf9c71200_662c_4d6c_a7cb_7e97d4c4becb_KPI" ref="A1:AG25" totalsRowShown="0">
  <autoFilter ref="A1:AG25" xr:uid="{22B0DB9C-E8AD-4EF1-BA54-D7BC80A53C91}"/>
  <tableColumns count="33">
    <tableColumn id="1" xr3:uid="{EF90F92D-3636-4CDA-AA66-966EBE3AA42F}" name="T" dataDxfId="65"/>
    <tableColumn id="2" xr3:uid="{17DA1A4F-E1B7-4DFD-87FE-3823EC0B992D}" name="P_CT_WD" dataDxfId="64"/>
    <tableColumn id="3" xr3:uid="{F1EAA264-6082-4397-90B6-9FEFBD046EEE}" name="P_CT_PV" dataDxfId="63"/>
    <tableColumn id="4" xr3:uid="{293DFCC8-7ECB-4981-864D-57802C92B1D3}" name="P_c_Cbu" dataDxfId="62"/>
    <tableColumn id="5" xr3:uid="{67712EB0-FFCE-45FE-A20B-B2639C8452AE}" name="P_c_CEV" dataDxfId="61"/>
    <tableColumn id="6" xr3:uid="{3873E000-B58A-4719-8287-3D5994358A73}" name="P_c_CPl" dataDxfId="60"/>
    <tableColumn id="7" xr3:uid="{6B0B1B88-7850-4B3A-9A5A-1332359C4D2E}" name="P_ess_BAT" dataDxfId="59"/>
    <tableColumn id="8" xr3:uid="{18C75F90-8F23-496B-B8E7-23563A9A2E3E}" name="P_ess_SC" dataDxfId="58"/>
    <tableColumn id="9" xr3:uid="{9F57CD13-92D6-4FD4-951F-7A37C36AF622}" name="P_ess_HP" dataDxfId="57"/>
    <tableColumn id="10" xr3:uid="{F3EB01E9-FF23-43F9-A8A7-A82C9168C54E}" name="P2rk" dataDxfId="56"/>
    <tableColumn id="11" xr3:uid="{282D1DA8-FA7A-4844-BC1D-DE9D24BE8D9B}" name="P_csp" dataDxfId="55"/>
    <tableColumn id="12" xr3:uid="{CAA42E27-7B21-4C9B-87B0-2A969BDF8CFA}" name="P_tsp" dataDxfId="54"/>
    <tableColumn id="13" xr3:uid="{554686E0-822A-47CC-969E-F633525FC685}" name="P_ess_PCM" dataDxfId="53"/>
    <tableColumn id="14" xr3:uid="{BF5F8335-39A7-4153-ADCA-13A4309F6EC8}" name="P_c_Ctbu_1" dataDxfId="52"/>
    <tableColumn id="15" xr3:uid="{7201C385-69E5-43AC-846C-0B82269FA869}" name="P_c_Ctbu_2" dataDxfId="51"/>
    <tableColumn id="16" xr3:uid="{0996E1B0-BB9D-4F29-9847-E3EBCBDC6E67}" name="P_c_Ctbu_3" dataDxfId="50"/>
    <tableColumn id="17" xr3:uid="{72D3966F-B71F-4F4F-95B0-A7719A7D4097}" name="P_c_Ctbu_4" dataDxfId="49"/>
    <tableColumn id="18" xr3:uid="{A1B46CD3-4F0A-45B9-880B-13AF1D25289D}" name="P_c_Ctbu_5" dataDxfId="48"/>
    <tableColumn id="19" xr3:uid="{F1F8D8C6-C241-403A-B2AC-AC90564338F3}" name="P_c_Ctbu_6" dataDxfId="47"/>
    <tableColumn id="20" xr3:uid="{D5C4D014-A372-4B16-96E5-7484D76242A0}" name="P_c_Ctbu_7" dataDxfId="46"/>
    <tableColumn id="21" xr3:uid="{589E0819-DB96-428A-8EE3-CEF68E18FB5B}" name="P_c_Ctbu_8" dataDxfId="45"/>
    <tableColumn id="22" xr3:uid="{AAD24523-E17B-44AE-BDA6-7CCB56FB8360}" name="P_c_Ctbu_9" dataDxfId="44"/>
    <tableColumn id="23" xr3:uid="{A80D89CD-8D19-40C5-A493-F2C819D6C78F}" name="P_c_Ctbu_10" dataDxfId="43"/>
    <tableColumn id="24" xr3:uid="{1CEF3280-68DF-4651-8C24-7A85D3D290D1}" name="P_c_Ctbu_11" dataDxfId="42"/>
    <tableColumn id="25" xr3:uid="{0E024E2F-01E6-412A-85E1-8227106C4139}" name="P_c_Ctbu_12" dataDxfId="41"/>
    <tableColumn id="26" xr3:uid="{B44C0406-E02D-472B-B520-FC854A260D88}" name="SOC_BAT" dataDxfId="40"/>
    <tableColumn id="27" xr3:uid="{DD749615-45DE-49E0-B9F6-AF17272375E1}" name="SOC_SC" dataDxfId="39"/>
    <tableColumn id="28" xr3:uid="{F1CD5216-9BF5-4D2D-AD7C-F1C1B8246B75}" name="SOC_HP" dataDxfId="38"/>
    <tableColumn id="29" xr3:uid="{64F2C148-A8E2-447F-9FAA-60ABB086602A}" name="SOC_PCM" dataDxfId="37"/>
    <tableColumn id="30" xr3:uid="{47AD220C-D32D-4032-AD84-566F13FD8238}" name="Pe_grid" dataDxfId="36"/>
    <tableColumn id="31" xr3:uid="{5E3ACB1B-E6C4-4294-9E18-98FD29C37D9E}" name="Pt_grid" dataDxfId="35"/>
    <tableColumn id="32" xr3:uid="{D4C73800-DA45-4915-A8A2-A28C4EFC259A}" name="EP_con" dataDxfId="34"/>
    <tableColumn id="33" xr3:uid="{6D744636-F179-43EF-8A70-1B1E1E8D1C2E}" name="EP_gen" dataDxfId="3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D75DDB-F9C4-4C75-8228-798327C0CF18}" name="DAY04_tp33a8849e_5b42_45e9_9158_b2bc821483ee_KPI" displayName="DAY04_tp33a8849e_5b42_45e9_9158_b2bc821483ee_KPI" ref="A1:AG25" totalsRowShown="0">
  <autoFilter ref="A1:AG25" xr:uid="{E0D75DDB-F9C4-4C75-8228-798327C0CF18}"/>
  <tableColumns count="33">
    <tableColumn id="1" xr3:uid="{E1CF238A-9A9D-43EB-8943-238B1157EE86}" name="T" dataDxfId="32"/>
    <tableColumn id="2" xr3:uid="{25EC9495-32CC-40A7-9B13-EF549A2B7B95}" name="P_CT_WD" dataDxfId="31"/>
    <tableColumn id="3" xr3:uid="{14FCB153-4B0F-4115-B7C3-3AF38C090992}" name="P_CT_PV" dataDxfId="30"/>
    <tableColumn id="4" xr3:uid="{1D860052-A555-4786-A1D7-1CAA14CB4BB6}" name="P_c_Cbu" dataDxfId="29"/>
    <tableColumn id="5" xr3:uid="{6485057A-1F88-4A8A-BEDA-01002CD4229E}" name="P_c_CEV" dataDxfId="28"/>
    <tableColumn id="6" xr3:uid="{0F356522-3461-4F62-A7DC-EBA1AD5A6795}" name="P_c_CPl" dataDxfId="27"/>
    <tableColumn id="7" xr3:uid="{649335C3-F824-4859-BC3F-692177E69D63}" name="P_ess_BAT" dataDxfId="26"/>
    <tableColumn id="8" xr3:uid="{3C456968-F452-4D1A-ACE4-137AD572EB98}" name="P_ess_SC" dataDxfId="25"/>
    <tableColumn id="9" xr3:uid="{940BB3C6-BC3D-46B1-8724-9A784CE1958B}" name="P_ess_HP" dataDxfId="24"/>
    <tableColumn id="10" xr3:uid="{ED369C70-0CDC-458D-8563-152E080E6FDD}" name="P2rk" dataDxfId="23"/>
    <tableColumn id="11" xr3:uid="{612CEF58-8554-4519-980A-FFDBF1299265}" name="P_csp" dataDxfId="22"/>
    <tableColumn id="12" xr3:uid="{CFB495BD-C539-48A8-8CC1-704378896C8F}" name="P_tsp" dataDxfId="21"/>
    <tableColumn id="13" xr3:uid="{09B3384E-8949-4F22-A21C-014B924C1E87}" name="P_ess_PCM" dataDxfId="20"/>
    <tableColumn id="14" xr3:uid="{DD71F7A6-0923-4CEE-9C5B-24314D8509F9}" name="P_c_Ctbu_1" dataDxfId="19"/>
    <tableColumn id="15" xr3:uid="{08775929-E858-4A61-812B-0B9259AE9776}" name="P_c_Ctbu_2" dataDxfId="18"/>
    <tableColumn id="16" xr3:uid="{6F6E8F16-31F6-4DEF-902E-871EDB272192}" name="P_c_Ctbu_3" dataDxfId="17"/>
    <tableColumn id="17" xr3:uid="{42A9CEA2-F8A7-49D2-BD30-2A67B9E0C321}" name="P_c_Ctbu_4" dataDxfId="16"/>
    <tableColumn id="18" xr3:uid="{6D6AF8C4-D278-4F59-8C31-40D7E4547FAE}" name="P_c_Ctbu_5" dataDxfId="15"/>
    <tableColumn id="19" xr3:uid="{53E17A6E-5FC3-45AA-A84C-2F3389E0574A}" name="P_c_Ctbu_6" dataDxfId="14"/>
    <tableColumn id="20" xr3:uid="{22E27F4D-9075-4A51-B2D3-4ABAA26CFBEA}" name="P_c_Ctbu_7" dataDxfId="13"/>
    <tableColumn id="21" xr3:uid="{162E84C5-B8FC-4490-8810-F1D0DEA7AE7F}" name="P_c_Ctbu_8" dataDxfId="12"/>
    <tableColumn id="22" xr3:uid="{4D47537D-261B-4830-81DD-EF69C8FE0E59}" name="P_c_Ctbu_9" dataDxfId="11"/>
    <tableColumn id="23" xr3:uid="{95C21491-B85E-4FE3-B975-383F2952F5FD}" name="P_c_Ctbu_10" dataDxfId="10"/>
    <tableColumn id="24" xr3:uid="{D0C0C1C3-8C7F-4441-9632-AE4D3C329A54}" name="P_c_Ctbu_11" dataDxfId="9"/>
    <tableColumn id="25" xr3:uid="{420B3FAE-FD71-4B3E-BA53-271E7711715D}" name="P_c_Ctbu_12" dataDxfId="8"/>
    <tableColumn id="26" xr3:uid="{65CD416A-8C7D-42BD-A3CF-D39822556CEE}" name="SOC_BAT" dataDxfId="7"/>
    <tableColumn id="27" xr3:uid="{8D7600CB-775B-42C5-8B3B-48B0D228697A}" name="SOC_SC" dataDxfId="6"/>
    <tableColumn id="28" xr3:uid="{26430CBC-6797-4884-88C6-A70F8C9279F0}" name="SOC_HP" dataDxfId="5"/>
    <tableColumn id="29" xr3:uid="{26982394-67CC-49CE-A9F4-5B52C5BD5855}" name="SOC_PCM" dataDxfId="4"/>
    <tableColumn id="30" xr3:uid="{10A142E9-F27A-43BD-8D2A-0969D332B920}" name="Pe_grid" dataDxfId="3"/>
    <tableColumn id="31" xr3:uid="{CD10ECBE-A078-4733-ABBC-637E48308763}" name="Pt_grid" dataDxfId="2"/>
    <tableColumn id="32" xr3:uid="{FB9F8F71-3691-426C-BD6A-A36DDAEFE906}" name="EP_con" dataDxfId="1"/>
    <tableColumn id="33" xr3:uid="{360E9D44-A0B3-4526-B4C6-465061CA8283}" name="EP_ge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3" dT="2025-03-05T11:15:50.50" personId="{6662DA12-EB43-410C-926B-5F3EF0E8FBB5}" id="{F4694C07-1CBE-4F7C-9A75-C88377AC1B68}">
    <text xml:space="preserve">3.41% (from: references [41] and [43] of https://www.mdpi.com/2076-3417/11/16/7395)
[41] Mongird, K.; Viswanathan, V.V.; Balducci, P.J.; Alam, M.J.E.; Fotedar, V.; Koritarov, V.S.; Hadjerioua, B. Energy Storage Technology and Cost Characterization Report; Technical Report; Pacific Northwest National Lab. (PNNL): Richland, WA, USA, 2019. [Google Scholar]
[43] Mongird, K.; Viswanathan, V.; Balducci, P.; Alam, J.; Fotedar, V.; Koritarov, V.; Hadjerioua, B. An evaluation of energy storage cost and performance characteristics. Energies 2020, 13, 3307. [Google Scholar] [CrossRef]
</text>
    <extLst>
      <x:ext xmlns:xltc2="http://schemas.microsoft.com/office/spreadsheetml/2020/threadedcomments2" uri="{F7C98A9C-CBB3-438F-8F68-D28B6AF4A901}">
        <xltc2:checksum>698247943</xltc2:checksum>
        <xltc2:hyperlink startIndex="41" length="41" url="https://www.mdpi.com/2076-3417/11/16/7395"/>
        <xltc2:hyperlink startIndex="341" length="14" url="https://scholar.google.com/scholar_lookup?title=Energy+Storage+Technology+and+Cost+Characterization+Report&amp;author=Mongird,+K.&amp;author=Viswanathan,+V.V.&amp;author=Balducci,+P.J.&amp;author=Alam,+M.J.E.&amp;author=Fotedar,+V.&amp;author=Koritarov,+V.S.&amp;author=Hadjerioua,+B.&amp;publication_year=2019"/>
        <xltc2:hyperlink startIndex="555" length="14" url="https://scholar.google.com/scholar_lookup?title=An+evaluation+of+energy+storage+cost+and+performance+characteristics&amp;author=Mongird,+K.&amp;author=Viswanathan,+V.&amp;author=Balducci,+P.&amp;author=Alam,+J.&amp;author=Fotedar,+V.&amp;author=Koritarov,+V.&amp;author=Hadjerioua,+B.&amp;publication_year=2020&amp;journal=Energies&amp;volume=13&amp;pages=3307&amp;doi=10.3390/en13133307"/>
        <xltc2:hyperlink startIndex="572" length="8" url="https://doi.org/10.3390/en13133307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en.wikipedia.org/wiki/Levelized_cost_of_electricity" TargetMode="Externa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C917-FCA7-42C8-A7C9-F82F9162C08B}">
  <dimension ref="A1:M25"/>
  <sheetViews>
    <sheetView tabSelected="1" workbookViewId="0">
      <selection activeCell="H24" sqref="H24"/>
    </sheetView>
  </sheetViews>
  <sheetFormatPr baseColWidth="10" defaultRowHeight="15" x14ac:dyDescent="0.25"/>
  <cols>
    <col min="1" max="1" width="31" bestFit="1" customWidth="1"/>
    <col min="3" max="3" width="14.5703125" bestFit="1" customWidth="1"/>
    <col min="4" max="4" width="17.42578125" bestFit="1" customWidth="1"/>
    <col min="10" max="10" width="13.85546875" bestFit="1" customWidth="1"/>
    <col min="11" max="11" width="10.7109375" bestFit="1" customWidth="1"/>
  </cols>
  <sheetData>
    <row r="1" spans="1:13" x14ac:dyDescent="0.25">
      <c r="L1" t="s">
        <v>79</v>
      </c>
    </row>
    <row r="2" spans="1:13" x14ac:dyDescent="0.25">
      <c r="A2" s="26" t="s">
        <v>17</v>
      </c>
    </row>
    <row r="3" spans="1:13" x14ac:dyDescent="0.25">
      <c r="A3" s="26"/>
    </row>
    <row r="4" spans="1:13" x14ac:dyDescent="0.25">
      <c r="A4" s="26" t="s">
        <v>18</v>
      </c>
    </row>
    <row r="5" spans="1:13" x14ac:dyDescent="0.25">
      <c r="A5" s="26"/>
    </row>
    <row r="6" spans="1:13" x14ac:dyDescent="0.25">
      <c r="A6" s="26" t="s">
        <v>19</v>
      </c>
    </row>
    <row r="7" spans="1:13" x14ac:dyDescent="0.25">
      <c r="A7" s="26"/>
    </row>
    <row r="8" spans="1:13" x14ac:dyDescent="0.25">
      <c r="A8" s="52" t="s">
        <v>20</v>
      </c>
      <c r="B8" s="28"/>
      <c r="C8" s="28" t="s">
        <v>85</v>
      </c>
      <c r="D8" s="28" t="s">
        <v>81</v>
      </c>
      <c r="E8" s="28" t="s">
        <v>86</v>
      </c>
      <c r="F8" s="28" t="s">
        <v>82</v>
      </c>
      <c r="G8" s="28" t="s">
        <v>84</v>
      </c>
      <c r="H8" s="28" t="s">
        <v>83</v>
      </c>
      <c r="I8" s="28" t="s">
        <v>106</v>
      </c>
      <c r="J8" s="28"/>
      <c r="K8" s="28"/>
    </row>
    <row r="9" spans="1:13" x14ac:dyDescent="0.25">
      <c r="A9" s="52"/>
      <c r="B9" t="s">
        <v>80</v>
      </c>
      <c r="C9">
        <f>DATA_input!K18+DATA_input!L18+DATA_input!M18</f>
        <v>12252000</v>
      </c>
      <c r="D9">
        <f>(DATA_input!K11+DATA_input!L11+DATA_input!M11)</f>
        <v>5501</v>
      </c>
      <c r="E9">
        <f>DATA_input!N8+DATA_input!O8+DATA_input!P8</f>
        <v>0</v>
      </c>
      <c r="F9">
        <f>(DATA_input!N11+DATA_input!O11+DATA_input!P11)</f>
        <v>3</v>
      </c>
      <c r="G9">
        <f>DATA_input!E18+DATA_input!G18+DATA_input!I18</f>
        <v>3373545</v>
      </c>
      <c r="H9">
        <f>(DATA_input!E11+DATA_input!G11+DATA_input!I11)</f>
        <v>8656</v>
      </c>
      <c r="I9">
        <f>(C9/D9)*D9/(D9+F9+H9)+(E9/F9)*F9/(D9+F9+H9)+(G9/H9)*H9/(D9+F9+H9)</f>
        <v>1103.4989406779662</v>
      </c>
    </row>
    <row r="10" spans="1:13" x14ac:dyDescent="0.25">
      <c r="A10" s="52" t="s">
        <v>21</v>
      </c>
      <c r="B10" s="28"/>
      <c r="C10" s="28" t="s">
        <v>87</v>
      </c>
      <c r="D10" s="28" t="s">
        <v>81</v>
      </c>
      <c r="E10" s="28" t="s">
        <v>88</v>
      </c>
      <c r="F10" s="28" t="s">
        <v>82</v>
      </c>
      <c r="G10" s="28" t="s">
        <v>89</v>
      </c>
      <c r="H10" s="28" t="s">
        <v>83</v>
      </c>
      <c r="I10" s="28" t="s">
        <v>106</v>
      </c>
    </row>
    <row r="11" spans="1:13" x14ac:dyDescent="0.25">
      <c r="A11" s="52"/>
      <c r="B11" t="s">
        <v>80</v>
      </c>
      <c r="C11">
        <f>DATA_input!K19+DATA_input!L19+DATA_input!M19</f>
        <v>55995.781514948132</v>
      </c>
      <c r="D11">
        <f>(DATA_input!K11+DATA_input!L11+DATA_input!M11)</f>
        <v>5501</v>
      </c>
      <c r="E11">
        <f>DATA_input!N19+DATA_input!O19+DATA_input!P19</f>
        <v>3513.5239587554524</v>
      </c>
      <c r="F11">
        <f>(DATA_input!N11+DATA_input!O11+DATA_input!P11)</f>
        <v>3</v>
      </c>
      <c r="G11">
        <f>DATA_input!N19+DATA_input!O19+DATA_input!P19</f>
        <v>3513.5239587554524</v>
      </c>
      <c r="H11">
        <f>(DATA_input!E11+DATA_input!G11+DATA_input!I11)</f>
        <v>8656</v>
      </c>
      <c r="I11">
        <f>(C11/D11)*D11/(D11+F11+H11)+(E11/F11)*F11/(D11+F11+H11)+(G11/H11)*H11/(D11+F11+H11)</f>
        <v>4.4507647904278986</v>
      </c>
    </row>
    <row r="12" spans="1:13" x14ac:dyDescent="0.25">
      <c r="A12" s="52" t="s">
        <v>22</v>
      </c>
      <c r="B12" s="28"/>
      <c r="C12" s="28" t="s">
        <v>78</v>
      </c>
      <c r="D12" s="28" t="s">
        <v>77</v>
      </c>
      <c r="E12" s="28"/>
      <c r="F12" s="28"/>
      <c r="G12" s="28"/>
      <c r="H12" s="28"/>
      <c r="I12" s="28" t="s">
        <v>106</v>
      </c>
    </row>
    <row r="13" spans="1:13" x14ac:dyDescent="0.25">
      <c r="A13" s="52"/>
      <c r="C13">
        <v>25</v>
      </c>
      <c r="D13" s="22">
        <v>3.4099999999999998E-2</v>
      </c>
      <c r="I13">
        <f>(DATA_input!K29*DATA_input!K25+DATA_input!L29*DATA_input!L25+DATA_input!M29*DATA_input!M25+DATA_input!R29*DATA_input!R25+DATA_input!T29*DATA_input!T25)</f>
        <v>0.15181857929293613</v>
      </c>
      <c r="L13" s="20" t="s">
        <v>76</v>
      </c>
    </row>
    <row r="14" spans="1:13" x14ac:dyDescent="0.25">
      <c r="A14" s="26" t="s">
        <v>23</v>
      </c>
      <c r="K14" s="22"/>
      <c r="L14" s="20"/>
    </row>
    <row r="15" spans="1:13" x14ac:dyDescent="0.25">
      <c r="A15" s="26"/>
      <c r="M15" s="21"/>
    </row>
    <row r="16" spans="1:13" x14ac:dyDescent="0.25">
      <c r="A16" s="27" t="s">
        <v>24</v>
      </c>
      <c r="M16" s="21"/>
    </row>
    <row r="17" spans="1:1" x14ac:dyDescent="0.25">
      <c r="A17" s="27"/>
    </row>
    <row r="18" spans="1:1" x14ac:dyDescent="0.25">
      <c r="A18" s="27" t="s">
        <v>25</v>
      </c>
    </row>
    <row r="19" spans="1:1" x14ac:dyDescent="0.25">
      <c r="A19" s="27"/>
    </row>
    <row r="20" spans="1:1" x14ac:dyDescent="0.25">
      <c r="A20" s="27" t="s">
        <v>26</v>
      </c>
    </row>
    <row r="21" spans="1:1" x14ac:dyDescent="0.25">
      <c r="A21" s="27"/>
    </row>
    <row r="22" spans="1:1" x14ac:dyDescent="0.25">
      <c r="A22" s="27" t="s">
        <v>27</v>
      </c>
    </row>
    <row r="23" spans="1:1" x14ac:dyDescent="0.25">
      <c r="A23" s="27"/>
    </row>
    <row r="24" spans="1:1" x14ac:dyDescent="0.25">
      <c r="A24" s="27" t="s">
        <v>28</v>
      </c>
    </row>
    <row r="25" spans="1:1" x14ac:dyDescent="0.25">
      <c r="A25" s="27"/>
    </row>
  </sheetData>
  <mergeCells count="12">
    <mergeCell ref="A18:A19"/>
    <mergeCell ref="A20:A21"/>
    <mergeCell ref="A22:A23"/>
    <mergeCell ref="A24:A25"/>
    <mergeCell ref="A14:A15"/>
    <mergeCell ref="A6:A7"/>
    <mergeCell ref="A8:A9"/>
    <mergeCell ref="A10:A11"/>
    <mergeCell ref="A12:A13"/>
    <mergeCell ref="A16:A17"/>
    <mergeCell ref="A2:A3"/>
    <mergeCell ref="A4:A5"/>
  </mergeCells>
  <hyperlinks>
    <hyperlink ref="L13" r:id="rId1" xr:uid="{E3E754A9-04E2-49A2-8087-767AF3B2075A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7"/>
  <sheetViews>
    <sheetView topLeftCell="D1" workbookViewId="0">
      <selection activeCell="T29" sqref="T29"/>
    </sheetView>
  </sheetViews>
  <sheetFormatPr baseColWidth="10" defaultColWidth="9.140625" defaultRowHeight="15" x14ac:dyDescent="0.25"/>
  <cols>
    <col min="1" max="1" width="30.28515625" bestFit="1" customWidth="1"/>
    <col min="2" max="2" width="12" bestFit="1" customWidth="1"/>
    <col min="3" max="3" width="10.7109375" bestFit="1" customWidth="1"/>
    <col min="4" max="4" width="10.140625" bestFit="1" customWidth="1"/>
    <col min="5" max="10" width="13.42578125" customWidth="1"/>
    <col min="11" max="12" width="12.85546875" customWidth="1"/>
    <col min="13" max="13" width="13.140625" bestFit="1" customWidth="1"/>
    <col min="14" max="14" width="8.28515625" customWidth="1"/>
    <col min="15" max="15" width="11" bestFit="1" customWidth="1"/>
    <col min="16" max="16" width="12" bestFit="1" customWidth="1"/>
    <col min="17" max="17" width="10.85546875" style="17" customWidth="1"/>
    <col min="18" max="18" width="13.7109375" style="17" bestFit="1" customWidth="1"/>
    <col min="19" max="19" width="17.7109375" style="17" bestFit="1" customWidth="1"/>
    <col min="20" max="33" width="9.140625" style="17"/>
  </cols>
  <sheetData>
    <row r="1" spans="1:33" x14ac:dyDescent="0.25">
      <c r="A1" s="4" t="s">
        <v>37</v>
      </c>
    </row>
    <row r="2" spans="1:33" x14ac:dyDescent="0.25">
      <c r="A2" s="29"/>
      <c r="B2" s="30"/>
      <c r="C2" s="30"/>
      <c r="D2" s="31"/>
      <c r="E2" s="38" t="s">
        <v>0</v>
      </c>
      <c r="F2" s="39"/>
      <c r="G2" s="38" t="s">
        <v>1</v>
      </c>
      <c r="H2" s="39"/>
      <c r="I2" s="38" t="s">
        <v>2</v>
      </c>
      <c r="J2" s="39"/>
      <c r="K2" s="6" t="s">
        <v>10</v>
      </c>
      <c r="L2" s="6" t="s">
        <v>11</v>
      </c>
      <c r="M2" s="6" t="s">
        <v>30</v>
      </c>
      <c r="N2" s="6" t="s">
        <v>39</v>
      </c>
      <c r="O2" s="6" t="s">
        <v>38</v>
      </c>
      <c r="P2" s="6" t="s">
        <v>3</v>
      </c>
      <c r="S2" t="s">
        <v>31</v>
      </c>
      <c r="T2" s="7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spans="1:33" x14ac:dyDescent="0.25">
      <c r="A3" s="32" t="s">
        <v>4</v>
      </c>
      <c r="B3" s="32"/>
      <c r="C3" s="32"/>
      <c r="D3" s="32"/>
      <c r="E3" s="40">
        <v>50</v>
      </c>
      <c r="F3" s="41"/>
      <c r="G3" s="40">
        <v>82</v>
      </c>
      <c r="H3" s="41"/>
      <c r="I3" s="40">
        <v>50</v>
      </c>
      <c r="J3" s="41"/>
      <c r="K3" s="1"/>
      <c r="L3" s="1"/>
      <c r="M3" s="1"/>
      <c r="N3" s="1"/>
      <c r="O3" s="1"/>
      <c r="P3" s="5"/>
      <c r="S3" t="s">
        <v>32</v>
      </c>
      <c r="T3" s="8"/>
      <c r="U3" s="19"/>
      <c r="V3" s="18"/>
      <c r="W3" s="18"/>
      <c r="X3" s="19"/>
      <c r="Y3" s="19"/>
      <c r="Z3" s="18"/>
      <c r="AA3" s="18"/>
      <c r="AB3" s="18"/>
      <c r="AC3" s="18"/>
      <c r="AD3" s="18"/>
      <c r="AE3" s="18"/>
      <c r="AF3" s="18"/>
      <c r="AG3" s="18"/>
    </row>
    <row r="4" spans="1:33" x14ac:dyDescent="0.25">
      <c r="A4" s="32" t="s">
        <v>5</v>
      </c>
      <c r="B4" s="32"/>
      <c r="C4" s="32"/>
      <c r="D4" s="32"/>
      <c r="E4" s="40">
        <v>286.125</v>
      </c>
      <c r="F4" s="41"/>
      <c r="G4" s="40">
        <v>82</v>
      </c>
      <c r="H4" s="41"/>
      <c r="I4" s="44">
        <v>205</v>
      </c>
      <c r="J4" s="45"/>
      <c r="K4" s="1"/>
      <c r="L4" s="1"/>
      <c r="M4" s="1"/>
      <c r="N4" s="1"/>
      <c r="O4" s="1"/>
      <c r="P4" s="5"/>
      <c r="S4" t="s">
        <v>33</v>
      </c>
      <c r="T4" s="10"/>
    </row>
    <row r="5" spans="1:33" x14ac:dyDescent="0.25">
      <c r="A5" s="32" t="s">
        <v>74</v>
      </c>
      <c r="B5" s="32"/>
      <c r="C5" s="32"/>
      <c r="D5" s="32"/>
      <c r="E5" s="42"/>
      <c r="F5" s="43"/>
      <c r="G5" s="42"/>
      <c r="H5" s="43"/>
      <c r="I5" s="42"/>
      <c r="J5" s="43"/>
      <c r="K5" s="1"/>
      <c r="L5" s="1"/>
      <c r="M5" s="1"/>
      <c r="N5" s="1"/>
      <c r="O5" s="1"/>
      <c r="P5" s="5"/>
      <c r="S5"/>
      <c r="T5" s="10"/>
    </row>
    <row r="6" spans="1:33" x14ac:dyDescent="0.25">
      <c r="A6" s="32" t="s">
        <v>6</v>
      </c>
      <c r="B6" s="32"/>
      <c r="C6" s="32"/>
      <c r="D6" s="32"/>
      <c r="E6" s="44">
        <v>1.1000000000000001E-3</v>
      </c>
      <c r="F6" s="45"/>
      <c r="G6" s="44">
        <v>2E-3</v>
      </c>
      <c r="H6" s="45"/>
      <c r="I6" s="50">
        <v>3.0000000000000001E-3</v>
      </c>
      <c r="J6" s="51"/>
      <c r="K6" s="11">
        <v>1.2E-2</v>
      </c>
      <c r="L6" s="12">
        <v>0.01</v>
      </c>
      <c r="M6" s="11">
        <v>5.0000000000000001E-3</v>
      </c>
      <c r="N6" s="23">
        <v>0</v>
      </c>
      <c r="O6" s="23">
        <v>0</v>
      </c>
      <c r="P6" s="13">
        <v>1.4E-3</v>
      </c>
      <c r="Q6"/>
      <c r="R6"/>
      <c r="S6" s="18"/>
    </row>
    <row r="7" spans="1:33" x14ac:dyDescent="0.25">
      <c r="A7" s="32" t="s">
        <v>7</v>
      </c>
      <c r="B7" s="32"/>
      <c r="C7" s="32"/>
      <c r="D7" s="32"/>
      <c r="E7" s="44">
        <f>E4*E6</f>
        <v>0.3147375</v>
      </c>
      <c r="F7" s="45"/>
      <c r="G7" s="44">
        <f>G6*G4</f>
        <v>0.16400000000000001</v>
      </c>
      <c r="H7" s="45"/>
      <c r="I7" s="44">
        <f>I6*I4</f>
        <v>0.61499999999999999</v>
      </c>
      <c r="J7" s="45"/>
      <c r="K7" s="1"/>
      <c r="L7" s="1"/>
      <c r="M7" s="1"/>
      <c r="N7" s="16"/>
      <c r="O7" s="16"/>
      <c r="P7" s="5"/>
      <c r="Q7"/>
      <c r="R7"/>
      <c r="S7" s="18"/>
    </row>
    <row r="8" spans="1:33" x14ac:dyDescent="0.25">
      <c r="A8" s="32" t="s">
        <v>75</v>
      </c>
      <c r="B8" s="32"/>
      <c r="C8" s="32"/>
      <c r="D8" s="32"/>
      <c r="E8" s="42"/>
      <c r="F8" s="43"/>
      <c r="G8" s="42"/>
      <c r="H8" s="43"/>
      <c r="I8" s="42"/>
      <c r="J8" s="43"/>
      <c r="K8" s="11">
        <v>2500</v>
      </c>
      <c r="L8" s="12">
        <v>2000</v>
      </c>
      <c r="M8" s="11">
        <v>2000</v>
      </c>
      <c r="N8" s="23">
        <v>0</v>
      </c>
      <c r="O8" s="23">
        <v>0</v>
      </c>
      <c r="P8" s="24">
        <v>0</v>
      </c>
      <c r="Q8"/>
      <c r="R8"/>
      <c r="S8" s="18"/>
    </row>
    <row r="9" spans="1:33" x14ac:dyDescent="0.25">
      <c r="A9" s="32" t="s">
        <v>8</v>
      </c>
      <c r="B9" s="32"/>
      <c r="C9" s="32"/>
      <c r="D9" s="32"/>
      <c r="E9" s="40">
        <v>200</v>
      </c>
      <c r="F9" s="41"/>
      <c r="G9" s="40">
        <v>350</v>
      </c>
      <c r="H9" s="41"/>
      <c r="I9" s="40">
        <v>83</v>
      </c>
      <c r="J9" s="41"/>
      <c r="K9" s="1"/>
      <c r="L9" s="1"/>
      <c r="M9" s="1"/>
      <c r="N9" s="16"/>
      <c r="O9" s="16"/>
      <c r="P9" s="5"/>
      <c r="Q9"/>
      <c r="R9"/>
      <c r="S9" s="18"/>
    </row>
    <row r="10" spans="1:33" x14ac:dyDescent="0.25">
      <c r="A10" s="32" t="s">
        <v>9</v>
      </c>
      <c r="B10" s="32"/>
      <c r="C10" s="32"/>
      <c r="D10" s="32"/>
      <c r="E10" s="44">
        <f>E9*E4</f>
        <v>57225</v>
      </c>
      <c r="F10" s="45"/>
      <c r="G10" s="44">
        <f>G9*G4</f>
        <v>28700</v>
      </c>
      <c r="H10" s="45"/>
      <c r="I10" s="44">
        <f>I9*I4</f>
        <v>17015</v>
      </c>
      <c r="J10" s="45"/>
      <c r="K10" s="1"/>
      <c r="L10" s="1"/>
      <c r="M10" s="1"/>
      <c r="N10" s="16"/>
      <c r="O10" s="16"/>
      <c r="P10" s="5"/>
      <c r="Q10"/>
      <c r="R10"/>
      <c r="S10" s="18"/>
    </row>
    <row r="11" spans="1:33" x14ac:dyDescent="0.25">
      <c r="A11" s="33" t="s">
        <v>13</v>
      </c>
      <c r="B11" s="33"/>
      <c r="C11" s="33"/>
      <c r="D11" s="33"/>
      <c r="E11" s="40">
        <f>E3*E15</f>
        <v>450</v>
      </c>
      <c r="F11" s="41"/>
      <c r="G11" s="40">
        <f>G3*G15</f>
        <v>6806</v>
      </c>
      <c r="H11" s="41"/>
      <c r="I11" s="40">
        <f>I3*I15</f>
        <v>1400</v>
      </c>
      <c r="J11" s="41"/>
      <c r="K11" s="9">
        <v>2500</v>
      </c>
      <c r="L11" s="9">
        <v>3000</v>
      </c>
      <c r="M11" s="1">
        <f>O11</f>
        <v>1</v>
      </c>
      <c r="N11" s="23">
        <v>1</v>
      </c>
      <c r="O11" s="23">
        <v>1</v>
      </c>
      <c r="P11" s="24">
        <v>1</v>
      </c>
      <c r="Q11"/>
      <c r="R11"/>
      <c r="S11" s="18"/>
    </row>
    <row r="12" spans="1:33" x14ac:dyDescent="0.25">
      <c r="A12" s="33" t="s">
        <v>16</v>
      </c>
      <c r="B12" s="33"/>
      <c r="C12" s="33"/>
      <c r="D12" s="33"/>
      <c r="E12" s="40">
        <f>E15*E4</f>
        <v>2575.125</v>
      </c>
      <c r="F12" s="41"/>
      <c r="G12" s="40">
        <f>G15*G4</f>
        <v>6806</v>
      </c>
      <c r="H12" s="41"/>
      <c r="I12" s="40">
        <f>I15*I4</f>
        <v>5740</v>
      </c>
      <c r="J12" s="41"/>
      <c r="K12" s="1"/>
      <c r="L12" s="1"/>
      <c r="M12" s="1"/>
      <c r="N12" s="1"/>
      <c r="O12" s="1"/>
      <c r="P12" s="5"/>
      <c r="Q12"/>
      <c r="R12"/>
      <c r="S12" s="18"/>
    </row>
    <row r="13" spans="1:33" x14ac:dyDescent="0.25">
      <c r="A13" s="33" t="s">
        <v>14</v>
      </c>
      <c r="B13" s="33"/>
      <c r="C13" s="33"/>
      <c r="D13" s="33"/>
      <c r="E13" s="46">
        <v>0.75</v>
      </c>
      <c r="F13" s="47"/>
      <c r="G13" s="46" t="s">
        <v>12</v>
      </c>
      <c r="H13" s="47"/>
      <c r="I13" s="50"/>
      <c r="J13" s="51"/>
      <c r="K13" s="1"/>
      <c r="L13" s="1"/>
      <c r="M13" s="11" t="s">
        <v>34</v>
      </c>
      <c r="N13" s="16"/>
      <c r="O13" s="16"/>
      <c r="P13" s="5"/>
      <c r="Q13"/>
      <c r="R13"/>
      <c r="S13" s="18"/>
    </row>
    <row r="14" spans="1:33" x14ac:dyDescent="0.25">
      <c r="A14" s="33" t="s">
        <v>15</v>
      </c>
      <c r="B14" s="33"/>
      <c r="C14" s="33"/>
      <c r="D14" s="33"/>
      <c r="E14" s="44">
        <v>600</v>
      </c>
      <c r="F14" s="45"/>
      <c r="G14" s="50"/>
      <c r="H14" s="51"/>
      <c r="I14" s="50"/>
      <c r="J14" s="51"/>
      <c r="K14" s="1"/>
      <c r="L14" s="1"/>
      <c r="M14" s="1"/>
      <c r="N14" s="1"/>
      <c r="O14" s="1"/>
      <c r="P14" s="5"/>
      <c r="Q14"/>
      <c r="R14"/>
      <c r="S14" s="18"/>
    </row>
    <row r="15" spans="1:33" x14ac:dyDescent="0.25">
      <c r="A15" s="34" t="s">
        <v>29</v>
      </c>
      <c r="B15" s="34"/>
      <c r="C15" s="34"/>
      <c r="D15" s="34"/>
      <c r="E15" s="48">
        <v>9</v>
      </c>
      <c r="F15" s="49"/>
      <c r="G15" s="48">
        <v>83</v>
      </c>
      <c r="H15" s="49"/>
      <c r="I15" s="48">
        <v>28</v>
      </c>
      <c r="J15" s="49"/>
      <c r="K15" s="1"/>
      <c r="L15" s="1"/>
      <c r="M15" s="16"/>
      <c r="N15" s="16"/>
      <c r="O15" s="16"/>
      <c r="P15" s="1"/>
      <c r="Q15"/>
      <c r="R15"/>
      <c r="S15" s="18"/>
    </row>
    <row r="16" spans="1:33" x14ac:dyDescent="0.25">
      <c r="A16" s="35"/>
      <c r="B16" s="36"/>
      <c r="P16" s="37" t="s">
        <v>96</v>
      </c>
      <c r="Q16" s="37" t="s">
        <v>99</v>
      </c>
      <c r="R16"/>
      <c r="S16" s="18"/>
    </row>
    <row r="17" spans="1:43" x14ac:dyDescent="0.25">
      <c r="B17" t="s">
        <v>35</v>
      </c>
      <c r="C17" t="s">
        <v>36</v>
      </c>
      <c r="D17" t="s">
        <v>40</v>
      </c>
      <c r="P17" t="s">
        <v>71</v>
      </c>
      <c r="Q17" t="s">
        <v>70</v>
      </c>
      <c r="R17" t="s">
        <v>103</v>
      </c>
      <c r="S17" t="s">
        <v>98</v>
      </c>
      <c r="T17" t="s">
        <v>104</v>
      </c>
      <c r="U17" t="s">
        <v>97</v>
      </c>
    </row>
    <row r="18" spans="1:43" x14ac:dyDescent="0.25">
      <c r="A18" s="4" t="s">
        <v>95</v>
      </c>
      <c r="E18" s="25">
        <f>E9*E12</f>
        <v>515025</v>
      </c>
      <c r="F18" s="25"/>
      <c r="G18" s="25">
        <f>G9*G12</f>
        <v>2382100</v>
      </c>
      <c r="H18" s="25"/>
      <c r="I18" s="25">
        <f>I9*I12</f>
        <v>476420</v>
      </c>
      <c r="J18" s="25"/>
      <c r="K18">
        <f>K8*K11</f>
        <v>6250000</v>
      </c>
      <c r="L18">
        <f t="shared" ref="L18:P18" si="0">L8*L11</f>
        <v>6000000</v>
      </c>
      <c r="M18">
        <f t="shared" si="0"/>
        <v>2000</v>
      </c>
      <c r="N18">
        <f t="shared" si="0"/>
        <v>0</v>
      </c>
      <c r="O18">
        <f t="shared" si="0"/>
        <v>0</v>
      </c>
      <c r="P18">
        <f t="shared" si="0"/>
        <v>0</v>
      </c>
      <c r="Q18"/>
      <c r="S18" s="18"/>
      <c r="U18"/>
    </row>
    <row r="19" spans="1:43" x14ac:dyDescent="0.25">
      <c r="A19" s="4" t="s">
        <v>94</v>
      </c>
      <c r="E19" s="25">
        <f>E6*(ABS(E24)+ABS(F24))</f>
        <v>2037.7040115855746</v>
      </c>
      <c r="F19" s="25"/>
      <c r="G19" s="25">
        <f>G6*(ABS(G24)+ABS(H24))</f>
        <v>2122.0737092003496</v>
      </c>
      <c r="H19" s="25"/>
      <c r="I19" s="25">
        <f>I6*(ABS(I24)+ABS(J24))</f>
        <v>7481.3689191474559</v>
      </c>
      <c r="J19" s="25"/>
      <c r="K19">
        <f>K6*K24</f>
        <v>8769.697593750001</v>
      </c>
      <c r="L19">
        <f>L6*L24</f>
        <v>47226.083906250002</v>
      </c>
      <c r="M19">
        <f>M6*M24</f>
        <v>1.4948126298658257E-5</v>
      </c>
      <c r="N19">
        <f t="shared" ref="N19:P19" si="1">N6*N24</f>
        <v>0</v>
      </c>
      <c r="O19">
        <f t="shared" si="1"/>
        <v>0</v>
      </c>
      <c r="P19">
        <f t="shared" si="1"/>
        <v>3513.5239587554524</v>
      </c>
      <c r="Q19"/>
      <c r="S19" s="18"/>
      <c r="U19" s="15"/>
    </row>
    <row r="20" spans="1:43" x14ac:dyDescent="0.25">
      <c r="A20" s="4" t="s">
        <v>90</v>
      </c>
      <c r="B20">
        <v>51</v>
      </c>
      <c r="C20" s="14">
        <f>DATE(2022,1,1)+B20-1</f>
        <v>44612</v>
      </c>
      <c r="D20">
        <v>0.25</v>
      </c>
      <c r="E20" s="2">
        <f>SUMIF(DAY01_tp3778e756_2156_42ad_985e_0e9a2cb52100_KPI[P_ess_HP],"&gt;0")*('DAY01'!$A$3-'DAY01'!$A$2)/3600000</f>
        <v>2427.7674335171532</v>
      </c>
      <c r="F20" s="2">
        <f>SUMIF(DAY01_tp3778e756_2156_42ad_985e_0e9a2cb52100_KPI[P_ess_HP],"&lt;0")*('DAY01'!$A$3-'DAY01'!$A$2)/3600000</f>
        <v>-2614.5187741553509</v>
      </c>
      <c r="G20" s="2">
        <f>SUMIF(DAY01_tp3778e756_2156_42ad_985e_0e9a2cb52100_KPI[P_ess_BAT],"&gt;0")*('DAY01'!$A$3-'DAY01'!$A$2)/3600000</f>
        <v>2310.8742055973485</v>
      </c>
      <c r="H20" s="2">
        <f>SUMIF(DAY01_tp3778e756_2156_42ad_985e_0e9a2cb52100_KPI[P_ess_BAT],"&lt;0")*('DAY01'!$A$3-'DAY01'!$A$2)/3600000</f>
        <v>-2151.3360929335622</v>
      </c>
      <c r="I20" s="2">
        <f>SUMIF(DAY01_tp3778e756_2156_42ad_985e_0e9a2cb52100_KPI[P_ess_PCM],"&gt;0")*('DAY01'!$A$3-'DAY01'!$A$2)/3600000</f>
        <v>2972.9109630820267</v>
      </c>
      <c r="J20" s="2">
        <f>SUMIF(DAY01_tp3778e756_2156_42ad_985e_0e9a2cb52100_KPI[P_ess_PCM],"&lt;0")*('DAY01'!$A$3-'DAY01'!$A$2)/3600000</f>
        <v>-3013.3698709496261</v>
      </c>
      <c r="K20" s="2">
        <f>SUM(DAY01_tp3778e756_2156_42ad_985e_0e9a2cb52100_KPI[P_CT_WD])*('DAY01'!$A$3-'DAY01'!$A$2)/3600000</f>
        <v>0</v>
      </c>
      <c r="L20" s="2">
        <f>SUM(DAY01_tp3778e756_2156_42ad_985e_0e9a2cb52100_KPI[P_CT_PV])*('DAY01'!$A$3-'DAY01'!$A$2)/3600000</f>
        <v>11682.768749999999</v>
      </c>
      <c r="M20" s="2">
        <f>SUM(DAY01_tp3778e756_2156_42ad_985e_0e9a2cb52100_KPI[P2rk])*('DAY01'!$A$3-'DAY01'!$A$2)/3600000</f>
        <v>0</v>
      </c>
      <c r="N20" s="2">
        <f>SUM(DAY01_tp3778e756_2156_42ad_985e_0e9a2cb52100_KPI[P_tsp])*('DAY01'!$A$3-'DAY01'!$A$2)/3600000</f>
        <v>3508.4544641532425</v>
      </c>
      <c r="O20" s="2">
        <f>SUM(DAY01_tp3778e756_2156_42ad_985e_0e9a2cb52100_KPI[P_csp])*('DAY01'!$A$3-'DAY01'!$A$2)/3600000</f>
        <v>470.28687000000002</v>
      </c>
      <c r="P20" s="2">
        <f>-SUM(DAY01_tp3778e756_2156_42ad_985e_0e9a2cb52100_KPI[Pt_grid])*('DAY01'!$A$3-'DAY01'!$A$2)/3600000</f>
        <v>7931.6437447595363</v>
      </c>
      <c r="Q20" s="2">
        <f>SUM(DAY01_tp3778e756_2156_42ad_985e_0e9a2cb52100_KPI[Pe_grid])*('DAY01'!$A$3-'DAY01'!$A$2)/3600000</f>
        <v>-5223.7945029454731</v>
      </c>
      <c r="R20" s="17">
        <f>IF($Q20&gt;0,$Q20,0)</f>
        <v>0</v>
      </c>
      <c r="S20" s="2">
        <f>SUM(DAY01_tp3778e756_2156_42ad_985e_0e9a2cb52100_KPI[EP_gen])/24</f>
        <v>0.16227666666666665</v>
      </c>
      <c r="T20" s="17">
        <f>IF($Q20&lt;0,$Q20,0)</f>
        <v>-5223.7945029454731</v>
      </c>
      <c r="U20" s="2">
        <f>SUM(DAY01_tp3778e756_2156_42ad_985e_0e9a2cb52100_KPI[EP_con])/24</f>
        <v>0.21598800465249998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x14ac:dyDescent="0.25">
      <c r="A21" s="4" t="s">
        <v>91</v>
      </c>
      <c r="B21">
        <v>143</v>
      </c>
      <c r="C21" s="14">
        <f t="shared" ref="C21:C23" si="2">DATE(2022,1,1)+B21-1</f>
        <v>44704</v>
      </c>
      <c r="D21">
        <v>0.25</v>
      </c>
      <c r="E21" s="2">
        <f>SUMIF(DAY02_tp85daa4f8_a07b_4c35_a927_82fafb86281c_KPI[P_ess_HP],"&gt;0")*('DAY02'!$A$3-'DAY02'!$A$2)/3600000</f>
        <v>2521.3765768913086</v>
      </c>
      <c r="F21" s="2">
        <f>SUMIF(DAY02_tp85daa4f8_a07b_4c35_a927_82fafb86281c_KPI[P_ess_HP],"&lt;0")*('DAY02'!$A$3-'DAY02'!$A$2)/3600000</f>
        <v>-3248.959346407923</v>
      </c>
      <c r="G21" s="2">
        <f>SUMIF(DAY02_tp85daa4f8_a07b_4c35_a927_82fafb86281c_KPI[P_ess_BAT],"&gt;0")*('DAY02'!$A$3-'DAY02'!$A$2)/3600000</f>
        <v>1264.9762189868804</v>
      </c>
      <c r="H21" s="2">
        <f>SUMIF(DAY02_tp85daa4f8_a07b_4c35_a927_82fafb86281c_KPI[P_ess_BAT],"&lt;0")*('DAY02'!$A$3-'DAY02'!$A$2)/3600000</f>
        <v>-1133.8744802924302</v>
      </c>
      <c r="I21" s="2">
        <f>SUMIF(DAY02_tp85daa4f8_a07b_4c35_a927_82fafb86281c_KPI[P_ess_PCM],"&gt;0")*('DAY02'!$A$3-'DAY02'!$A$2)/3600000</f>
        <v>3176.7120513542345</v>
      </c>
      <c r="J21" s="2">
        <f>SUMIF(DAY02_tp85daa4f8_a07b_4c35_a927_82fafb86281c_KPI[P_ess_PCM],"&lt;0")*('DAY02'!$A$3-'DAY02'!$A$2)/3600000</f>
        <v>-3573.1768035432769</v>
      </c>
      <c r="K21" s="2">
        <f>SUM(DAY02_tp85daa4f8_a07b_4c35_a927_82fafb86281c_KPI[P_CT_WD])*('DAY02'!$A$3-'DAY02'!$A$2)/3600000</f>
        <v>2199.7562499999999</v>
      </c>
      <c r="L21" s="2">
        <f>SUM(DAY02_tp85daa4f8_a07b_4c35_a927_82fafb86281c_KPI[P_CT_PV])*('DAY02'!$A$3-'DAY02'!$A$2)/3600000</f>
        <v>18315.587500000001</v>
      </c>
      <c r="M21" s="2">
        <f>SUM(DAY02_tp85daa4f8_a07b_4c35_a927_82fafb86281c_KPI[P2rk])*('DAY02'!$A$3-'DAY02'!$A$2)/3600000</f>
        <v>0</v>
      </c>
      <c r="N21" s="2">
        <f>SUM(DAY02_tp85daa4f8_a07b_4c35_a927_82fafb86281c_KPI[P_tsp])*('DAY02'!$A$3-'DAY02'!$A$2)/3600000</f>
        <v>3129.607779298065</v>
      </c>
      <c r="O21" s="2">
        <f>SUM(DAY02_tp85daa4f8_a07b_4c35_a927_82fafb86281c_KPI[P_csp])*('DAY02'!$A$3-'DAY02'!$A$2)/3600000</f>
        <v>764.4984751999998</v>
      </c>
      <c r="P21" s="2">
        <f>-SUM(DAY02_tp85daa4f8_a07b_4c35_a927_82fafb86281c_KPI[Pt_grid])*('DAY02'!$A$3-'DAY02'!$A$2)/3600000</f>
        <v>8372.2846687361562</v>
      </c>
      <c r="Q21" s="2">
        <f>SUM(DAY02_tp85daa4f8_a07b_4c35_a927_82fafb86281c_KPI[Pe_grid])*('DAY02'!$A$3-'DAY02'!$A$2)/3600000</f>
        <v>2889.6455067067809</v>
      </c>
      <c r="R21" s="17">
        <f t="shared" ref="R21:R23" si="3">IF($Q21&gt;0,$Q21,0)</f>
        <v>2889.6455067067809</v>
      </c>
      <c r="S21" s="2">
        <f>SUM(DAY02_tp85daa4f8_a07b_4c35_a927_82fafb86281c_KPI[EP_gen])/24</f>
        <v>0.19269499999999995</v>
      </c>
      <c r="T21" s="17">
        <f>IF($Q21&lt;0,$Q21,0)</f>
        <v>0</v>
      </c>
      <c r="U21" s="2">
        <f>SUM(DAY02_tp85daa4f8_a07b_4c35_a927_82fafb86281c_KPI[EP_con])/24</f>
        <v>0.27434705936587495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x14ac:dyDescent="0.25">
      <c r="A22" s="4" t="s">
        <v>92</v>
      </c>
      <c r="B22">
        <v>209</v>
      </c>
      <c r="C22" s="14">
        <f t="shared" si="2"/>
        <v>44770</v>
      </c>
      <c r="D22">
        <v>0.25</v>
      </c>
      <c r="E22" s="2">
        <f>SUMIF(DAY03_tpf9c71200_662c_4d6c_a7cb_7e97d4c4becb_KPI[P_ess_HP],"&gt;0")*('DAY03'!$A$3-'DAY03'!$A$2)/3600000</f>
        <v>2218.2145180850071</v>
      </c>
      <c r="F22" s="2">
        <f>SUMIF(DAY03_tpf9c71200_662c_4d6c_a7cb_7e97d4c4becb_KPI[P_ess_HP],"&lt;0")*('DAY03'!$A$3-'DAY03'!$A$2)/3600000</f>
        <v>-2957.6193575206557</v>
      </c>
      <c r="G22" s="2">
        <f>SUMIF(DAY03_tpf9c71200_662c_4d6c_a7cb_7e97d4c4becb_KPI[P_ess_BAT],"&gt;0")*('DAY03'!$A$3-'DAY03'!$A$2)/3600000</f>
        <v>2027.0343234816755</v>
      </c>
      <c r="H22" s="2">
        <f>SUMIF(DAY03_tpf9c71200_662c_4d6c_a7cb_7e97d4c4becb_KPI[P_ess_BAT],"&lt;0")*('DAY03'!$A$3-'DAY03'!$A$2)/3600000</f>
        <v>-1861.630094179422</v>
      </c>
      <c r="I22" s="2">
        <f>SUMIF(DAY03_tpf9c71200_662c_4d6c_a7cb_7e97d4c4becb_KPI[P_ess_PCM],"&gt;0")*('DAY03'!$A$3-'DAY03'!$A$2)/3600000</f>
        <v>4011.1614954064348</v>
      </c>
      <c r="J22" s="2">
        <f>SUMIF(DAY03_tpf9c71200_662c_4d6c_a7cb_7e97d4c4becb_KPI[P_ess_PCM],"&lt;0")*('DAY03'!$A$3-'DAY03'!$A$2)/3600000</f>
        <v>-4073.8349932198093</v>
      </c>
      <c r="K22" s="2">
        <f>SUM(DAY03_tpf9c71200_662c_4d6c_a7cb_7e97d4c4becb_KPI[P_CT_WD])*('DAY03'!$A$3-'DAY03'!$A$2)/3600000</f>
        <v>206.8</v>
      </c>
      <c r="L22" s="2">
        <f>SUM(DAY03_tpf9c71200_662c_4d6c_a7cb_7e97d4c4becb_KPI[P_CT_PV])*('DAY03'!$A$3-'DAY03'!$A$2)/3600000</f>
        <v>16630.724999999999</v>
      </c>
      <c r="M22" s="2">
        <f>SUM(DAY03_tpf9c71200_662c_4d6c_a7cb_7e97d4c4becb_KPI[P2rk])*('DAY03'!$A$3-'DAY03'!$A$2)/3600000</f>
        <v>-3.2763016545004398E-5</v>
      </c>
      <c r="N22" s="2">
        <f>SUM(DAY03_tpf9c71200_662c_4d6c_a7cb_7e97d4c4becb_KPI[P_tsp])*('DAY03'!$A$3-'DAY03'!$A$2)/3600000</f>
        <v>4075.5630677041258</v>
      </c>
      <c r="O22" s="2">
        <f>SUM(DAY03_tpf9c71200_662c_4d6c_a7cb_7e97d4c4becb_KPI[P_csp])*('DAY03'!$A$3-'DAY03'!$A$2)/3600000</f>
        <v>4609.0922527630173</v>
      </c>
      <c r="P22" s="2">
        <f>-SUM(DAY03_tpf9c71200_662c_4d6c_a7cb_7e97d4c4becb_KPI[Pt_grid])*('DAY03'!$A$3-'DAY03'!$A$2)/3600000</f>
        <v>3247.9443483914124</v>
      </c>
      <c r="Q22" s="2">
        <f>SUM(DAY03_tpf9c71200_662c_4d6c_a7cb_7e97d4c4becb_KPI[Pe_grid])*('DAY03'!$A$3-'DAY03'!$A$2)/3600000</f>
        <v>-989.84439757523899</v>
      </c>
      <c r="R22" s="17">
        <f t="shared" si="3"/>
        <v>0</v>
      </c>
      <c r="S22" s="2">
        <f>SUM(DAY03_tpf9c71200_662c_4d6c_a7cb_7e97d4c4becb_KPI[EP_gen])/24</f>
        <v>0.16872999999999996</v>
      </c>
      <c r="T22" s="17">
        <f>IF($Q22&lt;0,$Q22,0)</f>
        <v>-989.84439757523899</v>
      </c>
      <c r="U22" s="2">
        <f>SUM(DAY03_tpf9c71200_662c_4d6c_a7cb_7e97d4c4becb_KPI[EP_con])/24</f>
        <v>0.39201943539808343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x14ac:dyDescent="0.25">
      <c r="A23" s="4" t="s">
        <v>93</v>
      </c>
      <c r="B23">
        <v>350</v>
      </c>
      <c r="C23" s="14">
        <f t="shared" si="2"/>
        <v>44911</v>
      </c>
      <c r="D23">
        <v>0.25</v>
      </c>
      <c r="E23" s="2">
        <f>SUMIF(DAY04_tp33a8849e_5b42_45e9_9158_b2bc821483ee_KPI[P_ess_HP],"&gt;0")*('DAY04'!$A$3-'DAY04'!$A$2)/3600000</f>
        <v>2037.3516411880175</v>
      </c>
      <c r="F23" s="2">
        <f>SUMIF(DAY04_tp33a8849e_5b42_45e9_9158_b2bc821483ee_KPI[P_ess_HP],"&lt;0")*('DAY04'!$A$3-'DAY04'!$A$2)/3600000</f>
        <v>-2275.1040492266097</v>
      </c>
      <c r="G23" s="2">
        <f>SUMIF(DAY04_tp33a8849e_5b42_45e9_9158_b2bc821483ee_KPI[P_ess_BAT],"&gt;0")*('DAY04'!$A$3-'DAY04'!$A$2)/3600000</f>
        <v>408.19739364087587</v>
      </c>
      <c r="H23" s="2">
        <f>SUMIF(DAY04_tp33a8849e_5b42_45e9_9158_b2bc821483ee_KPI[P_ess_BAT],"&lt;0")*('DAY04'!$A$3-'DAY04'!$A$2)/3600000</f>
        <v>-469.87833719109199</v>
      </c>
      <c r="I23" s="2">
        <f>SUMIF(DAY04_tp33a8849e_5b42_45e9_9158_b2bc821483ee_KPI[P_ess_PCM],"&gt;0")*('DAY04'!$A$3-'DAY04'!$A$2)/3600000</f>
        <v>3189.065299319072</v>
      </c>
      <c r="J23" s="2">
        <f>SUMIF(DAY04_tp33a8849e_5b42_45e9_9158_b2bc821483ee_KPI[P_ess_PCM],"&lt;0")*('DAY04'!$A$3-'DAY04'!$A$2)/3600000</f>
        <v>-3318.9700542577793</v>
      </c>
      <c r="K23" s="2">
        <f>SUM(DAY04_tp33a8849e_5b42_45e9_9158_b2bc821483ee_KPI[P_CT_WD])*('DAY04'!$A$3-'DAY04'!$A$2)/3600000</f>
        <v>5602.3</v>
      </c>
      <c r="L23" s="2">
        <f>SUM(DAY04_tp33a8849e_5b42_45e9_9158_b2bc821483ee_KPI[P_CT_PV])*('DAY04'!$A$3-'DAY04'!$A$2)/3600000</f>
        <v>5125.53125</v>
      </c>
      <c r="M23" s="2">
        <f>SUM(DAY04_tp33a8849e_5b42_45e9_9158_b2bc821483ee_KPI[P2rk])*('DAY04'!$A$3-'DAY04'!$A$2)/3600000</f>
        <v>0</v>
      </c>
      <c r="N23" s="2">
        <f>SUM(DAY04_tp33a8849e_5b42_45e9_9158_b2bc821483ee_KPI[P_tsp])*('DAY04'!$A$3-'DAY04'!$A$2)/3600000</f>
        <v>3881.3479830533634</v>
      </c>
      <c r="O23" s="2">
        <f>SUM(DAY04_tp33a8849e_5b42_45e9_9158_b2bc821483ee_KPI[P_csp])*('DAY04'!$A$3-'DAY04'!$A$2)/3600000</f>
        <v>167.23274000000001</v>
      </c>
      <c r="P23" s="2">
        <f>-SUM(DAY04_tp33a8849e_5b42_45e9_9158_b2bc821483ee_KPI[Pt_grid])*('DAY04'!$A$3-'DAY04'!$A$2)/3600000</f>
        <v>7951.2502029305269</v>
      </c>
      <c r="Q23" s="2">
        <f>SUM(DAY04_tp33a8849e_5b42_45e9_9158_b2bc821483ee_KPI[Pe_grid])*('DAY04'!$A$3-'DAY04'!$A$2)/3600000</f>
        <v>-8424.0458765598705</v>
      </c>
      <c r="R23" s="17">
        <f t="shared" si="3"/>
        <v>0</v>
      </c>
      <c r="S23" s="2">
        <f>SUM(DAY04_tp33a8849e_5b42_45e9_9158_b2bc821483ee_KPI[EP_gen])/24</f>
        <v>0.12789125000000001</v>
      </c>
      <c r="T23" s="17">
        <f>IF($Q23&lt;0,$Q23,0)</f>
        <v>-8424.0458765598705</v>
      </c>
      <c r="U23" s="2">
        <f>SUM(DAY04_tp33a8849e_5b42_45e9_9158_b2bc821483ee_KPI[EP_con])/24</f>
        <v>0.24854971201520837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x14ac:dyDescent="0.25">
      <c r="A24" s="4" t="s">
        <v>105</v>
      </c>
      <c r="E24">
        <f>($D20*E20+$D21*E21+$D22*E22+$D23*E23)*365</f>
        <v>839929.80298343557</v>
      </c>
      <c r="F24">
        <f>($D20*F20+$D21*F21+$D22*F22+$D23*F23)*365</f>
        <v>-1012528.3893670867</v>
      </c>
      <c r="G24">
        <f t="shared" ref="G24:R24" si="4">($D20*G20+$D21*G21+$D22*G22+$D23*G23)*365</f>
        <v>548511.24543074367</v>
      </c>
      <c r="H24">
        <f t="shared" si="4"/>
        <v>-512525.60916943126</v>
      </c>
      <c r="I24">
        <f t="shared" si="4"/>
        <v>1218173.7950860115</v>
      </c>
      <c r="J24">
        <f t="shared" si="4"/>
        <v>-1275615.8446298074</v>
      </c>
      <c r="K24">
        <f t="shared" si="4"/>
        <v>730808.13281250012</v>
      </c>
      <c r="L24">
        <f t="shared" si="4"/>
        <v>4722608.390625</v>
      </c>
      <c r="M24">
        <f>ABS($D20*M20+$D21*M21+$D22*M22+$D23*M23)*365</f>
        <v>2.9896252597316512E-3</v>
      </c>
      <c r="N24">
        <f t="shared" si="4"/>
        <v>1331791.3130965529</v>
      </c>
      <c r="O24">
        <f t="shared" si="4"/>
        <v>548513.81833912537</v>
      </c>
      <c r="P24">
        <f t="shared" si="4"/>
        <v>2509659.970539609</v>
      </c>
      <c r="Q24">
        <f t="shared" si="4"/>
        <v>-1072008.5834216094</v>
      </c>
      <c r="R24">
        <f>($D20*R20+$D21*R21+$D22*R22+$D23*R23)*365*(-1)</f>
        <v>-263680.15248699376</v>
      </c>
      <c r="S24"/>
      <c r="T24">
        <f>($D20*T20+$D21*T21+$D22*T22+$D23*T23)*365*(-1)</f>
        <v>1335688.7359086033</v>
      </c>
      <c r="U24" s="2"/>
      <c r="V24" s="2"/>
    </row>
    <row r="25" spans="1:43" x14ac:dyDescent="0.25">
      <c r="K25" s="22">
        <f>K24/($K$24+$L$24+$M$24-$R$24+$T$24)</f>
        <v>0.1036197884706052</v>
      </c>
      <c r="L25" s="22">
        <f t="shared" ref="L25:M25" si="5">L24/($K$24+$L$24+$M$24-$R$24+$T$24)</f>
        <v>0.66960897189634772</v>
      </c>
      <c r="M25" s="22">
        <f t="shared" si="5"/>
        <v>4.2389284288281409E-10</v>
      </c>
      <c r="R25" s="22">
        <f>ABS(R24/($K$24+$L$24+$M$24-$R$24+$T$24))</f>
        <v>3.7386668809293637E-2</v>
      </c>
      <c r="T25" s="22">
        <f t="shared" ref="T25" si="6">T24/($K$24+$L$24+$M$24-$R$24+$T$24)</f>
        <v>0.18938457039986051</v>
      </c>
    </row>
    <row r="26" spans="1:43" x14ac:dyDescent="0.25">
      <c r="A26" s="4" t="s">
        <v>100</v>
      </c>
      <c r="H26" s="3"/>
      <c r="I26" s="3"/>
      <c r="J26" s="3"/>
      <c r="K26" s="3" cm="1">
        <f t="array" ref="K26">K18/(K24*SUM(1/((1+KPI!$D$13)^_xlfn.SEQUENCE(KPI!$C$13))))</f>
        <v>0.513839383930076</v>
      </c>
      <c r="L26" s="3" cm="1">
        <f t="array" ref="L26">L18/(L24*SUM(1/((1+KPI!$D$13)^_xlfn.SEQUENCE(KPI!$C$13))))</f>
        <v>7.6334358237638372E-2</v>
      </c>
      <c r="M26" s="3" cm="1">
        <f t="array" ref="M26">M18/(M24*SUM(1/((1+KPI!$D$13)^_xlfn.SEQUENCE(KPI!$C$13))))</f>
        <v>40194.255063972341</v>
      </c>
      <c r="R26" s="18"/>
      <c r="S26" s="18"/>
    </row>
    <row r="27" spans="1:43" x14ac:dyDescent="0.25">
      <c r="A27" s="4" t="s">
        <v>101</v>
      </c>
      <c r="H27" s="3"/>
      <c r="I27" s="3"/>
      <c r="J27" s="3"/>
      <c r="K27" s="3">
        <f>K19/K24</f>
        <v>1.2E-2</v>
      </c>
      <c r="L27" s="3">
        <f>L19/L24</f>
        <v>0.01</v>
      </c>
      <c r="M27" s="3">
        <f>M19/M24</f>
        <v>5.0000000000000001E-3</v>
      </c>
      <c r="R27" s="18"/>
      <c r="S27" s="18"/>
    </row>
    <row r="28" spans="1:43" x14ac:dyDescent="0.25">
      <c r="A28" s="4" t="s">
        <v>102</v>
      </c>
      <c r="H28" s="3"/>
      <c r="I28" s="3"/>
      <c r="J28" s="3"/>
      <c r="K28" s="3"/>
      <c r="L28" s="3"/>
      <c r="M28" s="3"/>
      <c r="R28" s="18">
        <f>(R20*S20*$D20+R21*S21*$D21+R22*S22*$D22+R23*S23*$D23)*365/R24</f>
        <v>-0.19269499999999995</v>
      </c>
      <c r="S28" s="18"/>
      <c r="T28" s="18">
        <f>(T20*U20*$D20+T21*U21*$D21+T22*U22*$D22+T23*U23*$D23)*365/(-T24)</f>
        <v>0.24663117322691586</v>
      </c>
    </row>
    <row r="29" spans="1:43" x14ac:dyDescent="0.25">
      <c r="H29" s="3"/>
      <c r="I29" s="3"/>
      <c r="J29" s="3"/>
      <c r="K29" s="3">
        <f>SUM(K26:K28)</f>
        <v>0.52583938393007601</v>
      </c>
      <c r="L29" s="3">
        <f t="shared" ref="L29:T29" si="7">SUM(L26:L28)</f>
        <v>8.6334358237638367E-2</v>
      </c>
      <c r="M29" s="3">
        <f t="shared" si="7"/>
        <v>40194.260063972339</v>
      </c>
      <c r="N29" s="3"/>
      <c r="O29" s="3"/>
      <c r="P29" s="3"/>
      <c r="Q29" s="3"/>
      <c r="R29" s="3">
        <f t="shared" si="7"/>
        <v>-0.19269499999999995</v>
      </c>
      <c r="S29" s="3"/>
      <c r="T29" s="3">
        <f t="shared" si="7"/>
        <v>0.24663117322691586</v>
      </c>
    </row>
    <row r="30" spans="1:43" x14ac:dyDescent="0.25"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6" spans="1:1" x14ac:dyDescent="0.25">
      <c r="A36" s="4"/>
    </row>
    <row r="37" spans="1:1" x14ac:dyDescent="0.25">
      <c r="A37" s="4"/>
    </row>
  </sheetData>
  <mergeCells count="62">
    <mergeCell ref="E18:F18"/>
    <mergeCell ref="E19:F19"/>
    <mergeCell ref="G18:H18"/>
    <mergeCell ref="G19:H19"/>
    <mergeCell ref="I18:J18"/>
    <mergeCell ref="I19:J19"/>
    <mergeCell ref="I10:J10"/>
    <mergeCell ref="I11:J11"/>
    <mergeCell ref="I12:J12"/>
    <mergeCell ref="I13:J13"/>
    <mergeCell ref="I14:J14"/>
    <mergeCell ref="I15:J15"/>
    <mergeCell ref="G14:H14"/>
    <mergeCell ref="G15:H15"/>
    <mergeCell ref="I2:J2"/>
    <mergeCell ref="I3:J3"/>
    <mergeCell ref="I4:J4"/>
    <mergeCell ref="I5:J5"/>
    <mergeCell ref="I6:J6"/>
    <mergeCell ref="I7:J7"/>
    <mergeCell ref="I8:J8"/>
    <mergeCell ref="I9:J9"/>
    <mergeCell ref="G8:H8"/>
    <mergeCell ref="G9:H9"/>
    <mergeCell ref="G10:H10"/>
    <mergeCell ref="G11:H11"/>
    <mergeCell ref="G12:H12"/>
    <mergeCell ref="G13:H13"/>
    <mergeCell ref="G2:H2"/>
    <mergeCell ref="G3:H3"/>
    <mergeCell ref="G4:H4"/>
    <mergeCell ref="G5:H5"/>
    <mergeCell ref="G6:H6"/>
    <mergeCell ref="G7:H7"/>
    <mergeCell ref="E10:F10"/>
    <mergeCell ref="E11:F11"/>
    <mergeCell ref="E12:F12"/>
    <mergeCell ref="E13:F13"/>
    <mergeCell ref="E14:F14"/>
    <mergeCell ref="E15:F15"/>
    <mergeCell ref="A14:D14"/>
    <mergeCell ref="A15:D15"/>
    <mergeCell ref="E2:F2"/>
    <mergeCell ref="E3:F3"/>
    <mergeCell ref="E4:F4"/>
    <mergeCell ref="E5:F5"/>
    <mergeCell ref="E6:F6"/>
    <mergeCell ref="E7:F7"/>
    <mergeCell ref="E8:F8"/>
    <mergeCell ref="E9:F9"/>
    <mergeCell ref="A8:D8"/>
    <mergeCell ref="A9:D9"/>
    <mergeCell ref="A10:D10"/>
    <mergeCell ref="A11:D11"/>
    <mergeCell ref="A12:D12"/>
    <mergeCell ref="A13:D13"/>
    <mergeCell ref="A2:D2"/>
    <mergeCell ref="A3:D3"/>
    <mergeCell ref="A4:D4"/>
    <mergeCell ref="A5:D5"/>
    <mergeCell ref="A6:D6"/>
    <mergeCell ref="A7:D7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E7AC-ACEB-485B-A3F1-24E19CB9430E}">
  <dimension ref="A1:AG25"/>
  <sheetViews>
    <sheetView topLeftCell="U1" workbookViewId="0">
      <selection activeCell="C3" sqref="C3:AB25"/>
    </sheetView>
  </sheetViews>
  <sheetFormatPr baseColWidth="10" defaultRowHeight="15" x14ac:dyDescent="0.25"/>
  <cols>
    <col min="1" max="1" width="6" bestFit="1" customWidth="1"/>
    <col min="2" max="2" width="11.85546875" bestFit="1" customWidth="1"/>
    <col min="3" max="3" width="11" bestFit="1" customWidth="1"/>
    <col min="4" max="4" width="19.140625" bestFit="1" customWidth="1"/>
    <col min="5" max="5" width="10.7109375" bestFit="1" customWidth="1"/>
    <col min="6" max="6" width="12.7109375" bestFit="1" customWidth="1"/>
    <col min="7" max="7" width="19.140625" bestFit="1" customWidth="1"/>
    <col min="9" max="9" width="19.140625" bestFit="1" customWidth="1"/>
    <col min="10" max="10" width="7.140625" bestFit="1" customWidth="1"/>
    <col min="11" max="11" width="8.28515625" bestFit="1" customWidth="1"/>
    <col min="12" max="12" width="12" bestFit="1" customWidth="1"/>
    <col min="13" max="22" width="13.42578125" bestFit="1" customWidth="1"/>
    <col min="23" max="25" width="14.42578125" bestFit="1" customWidth="1"/>
    <col min="26" max="26" width="12" bestFit="1" customWidth="1"/>
    <col min="27" max="27" width="10" bestFit="1" customWidth="1"/>
    <col min="28" max="29" width="12" bestFit="1" customWidth="1"/>
    <col min="30" max="31" width="12.7109375" bestFit="1" customWidth="1"/>
    <col min="32" max="32" width="12" bestFit="1" customWidth="1"/>
    <col min="33" max="33" width="9.7109375" bestFit="1" customWidth="1"/>
  </cols>
  <sheetData>
    <row r="1" spans="1:33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</row>
    <row r="2" spans="1:33" x14ac:dyDescent="0.25">
      <c r="A2">
        <v>0</v>
      </c>
      <c r="B2">
        <v>0</v>
      </c>
      <c r="C2">
        <v>0</v>
      </c>
      <c r="D2">
        <v>-391735.72530890797</v>
      </c>
      <c r="E2">
        <v>0</v>
      </c>
      <c r="F2">
        <v>0</v>
      </c>
      <c r="G2">
        <v>159538.11272629499</v>
      </c>
      <c r="H2">
        <v>0</v>
      </c>
      <c r="I2">
        <v>186751.34103978099</v>
      </c>
      <c r="J2">
        <v>0</v>
      </c>
      <c r="K2">
        <v>-1916.11</v>
      </c>
      <c r="L2">
        <v>100000</v>
      </c>
      <c r="M2">
        <v>-406382.81360496202</v>
      </c>
      <c r="N2">
        <v>-62749.999974899998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0.5</v>
      </c>
      <c r="AC2">
        <v>0.58311149838227605</v>
      </c>
      <c r="AD2">
        <v>-45446.271542831601</v>
      </c>
      <c r="AE2">
        <v>-371048.92357986199</v>
      </c>
      <c r="AF2">
        <v>0.25468510175999998</v>
      </c>
      <c r="AG2">
        <v>0.19520999999999999</v>
      </c>
    </row>
    <row r="3" spans="1:33" x14ac:dyDescent="0.25">
      <c r="A3">
        <v>3600</v>
      </c>
      <c r="B3">
        <v>0</v>
      </c>
      <c r="C3">
        <v>0</v>
      </c>
      <c r="D3">
        <v>-395127.288299268</v>
      </c>
      <c r="E3">
        <v>0</v>
      </c>
      <c r="F3">
        <v>0</v>
      </c>
      <c r="G3">
        <v>159538.11272629499</v>
      </c>
      <c r="H3">
        <v>0</v>
      </c>
      <c r="I3">
        <v>186751.34103978099</v>
      </c>
      <c r="J3">
        <v>0</v>
      </c>
      <c r="K3">
        <v>-1745.93</v>
      </c>
      <c r="L3">
        <v>100000</v>
      </c>
      <c r="M3">
        <v>-406723.17360496201</v>
      </c>
      <c r="N3">
        <v>-62749.999974899998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0.47579078184931101</v>
      </c>
      <c r="AA3">
        <v>0.5</v>
      </c>
      <c r="AB3">
        <v>0.42267959037116398</v>
      </c>
      <c r="AC3">
        <v>0.66629260558815995</v>
      </c>
      <c r="AD3">
        <v>-48837.834533192101</v>
      </c>
      <c r="AE3">
        <v>-371219.10357986199</v>
      </c>
      <c r="AF3">
        <v>0.23503848924000001</v>
      </c>
      <c r="AG3">
        <v>0.17444999999999999</v>
      </c>
    </row>
    <row r="4" spans="1:33" x14ac:dyDescent="0.25">
      <c r="A4">
        <v>7200</v>
      </c>
      <c r="B4">
        <v>0</v>
      </c>
      <c r="C4">
        <v>0</v>
      </c>
      <c r="D4">
        <v>-386838.771823544</v>
      </c>
      <c r="E4">
        <v>0</v>
      </c>
      <c r="F4">
        <v>0</v>
      </c>
      <c r="G4">
        <v>159538.11272629499</v>
      </c>
      <c r="H4">
        <v>0</v>
      </c>
      <c r="I4">
        <v>186751.34103978099</v>
      </c>
      <c r="J4">
        <v>0</v>
      </c>
      <c r="K4">
        <v>-1504.68</v>
      </c>
      <c r="L4">
        <v>100000</v>
      </c>
      <c r="M4">
        <v>-407205.67360496201</v>
      </c>
      <c r="N4">
        <v>-62749.999974899998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0.45782989184492301</v>
      </c>
      <c r="AA4">
        <v>0.5</v>
      </c>
      <c r="AB4">
        <v>0.34535918074232802</v>
      </c>
      <c r="AC4">
        <v>0.74957239142076504</v>
      </c>
      <c r="AD4">
        <v>-40549.318057467499</v>
      </c>
      <c r="AE4">
        <v>-371460.35357986199</v>
      </c>
      <c r="AF4">
        <v>0.20922375328000001</v>
      </c>
      <c r="AG4">
        <v>0.14960999999999999</v>
      </c>
    </row>
    <row r="5" spans="1:33" x14ac:dyDescent="0.25">
      <c r="A5">
        <v>10800</v>
      </c>
      <c r="B5">
        <v>0</v>
      </c>
      <c r="C5">
        <v>0</v>
      </c>
      <c r="D5">
        <v>-400327.600799268</v>
      </c>
      <c r="E5">
        <v>0</v>
      </c>
      <c r="F5">
        <v>0</v>
      </c>
      <c r="G5">
        <v>159538.11272629499</v>
      </c>
      <c r="H5">
        <v>0</v>
      </c>
      <c r="I5">
        <v>186751.34103978099</v>
      </c>
      <c r="J5">
        <v>0</v>
      </c>
      <c r="K5">
        <v>-1389.39</v>
      </c>
      <c r="L5">
        <v>100000</v>
      </c>
      <c r="M5">
        <v>-407436.25360496202</v>
      </c>
      <c r="N5">
        <v>-62749.999974899998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0.43980770178602302</v>
      </c>
      <c r="AA5">
        <v>0.5</v>
      </c>
      <c r="AB5">
        <v>0.268038771113492</v>
      </c>
      <c r="AC5">
        <v>0.83289933438860098</v>
      </c>
      <c r="AD5">
        <v>-54038.147033192101</v>
      </c>
      <c r="AE5">
        <v>-371575.64357986202</v>
      </c>
      <c r="AF5">
        <v>0.2006789836</v>
      </c>
      <c r="AG5">
        <v>0.14057</v>
      </c>
    </row>
    <row r="6" spans="1:33" x14ac:dyDescent="0.25">
      <c r="A6">
        <v>14400</v>
      </c>
      <c r="B6">
        <v>0</v>
      </c>
      <c r="C6">
        <v>0</v>
      </c>
      <c r="D6">
        <v>-398289.084323544</v>
      </c>
      <c r="E6">
        <v>0</v>
      </c>
      <c r="F6">
        <v>0</v>
      </c>
      <c r="G6">
        <v>159538.11272629499</v>
      </c>
      <c r="H6">
        <v>0</v>
      </c>
      <c r="I6">
        <v>186751.34103978099</v>
      </c>
      <c r="J6">
        <v>0</v>
      </c>
      <c r="K6">
        <v>-1330.01</v>
      </c>
      <c r="L6">
        <v>100000</v>
      </c>
      <c r="M6">
        <v>-407555.01360496198</v>
      </c>
      <c r="N6">
        <v>-62749.999974899998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0.42174382275672001</v>
      </c>
      <c r="AA6">
        <v>0.5</v>
      </c>
      <c r="AB6">
        <v>0.19071836148465501</v>
      </c>
      <c r="AC6">
        <v>0.91625056559210405</v>
      </c>
      <c r="AD6">
        <v>-51999.630557467499</v>
      </c>
      <c r="AE6">
        <v>-371635.02357986203</v>
      </c>
      <c r="AF6">
        <v>0.20197621562000001</v>
      </c>
      <c r="AG6">
        <v>0.14055999999999999</v>
      </c>
    </row>
    <row r="7" spans="1:33" x14ac:dyDescent="0.25">
      <c r="A7">
        <v>18000</v>
      </c>
      <c r="B7">
        <v>0</v>
      </c>
      <c r="C7">
        <v>0</v>
      </c>
      <c r="D7">
        <v>-485746.16169024498</v>
      </c>
      <c r="E7">
        <v>0</v>
      </c>
      <c r="F7">
        <v>0</v>
      </c>
      <c r="G7">
        <v>159538.11272629499</v>
      </c>
      <c r="H7">
        <v>0</v>
      </c>
      <c r="I7">
        <v>186751.34103978099</v>
      </c>
      <c r="J7">
        <v>0</v>
      </c>
      <c r="K7">
        <v>-1261.3</v>
      </c>
      <c r="L7">
        <v>100000</v>
      </c>
      <c r="M7">
        <v>0</v>
      </c>
      <c r="N7">
        <v>-62749.999974899998</v>
      </c>
      <c r="O7">
        <v>0</v>
      </c>
      <c r="P7">
        <v>-2634.2975196074399</v>
      </c>
      <c r="Q7">
        <v>-2634.2975196074399</v>
      </c>
      <c r="R7">
        <v>-2634.2975196074399</v>
      </c>
      <c r="S7">
        <v>-2634.2975196074399</v>
      </c>
      <c r="T7">
        <v>-2634.2975196074399</v>
      </c>
      <c r="U7">
        <v>-2634.2975196074399</v>
      </c>
      <c r="V7">
        <v>-2634.2975196074399</v>
      </c>
      <c r="W7">
        <v>-2634.2975196074399</v>
      </c>
      <c r="X7">
        <v>-2634.2975196074399</v>
      </c>
      <c r="Y7">
        <v>-2634.2975196074399</v>
      </c>
      <c r="Z7">
        <v>0.403637914463081</v>
      </c>
      <c r="AA7">
        <v>0.5</v>
      </c>
      <c r="AB7">
        <v>0.113397951855819</v>
      </c>
      <c r="AC7">
        <v>0.99424236011116596</v>
      </c>
      <c r="AD7">
        <v>-139456.70792416899</v>
      </c>
      <c r="AE7">
        <v>9645.7248290255902</v>
      </c>
      <c r="AF7">
        <v>0.20758394218000001</v>
      </c>
      <c r="AG7">
        <v>0.14516000000000001</v>
      </c>
    </row>
    <row r="8" spans="1:33" x14ac:dyDescent="0.25">
      <c r="A8">
        <v>21600</v>
      </c>
      <c r="B8">
        <v>0</v>
      </c>
      <c r="C8">
        <v>0</v>
      </c>
      <c r="D8">
        <v>-487656.94417347398</v>
      </c>
      <c r="E8">
        <v>0</v>
      </c>
      <c r="F8">
        <v>0</v>
      </c>
      <c r="G8">
        <v>159538.11272629499</v>
      </c>
      <c r="H8">
        <v>0</v>
      </c>
      <c r="I8">
        <v>186751.34103978099</v>
      </c>
      <c r="J8">
        <v>0</v>
      </c>
      <c r="K8">
        <v>-25186.1</v>
      </c>
      <c r="L8">
        <v>100000</v>
      </c>
      <c r="M8">
        <v>185740.511556802</v>
      </c>
      <c r="N8">
        <v>-188333.333258</v>
      </c>
      <c r="O8">
        <v>-367314.061268283</v>
      </c>
      <c r="P8">
        <v>-5268.5950392148798</v>
      </c>
      <c r="Q8">
        <v>-5268.5950392148798</v>
      </c>
      <c r="R8">
        <v>-5268.5950392148798</v>
      </c>
      <c r="S8">
        <v>-5268.5950392148798</v>
      </c>
      <c r="T8">
        <v>-5268.5950392148798</v>
      </c>
      <c r="U8">
        <v>-5268.5950392148798</v>
      </c>
      <c r="V8">
        <v>-5268.5950392148798</v>
      </c>
      <c r="W8">
        <v>-5268.5950392148798</v>
      </c>
      <c r="X8">
        <v>-5268.5950392148798</v>
      </c>
      <c r="Y8">
        <v>-5268.5950392148798</v>
      </c>
      <c r="Z8">
        <v>0.38548969375650999</v>
      </c>
      <c r="AA8">
        <v>0.5</v>
      </c>
      <c r="AB8">
        <v>3.60775422269832E-2</v>
      </c>
      <c r="AC8">
        <v>0.95625558579648595</v>
      </c>
      <c r="AD8">
        <v>-141367.490407398</v>
      </c>
      <c r="AE8">
        <v>-347778.93336162902</v>
      </c>
      <c r="AF8">
        <v>0.22290945388</v>
      </c>
      <c r="AG8">
        <v>0.15945999999999999</v>
      </c>
    </row>
    <row r="9" spans="1:33" x14ac:dyDescent="0.25">
      <c r="A9">
        <v>25200</v>
      </c>
      <c r="B9">
        <v>0</v>
      </c>
      <c r="C9">
        <v>1112.5</v>
      </c>
      <c r="D9">
        <v>-515761.03260860901</v>
      </c>
      <c r="E9">
        <v>0</v>
      </c>
      <c r="F9">
        <v>-407132.5</v>
      </c>
      <c r="G9">
        <v>159538.11272629499</v>
      </c>
      <c r="H9">
        <v>0</v>
      </c>
      <c r="I9">
        <v>0</v>
      </c>
      <c r="J9">
        <v>0</v>
      </c>
      <c r="K9">
        <v>-49335.7</v>
      </c>
      <c r="L9">
        <v>100000</v>
      </c>
      <c r="M9">
        <v>658485.303843303</v>
      </c>
      <c r="N9">
        <v>-533749.9997865</v>
      </c>
      <c r="O9">
        <v>-367314.061268283</v>
      </c>
      <c r="P9">
        <v>-13171.4875980372</v>
      </c>
      <c r="Q9">
        <v>-13171.4875980372</v>
      </c>
      <c r="R9">
        <v>-13171.4875980372</v>
      </c>
      <c r="S9">
        <v>-13171.4875980372</v>
      </c>
      <c r="T9">
        <v>-13171.4875980372</v>
      </c>
      <c r="U9">
        <v>-13171.4875980372</v>
      </c>
      <c r="V9">
        <v>-13171.4875980372</v>
      </c>
      <c r="W9">
        <v>-13171.4875980372</v>
      </c>
      <c r="X9">
        <v>-13171.4875980372</v>
      </c>
      <c r="Y9">
        <v>-13171.4875980372</v>
      </c>
      <c r="Z9">
        <v>0.36729886528709699</v>
      </c>
      <c r="AA9">
        <v>0.5</v>
      </c>
      <c r="AB9">
        <v>0</v>
      </c>
      <c r="AC9">
        <v>0.82158527388136304</v>
      </c>
      <c r="AD9">
        <v>-762242.91988231405</v>
      </c>
      <c r="AE9">
        <v>-323629.33319185098</v>
      </c>
      <c r="AF9">
        <v>0.23400606956</v>
      </c>
      <c r="AG9">
        <v>0.17157</v>
      </c>
    </row>
    <row r="10" spans="1:33" x14ac:dyDescent="0.25">
      <c r="A10">
        <v>28800</v>
      </c>
      <c r="B10">
        <v>0</v>
      </c>
      <c r="C10">
        <v>287081.25</v>
      </c>
      <c r="D10">
        <v>-559945.91599036905</v>
      </c>
      <c r="E10">
        <v>0</v>
      </c>
      <c r="F10">
        <v>-217047.08333333299</v>
      </c>
      <c r="G10">
        <v>86113.324950588794</v>
      </c>
      <c r="H10">
        <v>0</v>
      </c>
      <c r="I10">
        <v>0</v>
      </c>
      <c r="J10">
        <v>0</v>
      </c>
      <c r="K10">
        <v>-48084.2</v>
      </c>
      <c r="L10">
        <v>273506.96905754902</v>
      </c>
      <c r="M10">
        <v>671120.04489013599</v>
      </c>
      <c r="N10">
        <v>-627916.66641549999</v>
      </c>
      <c r="O10">
        <v>-367314.061268283</v>
      </c>
      <c r="P10">
        <v>-5268.5950392148798</v>
      </c>
      <c r="Q10">
        <v>-5268.5950392148798</v>
      </c>
      <c r="R10">
        <v>-5268.5950392148798</v>
      </c>
      <c r="S10">
        <v>-5268.5950392148798</v>
      </c>
      <c r="T10">
        <v>-5268.5950392148798</v>
      </c>
      <c r="U10">
        <v>-5268.5950392148798</v>
      </c>
      <c r="V10">
        <v>-5268.5950392148798</v>
      </c>
      <c r="W10">
        <v>-5268.5950392148798</v>
      </c>
      <c r="X10">
        <v>-5268.5950392148798</v>
      </c>
      <c r="Y10">
        <v>-5268.5950392148798</v>
      </c>
      <c r="Z10">
        <v>0.34906511538441098</v>
      </c>
      <c r="AA10">
        <v>0.5</v>
      </c>
      <c r="AB10">
        <v>0</v>
      </c>
      <c r="AC10">
        <v>0.68433096425541395</v>
      </c>
      <c r="AD10">
        <v>-403798.42437311402</v>
      </c>
      <c r="AE10">
        <v>-151373.864128246</v>
      </c>
      <c r="AF10">
        <v>0.2045949621</v>
      </c>
      <c r="AG10">
        <v>0.14926</v>
      </c>
    </row>
    <row r="11" spans="1:33" x14ac:dyDescent="0.25">
      <c r="A11">
        <v>32400</v>
      </c>
      <c r="B11">
        <v>0</v>
      </c>
      <c r="C11">
        <v>1049418.75</v>
      </c>
      <c r="D11">
        <v>-571927.48888726695</v>
      </c>
      <c r="E11">
        <v>0</v>
      </c>
      <c r="F11">
        <v>-32438.333333333299</v>
      </c>
      <c r="G11">
        <v>-164991.26111273299</v>
      </c>
      <c r="H11">
        <v>0</v>
      </c>
      <c r="I11">
        <v>-312500</v>
      </c>
      <c r="J11">
        <v>0</v>
      </c>
      <c r="K11">
        <v>3928.43</v>
      </c>
      <c r="L11">
        <v>188649.31751866901</v>
      </c>
      <c r="M11">
        <v>376913.655413553</v>
      </c>
      <c r="N11">
        <v>-477249.9998091</v>
      </c>
      <c r="O11">
        <v>-367314.061268283</v>
      </c>
      <c r="P11">
        <v>-1317.1487598037199</v>
      </c>
      <c r="Q11">
        <v>-1317.1487598037199</v>
      </c>
      <c r="R11">
        <v>-1317.1487598037199</v>
      </c>
      <c r="S11">
        <v>-1317.1487598037199</v>
      </c>
      <c r="T11">
        <v>-1317.1487598037199</v>
      </c>
      <c r="U11">
        <v>-1317.1487598037199</v>
      </c>
      <c r="V11">
        <v>-1317.1487598037199</v>
      </c>
      <c r="W11">
        <v>-1317.1487598037199</v>
      </c>
      <c r="X11">
        <v>-1317.1487598037199</v>
      </c>
      <c r="Y11">
        <v>-1317.1487598037199</v>
      </c>
      <c r="Z11">
        <v>0.339199816554348</v>
      </c>
      <c r="AA11">
        <v>0.5</v>
      </c>
      <c r="AB11">
        <v>2.7885548048542899E-3</v>
      </c>
      <c r="AC11">
        <v>0.60724635926369697</v>
      </c>
      <c r="AD11">
        <v>-32438.333333333601</v>
      </c>
      <c r="AE11">
        <v>-288244.14574319799</v>
      </c>
      <c r="AF11">
        <v>0.19017879118</v>
      </c>
      <c r="AG11">
        <v>0.14055999999999999</v>
      </c>
    </row>
    <row r="12" spans="1:33" x14ac:dyDescent="0.25">
      <c r="A12">
        <v>36000</v>
      </c>
      <c r="B12">
        <v>0</v>
      </c>
      <c r="C12">
        <v>1648937.5</v>
      </c>
      <c r="D12">
        <v>-544977.19768498605</v>
      </c>
      <c r="E12">
        <v>0</v>
      </c>
      <c r="F12">
        <v>-42573.75</v>
      </c>
      <c r="G12">
        <v>-312500</v>
      </c>
      <c r="H12">
        <v>0</v>
      </c>
      <c r="I12">
        <v>-312500</v>
      </c>
      <c r="J12">
        <v>0</v>
      </c>
      <c r="K12">
        <v>12700.7</v>
      </c>
      <c r="L12">
        <v>267514.85715698701</v>
      </c>
      <c r="M12">
        <v>245697.62781024599</v>
      </c>
      <c r="N12">
        <v>-376749.99984930002</v>
      </c>
      <c r="O12">
        <v>-367314.061268283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0.35814894872947001</v>
      </c>
      <c r="AA12">
        <v>0.5</v>
      </c>
      <c r="AB12">
        <v>5.7453277836924298E-2</v>
      </c>
      <c r="AC12">
        <v>0.55699743801839297</v>
      </c>
      <c r="AD12">
        <v>436386.55231501401</v>
      </c>
      <c r="AE12">
        <v>-218150.87615035</v>
      </c>
      <c r="AF12">
        <v>0.17811350913999999</v>
      </c>
      <c r="AG12">
        <v>0.13582</v>
      </c>
    </row>
    <row r="13" spans="1:33" x14ac:dyDescent="0.25">
      <c r="A13">
        <v>39600</v>
      </c>
      <c r="B13">
        <v>0</v>
      </c>
      <c r="C13">
        <v>1230287.5</v>
      </c>
      <c r="D13">
        <v>-505042.41234859498</v>
      </c>
      <c r="E13">
        <v>0</v>
      </c>
      <c r="F13">
        <v>-757995.83333333302</v>
      </c>
      <c r="G13">
        <v>-312500</v>
      </c>
      <c r="H13">
        <v>0</v>
      </c>
      <c r="I13">
        <v>-312500</v>
      </c>
      <c r="J13">
        <v>0</v>
      </c>
      <c r="K13">
        <v>52287.9</v>
      </c>
      <c r="L13">
        <v>283332.474736651</v>
      </c>
      <c r="M13">
        <v>186434.93619628801</v>
      </c>
      <c r="N13">
        <v>-364166.66652099998</v>
      </c>
      <c r="O13">
        <v>-399809.10297466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0.394103651013053</v>
      </c>
      <c r="AA13">
        <v>0.5</v>
      </c>
      <c r="AB13">
        <v>0.112118000868994</v>
      </c>
      <c r="AC13">
        <v>0.51886864324819904</v>
      </c>
      <c r="AD13">
        <v>-657750.74568192801</v>
      </c>
      <c r="AE13">
        <v>-241920.458562721</v>
      </c>
      <c r="AF13">
        <v>0.17130291428</v>
      </c>
      <c r="AG13">
        <v>0.13022</v>
      </c>
    </row>
    <row r="14" spans="1:33" x14ac:dyDescent="0.25">
      <c r="A14">
        <v>43200</v>
      </c>
      <c r="B14">
        <v>0</v>
      </c>
      <c r="C14">
        <v>1358200</v>
      </c>
      <c r="D14">
        <v>-497512.84905450698</v>
      </c>
      <c r="E14">
        <v>0</v>
      </c>
      <c r="F14">
        <v>-669006.66666666698</v>
      </c>
      <c r="G14">
        <v>-312500</v>
      </c>
      <c r="H14">
        <v>0</v>
      </c>
      <c r="I14">
        <v>-312500</v>
      </c>
      <c r="J14">
        <v>0</v>
      </c>
      <c r="K14">
        <v>60700.9</v>
      </c>
      <c r="L14">
        <v>267726.27800398902</v>
      </c>
      <c r="M14">
        <v>124613.894476913</v>
      </c>
      <c r="N14">
        <v>-351666.66652600002</v>
      </c>
      <c r="O14">
        <v>-367314.061268283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0.42996722279615401</v>
      </c>
      <c r="AA14">
        <v>0.5</v>
      </c>
      <c r="AB14">
        <v>0.166782723901064</v>
      </c>
      <c r="AC14">
        <v>0.49338319666311098</v>
      </c>
      <c r="AD14">
        <v>-433319.51572117402</v>
      </c>
      <c r="AE14">
        <v>-265939.65531338099</v>
      </c>
      <c r="AF14">
        <v>0.17035473944000001</v>
      </c>
      <c r="AG14">
        <v>0.12872</v>
      </c>
    </row>
    <row r="15" spans="1:33" x14ac:dyDescent="0.25">
      <c r="A15">
        <v>46800</v>
      </c>
      <c r="B15">
        <v>0</v>
      </c>
      <c r="C15">
        <v>931306.25</v>
      </c>
      <c r="D15">
        <v>-507461.41817917099</v>
      </c>
      <c r="E15">
        <v>0</v>
      </c>
      <c r="F15">
        <v>-563144.16666666698</v>
      </c>
      <c r="G15">
        <v>-111344.831820829</v>
      </c>
      <c r="H15">
        <v>0</v>
      </c>
      <c r="I15">
        <v>-312500</v>
      </c>
      <c r="J15">
        <v>0</v>
      </c>
      <c r="K15">
        <v>148898</v>
      </c>
      <c r="L15">
        <v>153425.49166680401</v>
      </c>
      <c r="M15">
        <v>-51192.146793124703</v>
      </c>
      <c r="N15">
        <v>-339083.33319769998</v>
      </c>
      <c r="O15">
        <v>-367314.061268283</v>
      </c>
      <c r="P15">
        <v>-1317.1487598037199</v>
      </c>
      <c r="Q15">
        <v>-1317.1487598037199</v>
      </c>
      <c r="R15">
        <v>-1317.1487598037199</v>
      </c>
      <c r="S15">
        <v>-1317.1487598037199</v>
      </c>
      <c r="T15">
        <v>-1317.1487598037199</v>
      </c>
      <c r="U15">
        <v>-1317.1487598037199</v>
      </c>
      <c r="V15">
        <v>-1317.1487598037199</v>
      </c>
      <c r="W15">
        <v>-1317.1487598037199</v>
      </c>
      <c r="X15">
        <v>-1317.1487598037199</v>
      </c>
      <c r="Y15">
        <v>-1317.1487598037199</v>
      </c>
      <c r="Z15">
        <v>0.46566317541025698</v>
      </c>
      <c r="AA15">
        <v>0.5</v>
      </c>
      <c r="AB15">
        <v>0.22144744693313401</v>
      </c>
      <c r="AC15">
        <v>0.50385277333550904</v>
      </c>
      <c r="AD15">
        <v>-563144.16666666698</v>
      </c>
      <c r="AE15">
        <v>-468437.53719034098</v>
      </c>
      <c r="AF15">
        <v>0.17129463585999999</v>
      </c>
      <c r="AG15">
        <v>0.12992999999999999</v>
      </c>
    </row>
    <row r="16" spans="1:33" x14ac:dyDescent="0.25">
      <c r="A16">
        <v>50400</v>
      </c>
      <c r="B16">
        <v>0</v>
      </c>
      <c r="C16">
        <v>1449737.5</v>
      </c>
      <c r="D16">
        <v>-539057.18036732206</v>
      </c>
      <c r="E16">
        <v>-26675</v>
      </c>
      <c r="F16">
        <v>-820760</v>
      </c>
      <c r="G16">
        <v>-312500</v>
      </c>
      <c r="H16">
        <v>0</v>
      </c>
      <c r="I16">
        <v>-312500</v>
      </c>
      <c r="J16">
        <v>0</v>
      </c>
      <c r="K16">
        <v>108168</v>
      </c>
      <c r="L16">
        <v>237746.245528428</v>
      </c>
      <c r="M16">
        <v>5101.1820802192697</v>
      </c>
      <c r="N16">
        <v>-313916.66654110001</v>
      </c>
      <c r="O16">
        <v>-367314.061268283</v>
      </c>
      <c r="P16">
        <v>-1317.1487598037199</v>
      </c>
      <c r="Q16">
        <v>-1317.1487598037199</v>
      </c>
      <c r="R16">
        <v>-1317.1487598037199</v>
      </c>
      <c r="S16">
        <v>-1317.1487598037199</v>
      </c>
      <c r="T16">
        <v>-1317.1487598037199</v>
      </c>
      <c r="U16">
        <v>-1317.1487598037199</v>
      </c>
      <c r="V16">
        <v>-1317.1487598037199</v>
      </c>
      <c r="W16">
        <v>-1317.1487598037199</v>
      </c>
      <c r="X16">
        <v>-1317.1487598037199</v>
      </c>
      <c r="Y16">
        <v>-1317.1487598037199</v>
      </c>
      <c r="Z16">
        <v>0.47832275224322202</v>
      </c>
      <c r="AA16">
        <v>0.5</v>
      </c>
      <c r="AB16">
        <v>0.27611216996520399</v>
      </c>
      <c r="AC16">
        <v>0.50280950361047605</v>
      </c>
      <c r="AD16">
        <v>-561754.68036732206</v>
      </c>
      <c r="AE16">
        <v>-343386.78779877297</v>
      </c>
      <c r="AF16">
        <v>0.17043701157999999</v>
      </c>
      <c r="AG16">
        <v>0.12889999999999999</v>
      </c>
    </row>
    <row r="17" spans="1:33" x14ac:dyDescent="0.25">
      <c r="A17">
        <v>54000</v>
      </c>
      <c r="B17">
        <v>0</v>
      </c>
      <c r="C17">
        <v>1487075</v>
      </c>
      <c r="D17">
        <v>-556814.99787919899</v>
      </c>
      <c r="E17">
        <v>-91625</v>
      </c>
      <c r="F17">
        <v>-184033.75</v>
      </c>
      <c r="G17">
        <v>-312500</v>
      </c>
      <c r="H17">
        <v>0</v>
      </c>
      <c r="I17">
        <v>-312500</v>
      </c>
      <c r="J17">
        <v>0</v>
      </c>
      <c r="K17">
        <v>92478.7</v>
      </c>
      <c r="L17">
        <v>160374.56108537599</v>
      </c>
      <c r="M17">
        <v>62234.603016857604</v>
      </c>
      <c r="N17">
        <v>-326499.9998694</v>
      </c>
      <c r="O17">
        <v>-367314.061268283</v>
      </c>
      <c r="P17">
        <v>-2634.2975196074399</v>
      </c>
      <c r="Q17">
        <v>-2634.2975196074399</v>
      </c>
      <c r="R17">
        <v>-2634.2975196074399</v>
      </c>
      <c r="S17">
        <v>-2634.2975196074399</v>
      </c>
      <c r="T17">
        <v>-2634.2975196074399</v>
      </c>
      <c r="U17">
        <v>-2634.2975196074399</v>
      </c>
      <c r="V17">
        <v>-2634.2975196074399</v>
      </c>
      <c r="W17">
        <v>-2634.2975196074399</v>
      </c>
      <c r="X17">
        <v>-2634.2975196074399</v>
      </c>
      <c r="Y17">
        <v>-2634.2975196074399</v>
      </c>
      <c r="Z17">
        <v>0.51368139067257801</v>
      </c>
      <c r="AA17">
        <v>0.5</v>
      </c>
      <c r="AB17">
        <v>0.33077689299727397</v>
      </c>
      <c r="AC17">
        <v>0.49008157581728701</v>
      </c>
      <c r="AD17">
        <v>29601.252120801</v>
      </c>
      <c r="AE17">
        <v>-405069.17223152303</v>
      </c>
      <c r="AF17">
        <v>0.16784018317999999</v>
      </c>
      <c r="AG17">
        <v>0.12529000000000001</v>
      </c>
    </row>
    <row r="18" spans="1:33" x14ac:dyDescent="0.25">
      <c r="A18">
        <v>57600</v>
      </c>
      <c r="B18">
        <v>0</v>
      </c>
      <c r="C18">
        <v>1547712.5</v>
      </c>
      <c r="D18">
        <v>-548009.32167300896</v>
      </c>
      <c r="E18">
        <v>-114812.5</v>
      </c>
      <c r="F18">
        <v>-38177.916666666701</v>
      </c>
      <c r="G18">
        <v>-312500</v>
      </c>
      <c r="H18">
        <v>0</v>
      </c>
      <c r="I18">
        <v>-312500</v>
      </c>
      <c r="J18">
        <v>0</v>
      </c>
      <c r="K18">
        <v>142138</v>
      </c>
      <c r="L18">
        <v>118930.51136644599</v>
      </c>
      <c r="M18">
        <v>7994.3780695660998</v>
      </c>
      <c r="N18">
        <v>-339083.33319769998</v>
      </c>
      <c r="O18">
        <v>-399809.10297466</v>
      </c>
      <c r="P18">
        <v>-2634.2975196074399</v>
      </c>
      <c r="Q18">
        <v>-2634.2975196074399</v>
      </c>
      <c r="R18">
        <v>-2634.2975196074399</v>
      </c>
      <c r="S18">
        <v>-2634.2975196074399</v>
      </c>
      <c r="T18">
        <v>-2634.2975196074399</v>
      </c>
      <c r="U18">
        <v>-2634.2975196074399</v>
      </c>
      <c r="V18">
        <v>-2634.2975196074399</v>
      </c>
      <c r="W18">
        <v>-2634.2975196074399</v>
      </c>
      <c r="X18">
        <v>-2634.2975196074399</v>
      </c>
      <c r="Y18">
        <v>-2634.2975196074399</v>
      </c>
      <c r="Z18">
        <v>0.54899072443194497</v>
      </c>
      <c r="AA18">
        <v>0.5</v>
      </c>
      <c r="AB18">
        <v>0.38544161602934401</v>
      </c>
      <c r="AC18">
        <v>0.48844660327968797</v>
      </c>
      <c r="AD18">
        <v>221712.76166032499</v>
      </c>
      <c r="AE18">
        <v>-496172.52193242201</v>
      </c>
      <c r="AF18">
        <v>0.17468782278</v>
      </c>
      <c r="AG18">
        <v>0.12831999999999999</v>
      </c>
    </row>
    <row r="19" spans="1:33" x14ac:dyDescent="0.25">
      <c r="A19">
        <v>61200</v>
      </c>
      <c r="B19">
        <v>0</v>
      </c>
      <c r="C19">
        <v>612237.5</v>
      </c>
      <c r="D19">
        <v>-497718.72584464902</v>
      </c>
      <c r="E19">
        <v>-285181.25</v>
      </c>
      <c r="F19">
        <v>0</v>
      </c>
      <c r="G19">
        <v>0</v>
      </c>
      <c r="H19">
        <v>0</v>
      </c>
      <c r="I19">
        <v>-114518.774155351</v>
      </c>
      <c r="J19">
        <v>0</v>
      </c>
      <c r="K19">
        <v>-3979.18</v>
      </c>
      <c r="L19">
        <v>157247.75803234399</v>
      </c>
      <c r="M19">
        <v>280317.02968352399</v>
      </c>
      <c r="N19">
        <v>-351666.66652600002</v>
      </c>
      <c r="O19">
        <v>-367314.061268283</v>
      </c>
      <c r="P19">
        <v>-2634.2975196074399</v>
      </c>
      <c r="Q19">
        <v>-2634.2975196074399</v>
      </c>
      <c r="R19">
        <v>-2634.2975196074399</v>
      </c>
      <c r="S19">
        <v>-2634.2975196074399</v>
      </c>
      <c r="T19">
        <v>-2634.2975196074399</v>
      </c>
      <c r="U19">
        <v>-2634.2975196074399</v>
      </c>
      <c r="V19">
        <v>-2634.2975196074399</v>
      </c>
      <c r="W19">
        <v>-2634.2975196074399</v>
      </c>
      <c r="X19">
        <v>-2634.2975196074399</v>
      </c>
      <c r="Y19">
        <v>-2634.2975196074399</v>
      </c>
      <c r="Z19">
        <v>0.584120508684288</v>
      </c>
      <c r="AA19">
        <v>0.5</v>
      </c>
      <c r="AB19">
        <v>0.42279019685925801</v>
      </c>
      <c r="AC19">
        <v>0.43111748507117598</v>
      </c>
      <c r="AD19">
        <v>-285181.25</v>
      </c>
      <c r="AE19">
        <v>-311738.09527448902</v>
      </c>
      <c r="AF19">
        <v>0.18501296236000001</v>
      </c>
      <c r="AG19">
        <v>0.13632</v>
      </c>
    </row>
    <row r="20" spans="1:33" x14ac:dyDescent="0.25">
      <c r="A20">
        <v>64800</v>
      </c>
      <c r="B20">
        <v>0</v>
      </c>
      <c r="C20">
        <v>79631.25</v>
      </c>
      <c r="D20">
        <v>-417148.00624470599</v>
      </c>
      <c r="E20">
        <v>-356331.25</v>
      </c>
      <c r="F20">
        <v>0</v>
      </c>
      <c r="G20">
        <v>150765.415204925</v>
      </c>
      <c r="H20">
        <v>0</v>
      </c>
      <c r="I20">
        <v>186751.34103978099</v>
      </c>
      <c r="J20">
        <v>0</v>
      </c>
      <c r="K20">
        <v>-3636.21</v>
      </c>
      <c r="L20">
        <v>100000</v>
      </c>
      <c r="M20">
        <v>10179.287221484899</v>
      </c>
      <c r="N20">
        <v>-370499.99985179998</v>
      </c>
      <c r="O20">
        <v>0</v>
      </c>
      <c r="P20">
        <v>-10537.1900784298</v>
      </c>
      <c r="Q20">
        <v>-10537.1900784298</v>
      </c>
      <c r="R20">
        <v>-10537.1900784298</v>
      </c>
      <c r="S20">
        <v>-10537.1900784298</v>
      </c>
      <c r="T20">
        <v>-10537.1900784298</v>
      </c>
      <c r="U20">
        <v>-10537.1900784298</v>
      </c>
      <c r="V20">
        <v>-10537.1900784298</v>
      </c>
      <c r="W20">
        <v>-10537.1900784298</v>
      </c>
      <c r="X20">
        <v>-10537.1900784298</v>
      </c>
      <c r="Y20">
        <v>-10537.1900784298</v>
      </c>
      <c r="Z20">
        <v>0.584120508684288</v>
      </c>
      <c r="AA20">
        <v>0.5</v>
      </c>
      <c r="AB20">
        <v>0.40175221616314399</v>
      </c>
      <c r="AC20">
        <v>0.42903566520793901</v>
      </c>
      <c r="AD20">
        <v>-356331.25</v>
      </c>
      <c r="AE20">
        <v>-369328.82341461303</v>
      </c>
      <c r="AF20">
        <v>0.25895084008000002</v>
      </c>
      <c r="AG20">
        <v>0.19972000000000001</v>
      </c>
    </row>
    <row r="21" spans="1:33" x14ac:dyDescent="0.25">
      <c r="A21">
        <v>68400</v>
      </c>
      <c r="B21">
        <v>0</v>
      </c>
      <c r="C21">
        <v>31.25</v>
      </c>
      <c r="D21">
        <v>-465631.27859207703</v>
      </c>
      <c r="E21">
        <v>-324737.5</v>
      </c>
      <c r="F21">
        <v>0</v>
      </c>
      <c r="G21">
        <v>159538.11272629499</v>
      </c>
      <c r="H21">
        <v>0</v>
      </c>
      <c r="I21">
        <v>186751.34103978099</v>
      </c>
      <c r="J21">
        <v>0</v>
      </c>
      <c r="K21">
        <v>-3366.21</v>
      </c>
      <c r="L21">
        <v>100000</v>
      </c>
      <c r="M21">
        <v>135222.62055481799</v>
      </c>
      <c r="N21">
        <v>-496083.33313490002</v>
      </c>
      <c r="O21">
        <v>0</v>
      </c>
      <c r="P21">
        <v>-10537.1900784298</v>
      </c>
      <c r="Q21">
        <v>-10537.1900784298</v>
      </c>
      <c r="R21">
        <v>-10537.1900784298</v>
      </c>
      <c r="S21">
        <v>-10537.1900784298</v>
      </c>
      <c r="T21">
        <v>-10537.1900784298</v>
      </c>
      <c r="U21">
        <v>-10537.1900784298</v>
      </c>
      <c r="V21">
        <v>-10537.1900784298</v>
      </c>
      <c r="W21">
        <v>-10537.1900784298</v>
      </c>
      <c r="X21">
        <v>-10537.1900784298</v>
      </c>
      <c r="Y21">
        <v>-10537.1900784298</v>
      </c>
      <c r="Z21">
        <v>0.56737778624778101</v>
      </c>
      <c r="AA21">
        <v>0.5</v>
      </c>
      <c r="AB21">
        <v>0.32443180653430798</v>
      </c>
      <c r="AC21">
        <v>0.40138057194798199</v>
      </c>
      <c r="AD21">
        <v>-444048.074826002</v>
      </c>
      <c r="AE21">
        <v>-369598.82336437999</v>
      </c>
      <c r="AF21">
        <v>0.2774342299</v>
      </c>
      <c r="AG21">
        <v>0.21782000000000001</v>
      </c>
    </row>
    <row r="22" spans="1:33" x14ac:dyDescent="0.25">
      <c r="A22">
        <v>72000</v>
      </c>
      <c r="B22">
        <v>0</v>
      </c>
      <c r="C22">
        <v>0</v>
      </c>
      <c r="D22">
        <v>-512742.02974724898</v>
      </c>
      <c r="E22">
        <v>-247850</v>
      </c>
      <c r="F22">
        <v>0</v>
      </c>
      <c r="G22">
        <v>159538.11272629499</v>
      </c>
      <c r="H22">
        <v>0</v>
      </c>
      <c r="I22">
        <v>186751.34103978099</v>
      </c>
      <c r="J22">
        <v>0</v>
      </c>
      <c r="K22">
        <v>-2405.64</v>
      </c>
      <c r="L22">
        <v>100000</v>
      </c>
      <c r="M22">
        <v>22855.888268316099</v>
      </c>
      <c r="N22">
        <v>-464666.66648080002</v>
      </c>
      <c r="O22">
        <v>0</v>
      </c>
      <c r="P22">
        <v>-2634.2975196074399</v>
      </c>
      <c r="Q22">
        <v>-2634.2975196074399</v>
      </c>
      <c r="R22">
        <v>-2634.2975196074399</v>
      </c>
      <c r="S22">
        <v>-2634.2975196074399</v>
      </c>
      <c r="T22">
        <v>-2634.2975196074399</v>
      </c>
      <c r="U22">
        <v>-2634.2975196074399</v>
      </c>
      <c r="V22">
        <v>-2634.2975196074399</v>
      </c>
      <c r="W22">
        <v>-2634.2975196074399</v>
      </c>
      <c r="X22">
        <v>-2634.2975196074399</v>
      </c>
      <c r="Y22">
        <v>-2634.2975196074399</v>
      </c>
      <c r="Z22">
        <v>0.54966383570377897</v>
      </c>
      <c r="AA22">
        <v>0.5</v>
      </c>
      <c r="AB22">
        <v>0.24711139690547201</v>
      </c>
      <c r="AC22">
        <v>0.39670619336393997</v>
      </c>
      <c r="AD22">
        <v>-414302.57598117302</v>
      </c>
      <c r="AE22">
        <v>-370559.39340855798</v>
      </c>
      <c r="AF22">
        <v>0.28452875059999999</v>
      </c>
      <c r="AG22">
        <v>0.22478999999999999</v>
      </c>
    </row>
    <row r="23" spans="1:33" x14ac:dyDescent="0.25">
      <c r="A23">
        <v>75600</v>
      </c>
      <c r="B23">
        <v>0</v>
      </c>
      <c r="C23">
        <v>0</v>
      </c>
      <c r="D23">
        <v>-508746.04423543898</v>
      </c>
      <c r="E23">
        <v>0</v>
      </c>
      <c r="F23">
        <v>0</v>
      </c>
      <c r="G23">
        <v>159538.11272629499</v>
      </c>
      <c r="H23">
        <v>0</v>
      </c>
      <c r="I23">
        <v>186751.34103978099</v>
      </c>
      <c r="J23">
        <v>0</v>
      </c>
      <c r="K23">
        <v>-2027.3</v>
      </c>
      <c r="L23">
        <v>100000</v>
      </c>
      <c r="M23">
        <v>-172567.45839835101</v>
      </c>
      <c r="N23">
        <v>-269999.99989199999</v>
      </c>
      <c r="O23">
        <v>0</v>
      </c>
      <c r="P23">
        <v>-2634.2975196074399</v>
      </c>
      <c r="Q23">
        <v>-2634.2975196074399</v>
      </c>
      <c r="R23">
        <v>-2634.2975196074399</v>
      </c>
      <c r="S23">
        <v>-2634.2975196074399</v>
      </c>
      <c r="T23">
        <v>-2634.2975196074399</v>
      </c>
      <c r="U23">
        <v>-2634.2975196074399</v>
      </c>
      <c r="V23">
        <v>-2634.2975196074399</v>
      </c>
      <c r="W23">
        <v>-2634.2975196074399</v>
      </c>
      <c r="X23">
        <v>-2634.2975196074399</v>
      </c>
      <c r="Y23">
        <v>-2634.2975196074399</v>
      </c>
      <c r="Z23">
        <v>0.53189439967607999</v>
      </c>
      <c r="AA23">
        <v>0.5</v>
      </c>
      <c r="AB23">
        <v>0.169790987276636</v>
      </c>
      <c r="AC23">
        <v>0.431998876910961</v>
      </c>
      <c r="AD23">
        <v>-162456.590469363</v>
      </c>
      <c r="AE23">
        <v>-370937.73348642502</v>
      </c>
      <c r="AF23">
        <v>0.28195294774000002</v>
      </c>
      <c r="AG23">
        <v>0.22303000000000001</v>
      </c>
    </row>
    <row r="24" spans="1:33" x14ac:dyDescent="0.25">
      <c r="A24">
        <v>79200</v>
      </c>
      <c r="B24">
        <v>0</v>
      </c>
      <c r="C24">
        <v>0</v>
      </c>
      <c r="D24">
        <v>-510549.19361575902</v>
      </c>
      <c r="E24">
        <v>0</v>
      </c>
      <c r="F24">
        <v>0</v>
      </c>
      <c r="G24">
        <v>159538.11272629499</v>
      </c>
      <c r="H24">
        <v>0</v>
      </c>
      <c r="I24">
        <v>186751.34103978099</v>
      </c>
      <c r="J24">
        <v>0</v>
      </c>
      <c r="K24">
        <v>-1982.61</v>
      </c>
      <c r="L24">
        <v>100000</v>
      </c>
      <c r="M24">
        <v>-317073.50506501697</v>
      </c>
      <c r="N24">
        <v>-125583.3332831</v>
      </c>
      <c r="O24">
        <v>0</v>
      </c>
      <c r="P24">
        <v>-2634.2975196074399</v>
      </c>
      <c r="Q24">
        <v>-2634.2975196074399</v>
      </c>
      <c r="R24">
        <v>-2634.2975196074399</v>
      </c>
      <c r="S24">
        <v>-2634.2975196074399</v>
      </c>
      <c r="T24">
        <v>-2634.2975196074399</v>
      </c>
      <c r="U24">
        <v>-2634.2975196074399</v>
      </c>
      <c r="V24">
        <v>-2634.2975196074399</v>
      </c>
      <c r="W24">
        <v>-2634.2975196074399</v>
      </c>
      <c r="X24">
        <v>-2634.2975196074399</v>
      </c>
      <c r="Y24">
        <v>-2634.2975196074399</v>
      </c>
      <c r="Z24">
        <v>0.51406865608881602</v>
      </c>
      <c r="AA24">
        <v>0.5</v>
      </c>
      <c r="AB24">
        <v>9.2470577647799604E-2</v>
      </c>
      <c r="AC24">
        <v>0.49684525628784798</v>
      </c>
      <c r="AD24">
        <v>-164259.73984968301</v>
      </c>
      <c r="AE24">
        <v>-370982.423544191</v>
      </c>
      <c r="AF24">
        <v>0.27047363172</v>
      </c>
      <c r="AG24">
        <v>0.21471999999999999</v>
      </c>
    </row>
    <row r="25" spans="1:33" x14ac:dyDescent="0.25">
      <c r="A25">
        <v>82800</v>
      </c>
      <c r="B25">
        <v>0</v>
      </c>
      <c r="C25">
        <v>0</v>
      </c>
      <c r="D25">
        <v>-495060.85559989797</v>
      </c>
      <c r="E25">
        <v>0</v>
      </c>
      <c r="F25">
        <v>0</v>
      </c>
      <c r="G25">
        <v>159538.11272629499</v>
      </c>
      <c r="H25">
        <v>0</v>
      </c>
      <c r="I25">
        <v>186751.34103978099</v>
      </c>
      <c r="J25">
        <v>0</v>
      </c>
      <c r="K25">
        <v>-1863.19</v>
      </c>
      <c r="L25">
        <v>100000</v>
      </c>
      <c r="M25">
        <v>-437233.83266832301</v>
      </c>
      <c r="N25">
        <v>-18833.333325799998</v>
      </c>
      <c r="O25">
        <v>0</v>
      </c>
      <c r="P25">
        <v>-1317.1487598037199</v>
      </c>
      <c r="Q25">
        <v>-1317.1487598037199</v>
      </c>
      <c r="R25">
        <v>-1317.1487598037199</v>
      </c>
      <c r="S25">
        <v>-1317.1487598037199</v>
      </c>
      <c r="T25">
        <v>-1317.1487598037199</v>
      </c>
      <c r="U25">
        <v>-1317.1487598037199</v>
      </c>
      <c r="V25">
        <v>-1317.1487598037199</v>
      </c>
      <c r="W25">
        <v>-1317.1487598037199</v>
      </c>
      <c r="X25">
        <v>-1317.1487598037199</v>
      </c>
      <c r="Y25">
        <v>-1317.1487598037199</v>
      </c>
      <c r="Z25">
        <v>0.496193206715484</v>
      </c>
      <c r="AA25">
        <v>0.5</v>
      </c>
      <c r="AB25">
        <v>1.51501680189636E-2</v>
      </c>
      <c r="AC25">
        <v>0.58626625973563296</v>
      </c>
      <c r="AD25">
        <v>-148771.40183382199</v>
      </c>
      <c r="AE25">
        <v>-371101.84359215997</v>
      </c>
      <c r="AF25">
        <v>0.26045217059999998</v>
      </c>
      <c r="AG25">
        <v>0.20463000000000001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5E86-99DA-4913-AF1E-CB8E5DE08D3F}">
  <dimension ref="A1:AG25"/>
  <sheetViews>
    <sheetView workbookViewId="0">
      <selection activeCell="A2" sqref="A2:AG25"/>
    </sheetView>
  </sheetViews>
  <sheetFormatPr baseColWidth="10" defaultRowHeight="15" x14ac:dyDescent="0.25"/>
  <cols>
    <col min="1" max="1" width="6" bestFit="1" customWidth="1"/>
    <col min="2" max="2" width="11.85546875" bestFit="1" customWidth="1"/>
    <col min="3" max="3" width="11" bestFit="1" customWidth="1"/>
    <col min="4" max="4" width="12.7109375" bestFit="1" customWidth="1"/>
    <col min="5" max="5" width="10.7109375" bestFit="1" customWidth="1"/>
    <col min="6" max="7" width="12.7109375" bestFit="1" customWidth="1"/>
    <col min="9" max="9" width="12.7109375" bestFit="1" customWidth="1"/>
    <col min="10" max="10" width="7.140625" bestFit="1" customWidth="1"/>
    <col min="11" max="11" width="8.28515625" bestFit="1" customWidth="1"/>
    <col min="12" max="12" width="12" bestFit="1" customWidth="1"/>
    <col min="13" max="22" width="13.42578125" bestFit="1" customWidth="1"/>
    <col min="23" max="25" width="14.42578125" bestFit="1" customWidth="1"/>
    <col min="26" max="26" width="12" bestFit="1" customWidth="1"/>
    <col min="27" max="27" width="10" bestFit="1" customWidth="1"/>
    <col min="28" max="29" width="12" bestFit="1" customWidth="1"/>
    <col min="30" max="31" width="12.7109375" bestFit="1" customWidth="1"/>
    <col min="32" max="32" width="12" bestFit="1" customWidth="1"/>
    <col min="33" max="33" width="9.7109375" bestFit="1" customWidth="1"/>
  </cols>
  <sheetData>
    <row r="1" spans="1:33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</row>
    <row r="2" spans="1:33" x14ac:dyDescent="0.25">
      <c r="A2">
        <v>0</v>
      </c>
      <c r="B2">
        <v>68.75</v>
      </c>
      <c r="C2">
        <v>0</v>
      </c>
      <c r="D2">
        <v>-340412.28780890797</v>
      </c>
      <c r="E2">
        <v>0</v>
      </c>
      <c r="F2">
        <v>0</v>
      </c>
      <c r="G2">
        <v>59624.3298599025</v>
      </c>
      <c r="H2">
        <v>0</v>
      </c>
      <c r="I2">
        <v>280719.20794900501</v>
      </c>
      <c r="J2">
        <v>0</v>
      </c>
      <c r="K2">
        <v>-2057.4899999999998</v>
      </c>
      <c r="L2">
        <v>100000</v>
      </c>
      <c r="M2">
        <v>-380526.43592341698</v>
      </c>
      <c r="N2">
        <v>-62749.999974899998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0.5</v>
      </c>
      <c r="AC2">
        <v>0.577823473840126</v>
      </c>
      <c r="AD2">
        <v>-5.8207660913467401E-11</v>
      </c>
      <c r="AE2">
        <v>-345333.92589831701</v>
      </c>
      <c r="AF2">
        <v>0.23159282906500001</v>
      </c>
      <c r="AG2">
        <v>0.17988000000000001</v>
      </c>
    </row>
    <row r="3" spans="1:33" x14ac:dyDescent="0.25">
      <c r="A3">
        <v>3600</v>
      </c>
      <c r="B3">
        <v>1712.5</v>
      </c>
      <c r="C3">
        <v>0</v>
      </c>
      <c r="D3">
        <v>-331497.600799268</v>
      </c>
      <c r="E3">
        <v>0</v>
      </c>
      <c r="F3">
        <v>0</v>
      </c>
      <c r="G3">
        <v>49065.892850263001</v>
      </c>
      <c r="H3">
        <v>0</v>
      </c>
      <c r="I3">
        <v>280719.20794900501</v>
      </c>
      <c r="J3">
        <v>0</v>
      </c>
      <c r="K3">
        <v>-1839.37</v>
      </c>
      <c r="L3">
        <v>100000</v>
      </c>
      <c r="M3">
        <v>-380962.67592341697</v>
      </c>
      <c r="N3">
        <v>-62749.999974899998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0.49095226598835701</v>
      </c>
      <c r="AA3">
        <v>0.5</v>
      </c>
      <c r="AB3">
        <v>0.38377419927241202</v>
      </c>
      <c r="AC3">
        <v>0.65573616542972402</v>
      </c>
      <c r="AD3">
        <v>-1.16415321826935E-10</v>
      </c>
      <c r="AE3">
        <v>-345552.04589831701</v>
      </c>
      <c r="AF3">
        <v>0.22309555425700001</v>
      </c>
      <c r="AG3">
        <v>0.17125000000000001</v>
      </c>
    </row>
    <row r="4" spans="1:33" x14ac:dyDescent="0.25">
      <c r="A4">
        <v>7200</v>
      </c>
      <c r="B4">
        <v>5662.5</v>
      </c>
      <c r="C4">
        <v>0</v>
      </c>
      <c r="D4">
        <v>-332710.646823544</v>
      </c>
      <c r="E4">
        <v>0</v>
      </c>
      <c r="F4">
        <v>0</v>
      </c>
      <c r="G4">
        <v>46328.9388745385</v>
      </c>
      <c r="H4">
        <v>0</v>
      </c>
      <c r="I4">
        <v>280719.20794900501</v>
      </c>
      <c r="J4">
        <v>0</v>
      </c>
      <c r="K4">
        <v>-1649.3</v>
      </c>
      <c r="L4">
        <v>100000</v>
      </c>
      <c r="M4">
        <v>-381342.81592341699</v>
      </c>
      <c r="N4">
        <v>-62749.999974899998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0.48542754338254801</v>
      </c>
      <c r="AA4">
        <v>0.5</v>
      </c>
      <c r="AB4">
        <v>0.26754839854482299</v>
      </c>
      <c r="AC4">
        <v>0.73372660146110902</v>
      </c>
      <c r="AD4">
        <v>0</v>
      </c>
      <c r="AE4">
        <v>-345742.11589831702</v>
      </c>
      <c r="AF4">
        <v>0.22506032185300001</v>
      </c>
      <c r="AG4">
        <v>0.17124</v>
      </c>
    </row>
    <row r="5" spans="1:33" x14ac:dyDescent="0.25">
      <c r="A5">
        <v>10800</v>
      </c>
      <c r="B5">
        <v>67981.25</v>
      </c>
      <c r="C5">
        <v>0</v>
      </c>
      <c r="D5">
        <v>-343604.163299268</v>
      </c>
      <c r="E5">
        <v>0</v>
      </c>
      <c r="F5">
        <v>0</v>
      </c>
      <c r="G5">
        <v>0</v>
      </c>
      <c r="H5">
        <v>0</v>
      </c>
      <c r="I5">
        <v>275622.913299268</v>
      </c>
      <c r="J5">
        <v>0</v>
      </c>
      <c r="K5">
        <v>-1526.62</v>
      </c>
      <c r="L5">
        <v>100000</v>
      </c>
      <c r="M5">
        <v>-381588.17592341697</v>
      </c>
      <c r="N5">
        <v>-62749.999974899998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0.480203625072819</v>
      </c>
      <c r="AA5">
        <v>0.5</v>
      </c>
      <c r="AB5">
        <v>0.15237760386889901</v>
      </c>
      <c r="AC5">
        <v>0.81176721736368895</v>
      </c>
      <c r="AD5">
        <v>-1.16415321826935E-10</v>
      </c>
      <c r="AE5">
        <v>-345864.79589831701</v>
      </c>
      <c r="AF5">
        <v>0.22481503620400001</v>
      </c>
      <c r="AG5">
        <v>0.17119000000000001</v>
      </c>
    </row>
    <row r="6" spans="1:33" x14ac:dyDescent="0.25">
      <c r="A6">
        <v>14400</v>
      </c>
      <c r="B6">
        <v>93.75</v>
      </c>
      <c r="C6">
        <v>0</v>
      </c>
      <c r="D6">
        <v>-332612.521823544</v>
      </c>
      <c r="E6">
        <v>0</v>
      </c>
      <c r="F6">
        <v>0</v>
      </c>
      <c r="G6">
        <v>51799.5638745385</v>
      </c>
      <c r="H6">
        <v>0</v>
      </c>
      <c r="I6">
        <v>280719.20794900501</v>
      </c>
      <c r="J6">
        <v>0</v>
      </c>
      <c r="K6">
        <v>-1430.64</v>
      </c>
      <c r="L6">
        <v>100000</v>
      </c>
      <c r="M6">
        <v>-381780.13592341699</v>
      </c>
      <c r="N6">
        <v>-62749.999974899998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0.480203625072819</v>
      </c>
      <c r="AA6">
        <v>0.5</v>
      </c>
      <c r="AB6">
        <v>3.7206809192975497E-2</v>
      </c>
      <c r="AC6">
        <v>0.88984709202105805</v>
      </c>
      <c r="AD6">
        <v>0</v>
      </c>
      <c r="AE6">
        <v>-345960.77589831699</v>
      </c>
      <c r="AF6">
        <v>0.225339723661</v>
      </c>
      <c r="AG6">
        <v>0.17224</v>
      </c>
    </row>
    <row r="7" spans="1:33" x14ac:dyDescent="0.25">
      <c r="A7">
        <v>18000</v>
      </c>
      <c r="B7">
        <v>3175</v>
      </c>
      <c r="C7">
        <v>0</v>
      </c>
      <c r="D7">
        <v>-414122.72419024498</v>
      </c>
      <c r="E7">
        <v>0</v>
      </c>
      <c r="F7">
        <v>0</v>
      </c>
      <c r="G7">
        <v>130228.51624123999</v>
      </c>
      <c r="H7">
        <v>0</v>
      </c>
      <c r="I7">
        <v>0</v>
      </c>
      <c r="J7">
        <v>0</v>
      </c>
      <c r="K7">
        <v>-1340.19</v>
      </c>
      <c r="L7">
        <v>104425.92852079601</v>
      </c>
      <c r="M7">
        <v>-355618.06071680598</v>
      </c>
      <c r="N7">
        <v>-62749.999974899998</v>
      </c>
      <c r="O7">
        <v>0</v>
      </c>
      <c r="P7">
        <v>-2634.2975196074399</v>
      </c>
      <c r="Q7">
        <v>-2634.2975196074399</v>
      </c>
      <c r="R7">
        <v>-2634.2975196074399</v>
      </c>
      <c r="S7">
        <v>-2634.2975196074399</v>
      </c>
      <c r="T7">
        <v>-2634.2975196074399</v>
      </c>
      <c r="U7">
        <v>-2634.2975196074399</v>
      </c>
      <c r="V7">
        <v>-2634.2975196074399</v>
      </c>
      <c r="W7">
        <v>-2634.2975196074399</v>
      </c>
      <c r="X7">
        <v>-2634.2975196074399</v>
      </c>
      <c r="Y7">
        <v>-2634.2975196074399</v>
      </c>
      <c r="Z7">
        <v>0.47435433712761499</v>
      </c>
      <c r="AA7">
        <v>0.5</v>
      </c>
      <c r="AB7">
        <v>0</v>
      </c>
      <c r="AC7">
        <v>0.96257642231873097</v>
      </c>
      <c r="AD7">
        <v>-280719.20794900501</v>
      </c>
      <c r="AE7">
        <v>-341625.29736698401</v>
      </c>
      <c r="AF7">
        <v>0.25557398757499999</v>
      </c>
      <c r="AG7">
        <v>0.20180000000000001</v>
      </c>
    </row>
    <row r="8" spans="1:33" x14ac:dyDescent="0.25">
      <c r="A8">
        <v>21600</v>
      </c>
      <c r="B8">
        <v>12056.25</v>
      </c>
      <c r="C8">
        <v>3200</v>
      </c>
      <c r="D8">
        <v>-421633.50667347398</v>
      </c>
      <c r="E8">
        <v>0</v>
      </c>
      <c r="F8">
        <v>0</v>
      </c>
      <c r="G8">
        <v>125658.048724469</v>
      </c>
      <c r="H8">
        <v>0</v>
      </c>
      <c r="I8">
        <v>0</v>
      </c>
      <c r="J8">
        <v>0</v>
      </c>
      <c r="K8">
        <v>-1039.1199999999999</v>
      </c>
      <c r="L8">
        <v>120488.349186462</v>
      </c>
      <c r="M8">
        <v>163020.16923834701</v>
      </c>
      <c r="N8">
        <v>-188333.333258</v>
      </c>
      <c r="O8">
        <v>-367314.061268283</v>
      </c>
      <c r="P8">
        <v>-5268.5950392148798</v>
      </c>
      <c r="Q8">
        <v>-5268.5950392148798</v>
      </c>
      <c r="R8">
        <v>-5268.5950392148798</v>
      </c>
      <c r="S8">
        <v>-5268.5950392148798</v>
      </c>
      <c r="T8">
        <v>-5268.5950392148798</v>
      </c>
      <c r="U8">
        <v>-5268.5950392148798</v>
      </c>
      <c r="V8">
        <v>-5268.5950392148798</v>
      </c>
      <c r="W8">
        <v>-5268.5950392148798</v>
      </c>
      <c r="X8">
        <v>-5268.5950392148798</v>
      </c>
      <c r="Y8">
        <v>-5268.5950392148798</v>
      </c>
      <c r="Z8">
        <v>0.45964961155692202</v>
      </c>
      <c r="AA8">
        <v>0.5</v>
      </c>
      <c r="AB8">
        <v>0</v>
      </c>
      <c r="AC8">
        <v>0.929236305369047</v>
      </c>
      <c r="AD8">
        <v>-280719.20794900501</v>
      </c>
      <c r="AE8">
        <v>-325863.94649362197</v>
      </c>
      <c r="AF8">
        <v>0.276872358032</v>
      </c>
      <c r="AG8">
        <v>0.22414999999999999</v>
      </c>
    </row>
    <row r="9" spans="1:33" x14ac:dyDescent="0.25">
      <c r="A9">
        <v>25200</v>
      </c>
      <c r="B9">
        <v>10175</v>
      </c>
      <c r="C9">
        <v>105025</v>
      </c>
      <c r="D9">
        <v>-482228.22010860901</v>
      </c>
      <c r="E9">
        <v>0</v>
      </c>
      <c r="F9">
        <v>0</v>
      </c>
      <c r="G9">
        <v>86309.012159603793</v>
      </c>
      <c r="H9">
        <v>0</v>
      </c>
      <c r="I9">
        <v>0</v>
      </c>
      <c r="J9">
        <v>0</v>
      </c>
      <c r="K9">
        <v>-851.26300000000003</v>
      </c>
      <c r="L9">
        <v>101963.98839452</v>
      </c>
      <c r="M9">
        <v>587090.04752484802</v>
      </c>
      <c r="N9">
        <v>-533749.9997865</v>
      </c>
      <c r="O9">
        <v>-367314.061268283</v>
      </c>
      <c r="P9">
        <v>-13171.4875980372</v>
      </c>
      <c r="Q9">
        <v>-13171.4875980372</v>
      </c>
      <c r="R9">
        <v>-13171.4875980372</v>
      </c>
      <c r="S9">
        <v>-13171.4875980372</v>
      </c>
      <c r="T9">
        <v>-13171.4875980372</v>
      </c>
      <c r="U9">
        <v>-13171.4875980372</v>
      </c>
      <c r="V9">
        <v>-13171.4875980372</v>
      </c>
      <c r="W9">
        <v>-13171.4875980372</v>
      </c>
      <c r="X9">
        <v>-13171.4875980372</v>
      </c>
      <c r="Y9">
        <v>-13171.4875980372</v>
      </c>
      <c r="Z9">
        <v>0.44545158006751001</v>
      </c>
      <c r="AA9">
        <v>0.5</v>
      </c>
      <c r="AB9">
        <v>0</v>
      </c>
      <c r="AC9">
        <v>0.80916741490030797</v>
      </c>
      <c r="AD9">
        <v>-280719.20794900501</v>
      </c>
      <c r="AE9">
        <v>-344576.16411578603</v>
      </c>
      <c r="AF9">
        <v>0.31287203101200001</v>
      </c>
      <c r="AG9">
        <v>0.22925999999999999</v>
      </c>
    </row>
    <row r="10" spans="1:33" x14ac:dyDescent="0.25">
      <c r="A10">
        <v>28800</v>
      </c>
      <c r="B10">
        <v>22181.25</v>
      </c>
      <c r="C10">
        <v>354950</v>
      </c>
      <c r="D10">
        <v>-543275.60349036905</v>
      </c>
      <c r="E10">
        <v>0</v>
      </c>
      <c r="F10">
        <v>-407132.5</v>
      </c>
      <c r="G10">
        <v>0</v>
      </c>
      <c r="H10">
        <v>0</v>
      </c>
      <c r="I10">
        <v>0</v>
      </c>
      <c r="J10">
        <v>0</v>
      </c>
      <c r="K10">
        <v>-649.47500000000002</v>
      </c>
      <c r="L10">
        <v>105630.470978058</v>
      </c>
      <c r="M10">
        <v>601824.21257168101</v>
      </c>
      <c r="N10">
        <v>-627916.66641549999</v>
      </c>
      <c r="O10">
        <v>-367314.061268283</v>
      </c>
      <c r="P10">
        <v>-5268.5950392148798</v>
      </c>
      <c r="Q10">
        <v>-5268.5950392148798</v>
      </c>
      <c r="R10">
        <v>-5268.5950392148798</v>
      </c>
      <c r="S10">
        <v>-5268.5950392148798</v>
      </c>
      <c r="T10">
        <v>-5268.5950392148798</v>
      </c>
      <c r="U10">
        <v>-5268.5950392148798</v>
      </c>
      <c r="V10">
        <v>-5268.5950392148798</v>
      </c>
      <c r="W10">
        <v>-5268.5950392148798</v>
      </c>
      <c r="X10">
        <v>-5268.5950392148798</v>
      </c>
      <c r="Y10">
        <v>-5268.5950392148798</v>
      </c>
      <c r="Z10">
        <v>0.43568105287230002</v>
      </c>
      <c r="AA10">
        <v>0.5</v>
      </c>
      <c r="AB10">
        <v>0</v>
      </c>
      <c r="AC10">
        <v>0.68608516241561501</v>
      </c>
      <c r="AD10">
        <v>-573276.85349036905</v>
      </c>
      <c r="AE10">
        <v>-341111.46952619299</v>
      </c>
      <c r="AF10">
        <v>0.29241365959499999</v>
      </c>
      <c r="AG10">
        <v>0.22033</v>
      </c>
    </row>
    <row r="11" spans="1:33" x14ac:dyDescent="0.25">
      <c r="A11">
        <v>32400</v>
      </c>
      <c r="B11">
        <v>194887.5</v>
      </c>
      <c r="C11">
        <v>787793.75</v>
      </c>
      <c r="D11">
        <v>-550136.86388726695</v>
      </c>
      <c r="E11">
        <v>0</v>
      </c>
      <c r="F11">
        <v>-222768.75</v>
      </c>
      <c r="G11">
        <v>-113387.44802924299</v>
      </c>
      <c r="H11">
        <v>0</v>
      </c>
      <c r="I11">
        <v>-312500</v>
      </c>
      <c r="J11">
        <v>0</v>
      </c>
      <c r="K11">
        <v>10896.5</v>
      </c>
      <c r="L11">
        <v>276861.88407708402</v>
      </c>
      <c r="M11">
        <v>388551.13309509697</v>
      </c>
      <c r="N11">
        <v>-477249.9998091</v>
      </c>
      <c r="O11">
        <v>-367314.061268283</v>
      </c>
      <c r="P11">
        <v>-1317.1487598037199</v>
      </c>
      <c r="Q11">
        <v>-1317.1487598037199</v>
      </c>
      <c r="R11">
        <v>-1317.1487598037199</v>
      </c>
      <c r="S11">
        <v>-1317.1487598037199</v>
      </c>
      <c r="T11">
        <v>-1317.1487598037199</v>
      </c>
      <c r="U11">
        <v>-1317.1487598037199</v>
      </c>
      <c r="V11">
        <v>-1317.1487598037199</v>
      </c>
      <c r="W11">
        <v>-1317.1487598037199</v>
      </c>
      <c r="X11">
        <v>-1317.1487598037199</v>
      </c>
      <c r="Y11">
        <v>-1317.1487598037199</v>
      </c>
      <c r="Z11">
        <v>0.43568105287230002</v>
      </c>
      <c r="AA11">
        <v>0.5</v>
      </c>
      <c r="AB11">
        <v>0</v>
      </c>
      <c r="AC11">
        <v>0.60662051531797401</v>
      </c>
      <c r="AD11">
        <v>-216111.81191650999</v>
      </c>
      <c r="AE11">
        <v>-181426.03150323901</v>
      </c>
      <c r="AF11">
        <v>0.33489409094599998</v>
      </c>
      <c r="AG11">
        <v>0.21662999999999999</v>
      </c>
    </row>
    <row r="12" spans="1:33" x14ac:dyDescent="0.25">
      <c r="A12">
        <v>36000</v>
      </c>
      <c r="B12">
        <v>336000</v>
      </c>
      <c r="C12">
        <v>1516562.5</v>
      </c>
      <c r="D12">
        <v>-580924.07268498605</v>
      </c>
      <c r="E12">
        <v>0</v>
      </c>
      <c r="F12">
        <v>-10259.583333333299</v>
      </c>
      <c r="G12">
        <v>-113387.44802924299</v>
      </c>
      <c r="H12">
        <v>0</v>
      </c>
      <c r="I12">
        <v>-312500</v>
      </c>
      <c r="J12">
        <v>0</v>
      </c>
      <c r="K12">
        <v>144551</v>
      </c>
      <c r="L12">
        <v>293230.30860025401</v>
      </c>
      <c r="M12">
        <v>7570.6454917910696</v>
      </c>
      <c r="N12">
        <v>-376749.99984930002</v>
      </c>
      <c r="O12">
        <v>-367314.061268283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0.448558603995525</v>
      </c>
      <c r="AA12">
        <v>0.5</v>
      </c>
      <c r="AB12">
        <v>3.3646928752116299E-2</v>
      </c>
      <c r="AC12">
        <v>0.60507220257078298</v>
      </c>
      <c r="AD12">
        <v>835491.395952438</v>
      </c>
      <c r="AE12">
        <v>-298712.10702553799</v>
      </c>
      <c r="AF12">
        <v>0.315912718456</v>
      </c>
      <c r="AG12">
        <v>0.20213999999999999</v>
      </c>
    </row>
    <row r="13" spans="1:33" x14ac:dyDescent="0.25">
      <c r="A13">
        <v>39600</v>
      </c>
      <c r="B13">
        <v>217981.25</v>
      </c>
      <c r="C13">
        <v>1754400</v>
      </c>
      <c r="D13">
        <v>-591875.22484859498</v>
      </c>
      <c r="E13">
        <v>0</v>
      </c>
      <c r="F13">
        <v>0</v>
      </c>
      <c r="G13">
        <v>-113387.44802924299</v>
      </c>
      <c r="H13">
        <v>0</v>
      </c>
      <c r="I13">
        <v>-312500</v>
      </c>
      <c r="J13">
        <v>0</v>
      </c>
      <c r="K13">
        <v>114128</v>
      </c>
      <c r="L13">
        <v>153967.95305056</v>
      </c>
      <c r="M13">
        <v>88328.353877832895</v>
      </c>
      <c r="N13">
        <v>-364166.66652099998</v>
      </c>
      <c r="O13">
        <v>-399809.10297466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0.461437866803101</v>
      </c>
      <c r="AA13">
        <v>0.5</v>
      </c>
      <c r="AB13">
        <v>8.8311651784186304E-2</v>
      </c>
      <c r="AC13">
        <v>0.58700770379115996</v>
      </c>
      <c r="AD13">
        <v>954618.57712216303</v>
      </c>
      <c r="AE13">
        <v>-407551.46256726701</v>
      </c>
      <c r="AF13">
        <v>0.30335492780700002</v>
      </c>
      <c r="AG13">
        <v>0.18858</v>
      </c>
    </row>
    <row r="14" spans="1:33" x14ac:dyDescent="0.25">
      <c r="A14">
        <v>43200</v>
      </c>
      <c r="B14">
        <v>235475</v>
      </c>
      <c r="C14">
        <v>2021168.75</v>
      </c>
      <c r="D14">
        <v>-592297.22405450698</v>
      </c>
      <c r="E14">
        <v>0</v>
      </c>
      <c r="F14">
        <v>-233134.58333333299</v>
      </c>
      <c r="G14">
        <v>-113387.44802924299</v>
      </c>
      <c r="H14">
        <v>0</v>
      </c>
      <c r="I14">
        <v>-312500</v>
      </c>
      <c r="J14">
        <v>0</v>
      </c>
      <c r="K14">
        <v>177706</v>
      </c>
      <c r="L14">
        <v>100000</v>
      </c>
      <c r="M14">
        <v>-83822.683261722996</v>
      </c>
      <c r="N14">
        <v>-351666.66652600002</v>
      </c>
      <c r="O14">
        <v>-367314.061268283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0.47429573121947699</v>
      </c>
      <c r="AA14">
        <v>0.5</v>
      </c>
      <c r="AB14">
        <v>0.142976374816256</v>
      </c>
      <c r="AC14">
        <v>0.60415072404466097</v>
      </c>
      <c r="AD14">
        <v>1005324.49458292</v>
      </c>
      <c r="AE14">
        <v>-525097.41105600598</v>
      </c>
      <c r="AF14">
        <v>0.30180439986000002</v>
      </c>
      <c r="AG14">
        <v>0.18761</v>
      </c>
    </row>
    <row r="15" spans="1:33" x14ac:dyDescent="0.25">
      <c r="A15">
        <v>46800</v>
      </c>
      <c r="B15">
        <v>133925</v>
      </c>
      <c r="C15">
        <v>2055762.5</v>
      </c>
      <c r="D15">
        <v>-598775.48067917104</v>
      </c>
      <c r="E15">
        <v>0</v>
      </c>
      <c r="F15">
        <v>-489354.16666666698</v>
      </c>
      <c r="G15">
        <v>-113387.44802924299</v>
      </c>
      <c r="H15">
        <v>0</v>
      </c>
      <c r="I15">
        <v>-312500</v>
      </c>
      <c r="J15">
        <v>0</v>
      </c>
      <c r="K15">
        <v>-5513.53</v>
      </c>
      <c r="L15">
        <v>100000</v>
      </c>
      <c r="M15">
        <v>283204.52642843098</v>
      </c>
      <c r="N15">
        <v>-339083.33319769998</v>
      </c>
      <c r="O15">
        <v>-367314.061268283</v>
      </c>
      <c r="P15">
        <v>-1317.1487598037199</v>
      </c>
      <c r="Q15">
        <v>-1317.1487598037199</v>
      </c>
      <c r="R15">
        <v>-1317.1487598037199</v>
      </c>
      <c r="S15">
        <v>-1317.1487598037199</v>
      </c>
      <c r="T15">
        <v>-1317.1487598037199</v>
      </c>
      <c r="U15">
        <v>-1317.1487598037199</v>
      </c>
      <c r="V15">
        <v>-1317.1487598037199</v>
      </c>
      <c r="W15">
        <v>-1317.1487598037199</v>
      </c>
      <c r="X15">
        <v>-1317.1487598037199</v>
      </c>
      <c r="Y15">
        <v>-1317.1487598037199</v>
      </c>
      <c r="Z15">
        <v>0.487132262349877</v>
      </c>
      <c r="AA15">
        <v>0.5</v>
      </c>
      <c r="AB15">
        <v>0.19764109784832601</v>
      </c>
      <c r="AC15">
        <v>0.54623106860620496</v>
      </c>
      <c r="AD15">
        <v>675670.40462491999</v>
      </c>
      <c r="AE15">
        <v>-341877.88563558902</v>
      </c>
      <c r="AF15">
        <v>0.245673166946</v>
      </c>
      <c r="AG15">
        <v>0.1767</v>
      </c>
    </row>
    <row r="16" spans="1:33" x14ac:dyDescent="0.25">
      <c r="A16">
        <v>50400</v>
      </c>
      <c r="B16">
        <v>157206.25</v>
      </c>
      <c r="C16">
        <v>2010225</v>
      </c>
      <c r="D16">
        <v>-652621.24286732206</v>
      </c>
      <c r="E16">
        <v>0</v>
      </c>
      <c r="F16">
        <v>-19649.166666666701</v>
      </c>
      <c r="G16">
        <v>-113387.44802924299</v>
      </c>
      <c r="H16">
        <v>0</v>
      </c>
      <c r="I16">
        <v>-312500</v>
      </c>
      <c r="J16">
        <v>0</v>
      </c>
      <c r="K16">
        <v>-2757.12</v>
      </c>
      <c r="L16">
        <v>152362.82372529301</v>
      </c>
      <c r="M16">
        <v>252525.039761764</v>
      </c>
      <c r="N16">
        <v>-313916.66654110001</v>
      </c>
      <c r="O16">
        <v>-367314.061268283</v>
      </c>
      <c r="P16">
        <v>-1317.1487598037199</v>
      </c>
      <c r="Q16">
        <v>-1317.1487598037199</v>
      </c>
      <c r="R16">
        <v>-1317.1487598037199</v>
      </c>
      <c r="S16">
        <v>-1317.1487598037199</v>
      </c>
      <c r="T16">
        <v>-1317.1487598037199</v>
      </c>
      <c r="U16">
        <v>-1317.1487598037199</v>
      </c>
      <c r="V16">
        <v>-1317.1487598037199</v>
      </c>
      <c r="W16">
        <v>-1317.1487598037199</v>
      </c>
      <c r="X16">
        <v>-1317.1487598037199</v>
      </c>
      <c r="Y16">
        <v>-1317.1487598037199</v>
      </c>
      <c r="Z16">
        <v>0.49994756614028601</v>
      </c>
      <c r="AA16">
        <v>0.5</v>
      </c>
      <c r="AB16">
        <v>0.25230582088039599</v>
      </c>
      <c r="AC16">
        <v>0.49458583723565303</v>
      </c>
      <c r="AD16">
        <v>1069273.39243677</v>
      </c>
      <c r="AE16">
        <v>-292271.47192036302</v>
      </c>
      <c r="AF16">
        <v>0.250877059224</v>
      </c>
      <c r="AG16">
        <v>0.17738999999999999</v>
      </c>
    </row>
    <row r="17" spans="1:33" x14ac:dyDescent="0.25">
      <c r="A17">
        <v>54000</v>
      </c>
      <c r="B17">
        <v>81712.5</v>
      </c>
      <c r="C17">
        <v>1873050</v>
      </c>
      <c r="D17">
        <v>-610611.87287919899</v>
      </c>
      <c r="E17">
        <v>-57018.75</v>
      </c>
      <c r="F17">
        <v>-41210</v>
      </c>
      <c r="G17">
        <v>-113387.44802924299</v>
      </c>
      <c r="H17">
        <v>0</v>
      </c>
      <c r="I17">
        <v>-312500</v>
      </c>
      <c r="J17">
        <v>0</v>
      </c>
      <c r="K17">
        <v>-79.136799999999994</v>
      </c>
      <c r="L17">
        <v>105405.140864806</v>
      </c>
      <c r="M17">
        <v>272923.89429840201</v>
      </c>
      <c r="N17">
        <v>-326499.9998694</v>
      </c>
      <c r="O17">
        <v>-367314.061268283</v>
      </c>
      <c r="P17">
        <v>-2634.2975196074399</v>
      </c>
      <c r="Q17">
        <v>-2634.2975196074399</v>
      </c>
      <c r="R17">
        <v>-2634.2975196074399</v>
      </c>
      <c r="S17">
        <v>-2634.2975196074399</v>
      </c>
      <c r="T17">
        <v>-2634.2975196074399</v>
      </c>
      <c r="U17">
        <v>-2634.2975196074399</v>
      </c>
      <c r="V17">
        <v>-2634.2975196074399</v>
      </c>
      <c r="W17">
        <v>-2634.2975196074399</v>
      </c>
      <c r="X17">
        <v>-2634.2975196074399</v>
      </c>
      <c r="Y17">
        <v>-2634.2975196074399</v>
      </c>
      <c r="Z17">
        <v>0.51274174773538705</v>
      </c>
      <c r="AA17">
        <v>0.5</v>
      </c>
      <c r="AB17">
        <v>0.30697054391246598</v>
      </c>
      <c r="AC17">
        <v>0.43876872824364699</v>
      </c>
      <c r="AD17">
        <v>820034.42909155798</v>
      </c>
      <c r="AE17">
        <v>-341907.137970549</v>
      </c>
      <c r="AF17">
        <v>0.24916178376699999</v>
      </c>
      <c r="AG17">
        <v>0.17471</v>
      </c>
    </row>
    <row r="18" spans="1:33" x14ac:dyDescent="0.25">
      <c r="A18">
        <v>57600</v>
      </c>
      <c r="B18">
        <v>55593.75</v>
      </c>
      <c r="C18">
        <v>2095193.75</v>
      </c>
      <c r="D18">
        <v>-600421.82167300896</v>
      </c>
      <c r="E18">
        <v>-167981.25</v>
      </c>
      <c r="F18">
        <v>-720255.41666666698</v>
      </c>
      <c r="G18">
        <v>-113387.44802924299</v>
      </c>
      <c r="H18">
        <v>0</v>
      </c>
      <c r="I18">
        <v>-312500</v>
      </c>
      <c r="J18">
        <v>0</v>
      </c>
      <c r="K18">
        <v>4999.22</v>
      </c>
      <c r="L18">
        <v>160597.109345378</v>
      </c>
      <c r="M18">
        <v>307845.55575111101</v>
      </c>
      <c r="N18">
        <v>-339083.33319769998</v>
      </c>
      <c r="O18">
        <v>-399809.10297466</v>
      </c>
      <c r="P18">
        <v>-2634.2975196074399</v>
      </c>
      <c r="Q18">
        <v>-2634.2975196074399</v>
      </c>
      <c r="R18">
        <v>-2634.2975196074399</v>
      </c>
      <c r="S18">
        <v>-2634.2975196074399</v>
      </c>
      <c r="T18">
        <v>-2634.2975196074399</v>
      </c>
      <c r="U18">
        <v>-2634.2975196074399</v>
      </c>
      <c r="V18">
        <v>-2634.2975196074399</v>
      </c>
      <c r="W18">
        <v>-2634.2975196074399</v>
      </c>
      <c r="X18">
        <v>-2634.2975196074399</v>
      </c>
      <c r="Y18">
        <v>-2634.2975196074399</v>
      </c>
      <c r="Z18">
        <v>0.52551190611454901</v>
      </c>
      <c r="AA18">
        <v>0.5</v>
      </c>
      <c r="AB18">
        <v>0.36163526694453602</v>
      </c>
      <c r="AC18">
        <v>0.37580960558332999</v>
      </c>
      <c r="AD18">
        <v>236241.56363108201</v>
      </c>
      <c r="AE18">
        <v>-291793.52627194498</v>
      </c>
      <c r="AF18">
        <v>0.25521340906500001</v>
      </c>
      <c r="AG18">
        <v>0.17993999999999999</v>
      </c>
    </row>
    <row r="19" spans="1:33" x14ac:dyDescent="0.25">
      <c r="A19">
        <v>61200</v>
      </c>
      <c r="B19">
        <v>175175</v>
      </c>
      <c r="C19">
        <v>1809862.5</v>
      </c>
      <c r="D19">
        <v>-550562.47584464902</v>
      </c>
      <c r="E19">
        <v>-242300</v>
      </c>
      <c r="F19">
        <v>-1241210</v>
      </c>
      <c r="G19">
        <v>-113387.44802924299</v>
      </c>
      <c r="H19">
        <v>0</v>
      </c>
      <c r="I19">
        <v>-312500</v>
      </c>
      <c r="J19">
        <v>0</v>
      </c>
      <c r="K19">
        <v>64509.4</v>
      </c>
      <c r="L19">
        <v>224652.062280543</v>
      </c>
      <c r="M19">
        <v>168913.48736506901</v>
      </c>
      <c r="N19">
        <v>-351666.66652600002</v>
      </c>
      <c r="O19">
        <v>-367314.061268283</v>
      </c>
      <c r="P19">
        <v>-2634.2975196074399</v>
      </c>
      <c r="Q19">
        <v>-2634.2975196074399</v>
      </c>
      <c r="R19">
        <v>-2634.2975196074399</v>
      </c>
      <c r="S19">
        <v>-2634.2975196074399</v>
      </c>
      <c r="T19">
        <v>-2634.2975196074399</v>
      </c>
      <c r="U19">
        <v>-2634.2975196074399</v>
      </c>
      <c r="V19">
        <v>-2634.2975196074399</v>
      </c>
      <c r="W19">
        <v>-2634.2975196074399</v>
      </c>
      <c r="X19">
        <v>-2634.2975196074399</v>
      </c>
      <c r="Y19">
        <v>-2634.2975196074399</v>
      </c>
      <c r="Z19">
        <v>0.53825727370814302</v>
      </c>
      <c r="AA19">
        <v>0.5</v>
      </c>
      <c r="AB19">
        <v>0.416299989976606</v>
      </c>
      <c r="AC19">
        <v>0.341264214976499</v>
      </c>
      <c r="AD19">
        <v>-474922.423873892</v>
      </c>
      <c r="AE19">
        <v>-287248.75334474503</v>
      </c>
      <c r="AF19">
        <v>0.29964375543600003</v>
      </c>
      <c r="AG19">
        <v>0.17988000000000001</v>
      </c>
    </row>
    <row r="20" spans="1:33" x14ac:dyDescent="0.25">
      <c r="A20">
        <v>64800</v>
      </c>
      <c r="B20">
        <v>332050</v>
      </c>
      <c r="C20">
        <v>1284600</v>
      </c>
      <c r="D20">
        <v>-464054.25624470599</v>
      </c>
      <c r="E20">
        <v>-218300</v>
      </c>
      <c r="F20">
        <v>-347335.83333333302</v>
      </c>
      <c r="G20">
        <v>-113387.44802924299</v>
      </c>
      <c r="H20">
        <v>0</v>
      </c>
      <c r="I20">
        <v>-312500</v>
      </c>
      <c r="J20">
        <v>0</v>
      </c>
      <c r="K20">
        <v>116911</v>
      </c>
      <c r="L20">
        <v>130021.760274311</v>
      </c>
      <c r="M20">
        <v>-205341.51509696999</v>
      </c>
      <c r="N20">
        <v>-370499.99985179998</v>
      </c>
      <c r="O20">
        <v>0</v>
      </c>
      <c r="P20">
        <v>-10537.1900784298</v>
      </c>
      <c r="Q20">
        <v>-10537.1900784298</v>
      </c>
      <c r="R20">
        <v>-10537.1900784298</v>
      </c>
      <c r="S20">
        <v>-10537.1900784298</v>
      </c>
      <c r="T20">
        <v>-10537.1900784298</v>
      </c>
      <c r="U20">
        <v>-10537.1900784298</v>
      </c>
      <c r="V20">
        <v>-10537.1900784298</v>
      </c>
      <c r="W20">
        <v>-10537.1900784298</v>
      </c>
      <c r="X20">
        <v>-10537.1900784298</v>
      </c>
      <c r="Y20">
        <v>-10537.1900784298</v>
      </c>
      <c r="Z20">
        <v>0.55097800206553005</v>
      </c>
      <c r="AA20">
        <v>0.5</v>
      </c>
      <c r="AB20">
        <v>0.47096471300867598</v>
      </c>
      <c r="AC20">
        <v>0.38325969418587802</v>
      </c>
      <c r="AD20">
        <v>161072.46239271801</v>
      </c>
      <c r="AE20">
        <v>-434280.65545875701</v>
      </c>
      <c r="AF20">
        <v>0.33589886343600001</v>
      </c>
      <c r="AG20">
        <v>0.21404999999999999</v>
      </c>
    </row>
    <row r="21" spans="1:33" x14ac:dyDescent="0.25">
      <c r="A21">
        <v>68400</v>
      </c>
      <c r="B21">
        <v>145087.5</v>
      </c>
      <c r="C21">
        <v>483493.75</v>
      </c>
      <c r="D21">
        <v>-504621.90359207703</v>
      </c>
      <c r="E21">
        <v>-290643.75</v>
      </c>
      <c r="F21">
        <v>0</v>
      </c>
      <c r="G21">
        <v>0</v>
      </c>
      <c r="H21">
        <v>0</v>
      </c>
      <c r="I21">
        <v>-123959.346407923</v>
      </c>
      <c r="J21">
        <v>0</v>
      </c>
      <c r="K21">
        <v>166733</v>
      </c>
      <c r="L21">
        <v>100000</v>
      </c>
      <c r="M21">
        <v>-179402.181763637</v>
      </c>
      <c r="N21">
        <v>-496083.33313490002</v>
      </c>
      <c r="O21">
        <v>0</v>
      </c>
      <c r="P21">
        <v>-10537.1900784298</v>
      </c>
      <c r="Q21">
        <v>-10537.1900784298</v>
      </c>
      <c r="R21">
        <v>-10537.1900784298</v>
      </c>
      <c r="S21">
        <v>-10537.1900784298</v>
      </c>
      <c r="T21">
        <v>-10537.1900784298</v>
      </c>
      <c r="U21">
        <v>-10537.1900784298</v>
      </c>
      <c r="V21">
        <v>-10537.1900784298</v>
      </c>
      <c r="W21">
        <v>-10537.1900784298</v>
      </c>
      <c r="X21">
        <v>-10537.1900784298</v>
      </c>
      <c r="Y21">
        <v>-10537.1900784298</v>
      </c>
      <c r="Z21">
        <v>0.56367423869947797</v>
      </c>
      <c r="AA21">
        <v>0.5</v>
      </c>
      <c r="AB21">
        <v>0.50913899986651201</v>
      </c>
      <c r="AC21">
        <v>0.41995018315404398</v>
      </c>
      <c r="AD21">
        <v>-290643.75000000099</v>
      </c>
      <c r="AE21">
        <v>-514124.41568283498</v>
      </c>
      <c r="AF21">
        <v>0.33129059284000001</v>
      </c>
      <c r="AG21">
        <v>0.20932000000000001</v>
      </c>
    </row>
    <row r="22" spans="1:33" x14ac:dyDescent="0.25">
      <c r="A22">
        <v>72000</v>
      </c>
      <c r="B22">
        <v>11268.75</v>
      </c>
      <c r="C22">
        <v>148112.5</v>
      </c>
      <c r="D22">
        <v>-526945.15474724898</v>
      </c>
      <c r="E22">
        <v>-184675</v>
      </c>
      <c r="F22">
        <v>0</v>
      </c>
      <c r="G22">
        <v>86844.696798244302</v>
      </c>
      <c r="H22">
        <v>0</v>
      </c>
      <c r="I22">
        <v>280719.20794900501</v>
      </c>
      <c r="J22">
        <v>0</v>
      </c>
      <c r="K22">
        <v>-5648.38</v>
      </c>
      <c r="L22">
        <v>100000</v>
      </c>
      <c r="M22">
        <v>54914.9859498609</v>
      </c>
      <c r="N22">
        <v>-464666.66648080002</v>
      </c>
      <c r="O22">
        <v>0</v>
      </c>
      <c r="P22">
        <v>-2634.2975196074399</v>
      </c>
      <c r="Q22">
        <v>-2634.2975196074399</v>
      </c>
      <c r="R22">
        <v>-2634.2975196074399</v>
      </c>
      <c r="S22">
        <v>-2634.2975196074399</v>
      </c>
      <c r="T22">
        <v>-2634.2975196074399</v>
      </c>
      <c r="U22">
        <v>-2634.2975196074399</v>
      </c>
      <c r="V22">
        <v>-2634.2975196074399</v>
      </c>
      <c r="W22">
        <v>-2634.2975196074399</v>
      </c>
      <c r="X22">
        <v>-2634.2975196074399</v>
      </c>
      <c r="Y22">
        <v>-2634.2975196074399</v>
      </c>
      <c r="Z22">
        <v>0.56367423869947797</v>
      </c>
      <c r="AA22">
        <v>0.5</v>
      </c>
      <c r="AB22">
        <v>0.47010104507448602</v>
      </c>
      <c r="AC22">
        <v>0.40871922895731699</v>
      </c>
      <c r="AD22">
        <v>-184675</v>
      </c>
      <c r="AE22">
        <v>-341743.03572701302</v>
      </c>
      <c r="AF22">
        <v>0.333369067701</v>
      </c>
      <c r="AG22">
        <v>0.21426999999999999</v>
      </c>
    </row>
    <row r="23" spans="1:33" x14ac:dyDescent="0.25">
      <c r="A23">
        <v>75600</v>
      </c>
      <c r="B23">
        <v>0</v>
      </c>
      <c r="C23">
        <v>12187.5</v>
      </c>
      <c r="D23">
        <v>-501302.29423543898</v>
      </c>
      <c r="E23">
        <v>-162368.75</v>
      </c>
      <c r="F23">
        <v>0</v>
      </c>
      <c r="G23">
        <v>208395.586286434</v>
      </c>
      <c r="H23">
        <v>0</v>
      </c>
      <c r="I23">
        <v>280719.20794900501</v>
      </c>
      <c r="J23">
        <v>0</v>
      </c>
      <c r="K23">
        <v>-5450.18</v>
      </c>
      <c r="L23">
        <v>100000</v>
      </c>
      <c r="M23">
        <v>-140148.080716806</v>
      </c>
      <c r="N23">
        <v>-269999.99989199999</v>
      </c>
      <c r="O23">
        <v>0</v>
      </c>
      <c r="P23">
        <v>-2634.2975196074399</v>
      </c>
      <c r="Q23">
        <v>-2634.2975196074399</v>
      </c>
      <c r="R23">
        <v>-2634.2975196074399</v>
      </c>
      <c r="S23">
        <v>-2634.2975196074399</v>
      </c>
      <c r="T23">
        <v>-2634.2975196074399</v>
      </c>
      <c r="U23">
        <v>-2634.2975196074399</v>
      </c>
      <c r="V23">
        <v>-2634.2975196074399</v>
      </c>
      <c r="W23">
        <v>-2634.2975196074399</v>
      </c>
      <c r="X23">
        <v>-2634.2975196074399</v>
      </c>
      <c r="Y23">
        <v>-2634.2975196074399</v>
      </c>
      <c r="Z23">
        <v>0.55399330192586504</v>
      </c>
      <c r="AA23">
        <v>0.5</v>
      </c>
      <c r="AB23">
        <v>0.35387524434689699</v>
      </c>
      <c r="AC23">
        <v>0.437381654123497</v>
      </c>
      <c r="AD23">
        <v>-162368.75</v>
      </c>
      <c r="AE23">
        <v>-341941.23580487998</v>
      </c>
      <c r="AF23">
        <v>0.28467593673399999</v>
      </c>
      <c r="AG23">
        <v>0.20943999999999999</v>
      </c>
    </row>
    <row r="24" spans="1:33" x14ac:dyDescent="0.25">
      <c r="A24">
        <v>79200</v>
      </c>
      <c r="B24">
        <v>287.5</v>
      </c>
      <c r="C24">
        <v>0</v>
      </c>
      <c r="D24">
        <v>-499149.19361575902</v>
      </c>
      <c r="E24">
        <v>-123925</v>
      </c>
      <c r="F24">
        <v>0</v>
      </c>
      <c r="G24">
        <v>218142.48566675399</v>
      </c>
      <c r="H24">
        <v>0</v>
      </c>
      <c r="I24">
        <v>280719.20794900501</v>
      </c>
      <c r="J24">
        <v>0</v>
      </c>
      <c r="K24">
        <v>-2612.04</v>
      </c>
      <c r="L24">
        <v>100000</v>
      </c>
      <c r="M24">
        <v>-290241.02738347201</v>
      </c>
      <c r="N24">
        <v>-125583.3332831</v>
      </c>
      <c r="O24">
        <v>0</v>
      </c>
      <c r="P24">
        <v>-2634.2975196074399</v>
      </c>
      <c r="Q24">
        <v>-2634.2975196074399</v>
      </c>
      <c r="R24">
        <v>-2634.2975196074399</v>
      </c>
      <c r="S24">
        <v>-2634.2975196074399</v>
      </c>
      <c r="T24">
        <v>-2634.2975196074399</v>
      </c>
      <c r="U24">
        <v>-2634.2975196074399</v>
      </c>
      <c r="V24">
        <v>-2634.2975196074399</v>
      </c>
      <c r="W24">
        <v>-2634.2975196074399</v>
      </c>
      <c r="X24">
        <v>-2634.2975196074399</v>
      </c>
      <c r="Y24">
        <v>-2634.2975196074399</v>
      </c>
      <c r="Z24">
        <v>0.53076486378314203</v>
      </c>
      <c r="AA24">
        <v>0.5</v>
      </c>
      <c r="AB24">
        <v>0.23764944361930901</v>
      </c>
      <c r="AC24">
        <v>0.49674038158508799</v>
      </c>
      <c r="AD24">
        <v>-123925</v>
      </c>
      <c r="AE24">
        <v>-344779.37586264597</v>
      </c>
      <c r="AF24">
        <v>0.25550661257500001</v>
      </c>
      <c r="AG24">
        <v>0.17979000000000001</v>
      </c>
    </row>
    <row r="25" spans="1:33" x14ac:dyDescent="0.25">
      <c r="A25">
        <v>82800</v>
      </c>
      <c r="B25">
        <v>0</v>
      </c>
      <c r="C25">
        <v>0</v>
      </c>
      <c r="D25">
        <v>-483298.35559989797</v>
      </c>
      <c r="E25">
        <v>0</v>
      </c>
      <c r="F25">
        <v>0</v>
      </c>
      <c r="G25">
        <v>202579.14765089299</v>
      </c>
      <c r="H25">
        <v>0</v>
      </c>
      <c r="I25">
        <v>280719.20794900501</v>
      </c>
      <c r="J25">
        <v>0</v>
      </c>
      <c r="K25">
        <v>-1491.79</v>
      </c>
      <c r="L25">
        <v>100000</v>
      </c>
      <c r="M25">
        <v>-412403.01498677803</v>
      </c>
      <c r="N25">
        <v>-18833.333325799998</v>
      </c>
      <c r="O25">
        <v>0</v>
      </c>
      <c r="P25">
        <v>-1317.1487598037199</v>
      </c>
      <c r="Q25">
        <v>-1317.1487598037199</v>
      </c>
      <c r="R25">
        <v>-1317.1487598037199</v>
      </c>
      <c r="S25">
        <v>-1317.1487598037199</v>
      </c>
      <c r="T25">
        <v>-1317.1487598037199</v>
      </c>
      <c r="U25">
        <v>-1317.1487598037199</v>
      </c>
      <c r="V25">
        <v>-1317.1487598037199</v>
      </c>
      <c r="W25">
        <v>-1317.1487598037199</v>
      </c>
      <c r="X25">
        <v>-1317.1487598037199</v>
      </c>
      <c r="Y25">
        <v>-1317.1487598037199</v>
      </c>
      <c r="Z25">
        <v>0.50641126614984</v>
      </c>
      <c r="AA25">
        <v>0.5</v>
      </c>
      <c r="AB25">
        <v>0.12142364289172</v>
      </c>
      <c r="AC25">
        <v>0.58108310319003798</v>
      </c>
      <c r="AD25">
        <v>-4.65661287307739E-10</v>
      </c>
      <c r="AE25">
        <v>-345899.62591061502</v>
      </c>
      <c r="AF25">
        <v>0.21941753873399999</v>
      </c>
      <c r="AG25">
        <v>0.17288999999999999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6DE4-EDC0-4032-A361-F653E18E599A}">
  <dimension ref="A1:AG25"/>
  <sheetViews>
    <sheetView workbookViewId="0">
      <selection activeCell="A2" sqref="A2:AG25"/>
    </sheetView>
  </sheetViews>
  <sheetFormatPr baseColWidth="10" defaultRowHeight="15" x14ac:dyDescent="0.25"/>
  <cols>
    <col min="1" max="1" width="6" bestFit="1" customWidth="1"/>
    <col min="2" max="2" width="11.85546875" bestFit="1" customWidth="1"/>
    <col min="3" max="3" width="11" bestFit="1" customWidth="1"/>
    <col min="4" max="4" width="12.7109375" bestFit="1" customWidth="1"/>
    <col min="5" max="5" width="10.7109375" bestFit="1" customWidth="1"/>
    <col min="6" max="7" width="12.7109375" bestFit="1" customWidth="1"/>
    <col min="9" max="9" width="12.7109375" bestFit="1" customWidth="1"/>
    <col min="10" max="10" width="11.7109375" bestFit="1" customWidth="1"/>
    <col min="11" max="12" width="12" bestFit="1" customWidth="1"/>
    <col min="13" max="22" width="13.42578125" bestFit="1" customWidth="1"/>
    <col min="23" max="25" width="14.42578125" bestFit="1" customWidth="1"/>
    <col min="26" max="26" width="12" bestFit="1" customWidth="1"/>
    <col min="27" max="27" width="10" bestFit="1" customWidth="1"/>
    <col min="28" max="29" width="12" bestFit="1" customWidth="1"/>
    <col min="30" max="31" width="12.7109375" bestFit="1" customWidth="1"/>
    <col min="32" max="32" width="12" bestFit="1" customWidth="1"/>
    <col min="33" max="33" width="9.7109375" bestFit="1" customWidth="1"/>
  </cols>
  <sheetData>
    <row r="1" spans="1:33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</row>
    <row r="2" spans="1:33" x14ac:dyDescent="0.25">
      <c r="A2">
        <v>0</v>
      </c>
      <c r="B2">
        <v>0</v>
      </c>
      <c r="C2">
        <v>0</v>
      </c>
      <c r="D2">
        <v>-324434.16280890797</v>
      </c>
      <c r="E2">
        <v>0</v>
      </c>
      <c r="F2">
        <v>0</v>
      </c>
      <c r="G2">
        <v>77965.883021684698</v>
      </c>
      <c r="H2">
        <v>0</v>
      </c>
      <c r="I2">
        <v>246468.279787223</v>
      </c>
      <c r="J2">
        <v>0</v>
      </c>
      <c r="K2">
        <v>-1276</v>
      </c>
      <c r="L2">
        <v>100000</v>
      </c>
      <c r="M2">
        <v>-47798.635253385</v>
      </c>
      <c r="N2">
        <v>-62749.999974899998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0.5</v>
      </c>
      <c r="AC2">
        <v>0.509775551680683</v>
      </c>
      <c r="AD2">
        <v>1.7462298274040199E-10</v>
      </c>
      <c r="AE2">
        <v>-11824.635228285</v>
      </c>
      <c r="AF2">
        <v>0.40344336883300003</v>
      </c>
      <c r="AG2">
        <v>0.17571000000000001</v>
      </c>
    </row>
    <row r="3" spans="1:33" x14ac:dyDescent="0.25">
      <c r="A3">
        <v>3600</v>
      </c>
      <c r="B3">
        <v>0</v>
      </c>
      <c r="C3">
        <v>0</v>
      </c>
      <c r="D3">
        <v>-328930.413299268</v>
      </c>
      <c r="E3">
        <v>0</v>
      </c>
      <c r="F3">
        <v>0</v>
      </c>
      <c r="G3">
        <v>82462.1335120453</v>
      </c>
      <c r="H3">
        <v>0</v>
      </c>
      <c r="I3">
        <v>246468.279787223</v>
      </c>
      <c r="J3">
        <v>0</v>
      </c>
      <c r="K3">
        <v>-1688.61</v>
      </c>
      <c r="L3">
        <v>100000</v>
      </c>
      <c r="M3">
        <v>-46973.415253384999</v>
      </c>
      <c r="N3">
        <v>-62749.999974899998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0.48816901467537599</v>
      </c>
      <c r="AA3">
        <v>0.5</v>
      </c>
      <c r="AB3">
        <v>0.397955065556379</v>
      </c>
      <c r="AC3">
        <v>0.51938233325495697</v>
      </c>
      <c r="AD3">
        <v>2.3283064365386999E-10</v>
      </c>
      <c r="AE3">
        <v>-11412.025228285</v>
      </c>
      <c r="AF3">
        <v>0.41274768271899998</v>
      </c>
      <c r="AG3">
        <v>0.16955000000000001</v>
      </c>
    </row>
    <row r="4" spans="1:33" x14ac:dyDescent="0.25">
      <c r="A4">
        <v>7200</v>
      </c>
      <c r="B4">
        <v>0</v>
      </c>
      <c r="C4">
        <v>0</v>
      </c>
      <c r="D4">
        <v>-329548.146823544</v>
      </c>
      <c r="E4">
        <v>0</v>
      </c>
      <c r="F4">
        <v>0</v>
      </c>
      <c r="G4">
        <v>83079.867036320706</v>
      </c>
      <c r="H4">
        <v>0</v>
      </c>
      <c r="I4">
        <v>246468.279787223</v>
      </c>
      <c r="J4">
        <v>0</v>
      </c>
      <c r="K4">
        <v>-1766.03</v>
      </c>
      <c r="L4">
        <v>100000</v>
      </c>
      <c r="M4">
        <v>-46818.575253385003</v>
      </c>
      <c r="N4">
        <v>-62749.999974899998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0.47888420576066398</v>
      </c>
      <c r="AA4">
        <v>0.5</v>
      </c>
      <c r="AB4">
        <v>0.29591013111275899</v>
      </c>
      <c r="AC4">
        <v>0.52895744768195296</v>
      </c>
      <c r="AD4">
        <v>2.03726813197136E-10</v>
      </c>
      <c r="AE4">
        <v>-11334.605228285</v>
      </c>
      <c r="AF4">
        <v>0.42417017694800002</v>
      </c>
      <c r="AG4">
        <v>0.1646</v>
      </c>
    </row>
    <row r="5" spans="1:33" x14ac:dyDescent="0.25">
      <c r="A5">
        <v>10800</v>
      </c>
      <c r="B5">
        <v>0</v>
      </c>
      <c r="C5">
        <v>0</v>
      </c>
      <c r="D5">
        <v>-317002.600799268</v>
      </c>
      <c r="E5">
        <v>0</v>
      </c>
      <c r="F5">
        <v>0</v>
      </c>
      <c r="G5">
        <v>70534.3210120453</v>
      </c>
      <c r="H5">
        <v>0</v>
      </c>
      <c r="I5">
        <v>246468.279787223</v>
      </c>
      <c r="J5">
        <v>0</v>
      </c>
      <c r="K5">
        <v>-1528.39</v>
      </c>
      <c r="L5">
        <v>100000</v>
      </c>
      <c r="M5">
        <v>-47293.855253385002</v>
      </c>
      <c r="N5">
        <v>-62749.999974899998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0.46951318000262998</v>
      </c>
      <c r="AA5">
        <v>0.5</v>
      </c>
      <c r="AB5">
        <v>0.19386519666913801</v>
      </c>
      <c r="AC5">
        <v>0.53862976413528696</v>
      </c>
      <c r="AD5">
        <v>2.3283064365386999E-10</v>
      </c>
      <c r="AE5">
        <v>-11572.245228285001</v>
      </c>
      <c r="AF5">
        <v>0.43066637370799998</v>
      </c>
      <c r="AG5">
        <v>0.16500000000000001</v>
      </c>
    </row>
    <row r="6" spans="1:33" x14ac:dyDescent="0.25">
      <c r="A6">
        <v>14400</v>
      </c>
      <c r="B6">
        <v>0</v>
      </c>
      <c r="C6">
        <v>0</v>
      </c>
      <c r="D6">
        <v>-313868.771823544</v>
      </c>
      <c r="E6">
        <v>0</v>
      </c>
      <c r="F6">
        <v>0</v>
      </c>
      <c r="G6">
        <v>67400.492036320706</v>
      </c>
      <c r="H6">
        <v>0</v>
      </c>
      <c r="I6">
        <v>246468.279787223</v>
      </c>
      <c r="J6">
        <v>0</v>
      </c>
      <c r="K6">
        <v>-1349.65</v>
      </c>
      <c r="L6">
        <v>100000</v>
      </c>
      <c r="M6">
        <v>-47651.335253384997</v>
      </c>
      <c r="N6">
        <v>-62749.999974899998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0.46154774958439698</v>
      </c>
      <c r="AA6">
        <v>0.5</v>
      </c>
      <c r="AB6">
        <v>9.1820262225517799E-2</v>
      </c>
      <c r="AC6">
        <v>0.54837519071396801</v>
      </c>
      <c r="AD6">
        <v>2.3283064365386999E-10</v>
      </c>
      <c r="AE6">
        <v>-11750.985228285001</v>
      </c>
      <c r="AF6">
        <v>0.433395878879</v>
      </c>
      <c r="AG6">
        <v>0.16964000000000001</v>
      </c>
    </row>
    <row r="7" spans="1:33" x14ac:dyDescent="0.25">
      <c r="A7">
        <v>18000</v>
      </c>
      <c r="B7">
        <v>0</v>
      </c>
      <c r="C7">
        <v>0</v>
      </c>
      <c r="D7">
        <v>-405064.91169024498</v>
      </c>
      <c r="E7">
        <v>0</v>
      </c>
      <c r="F7">
        <v>0</v>
      </c>
      <c r="G7">
        <v>158596.631903022</v>
      </c>
      <c r="H7">
        <v>0</v>
      </c>
      <c r="I7">
        <v>0</v>
      </c>
      <c r="J7">
        <v>0</v>
      </c>
      <c r="K7">
        <v>-1276.32</v>
      </c>
      <c r="L7">
        <v>100000</v>
      </c>
      <c r="M7">
        <v>-21455.020046773501</v>
      </c>
      <c r="N7">
        <v>-62749.999974899998</v>
      </c>
      <c r="O7">
        <v>0</v>
      </c>
      <c r="P7">
        <v>-2634.2975196074399</v>
      </c>
      <c r="Q7">
        <v>-2634.2975196074399</v>
      </c>
      <c r="R7">
        <v>-2634.2975196074399</v>
      </c>
      <c r="S7">
        <v>-2634.2975196074399</v>
      </c>
      <c r="T7">
        <v>-2634.2975196074399</v>
      </c>
      <c r="U7">
        <v>-2634.2975196074399</v>
      </c>
      <c r="V7">
        <v>-2634.2975196074399</v>
      </c>
      <c r="W7">
        <v>-2634.2975196074399</v>
      </c>
      <c r="X7">
        <v>-2634.2975196074399</v>
      </c>
      <c r="Y7">
        <v>-2634.2975196074399</v>
      </c>
      <c r="Z7">
        <v>0.45392693605198797</v>
      </c>
      <c r="AA7">
        <v>0.5</v>
      </c>
      <c r="AB7">
        <v>0</v>
      </c>
      <c r="AC7">
        <v>0.55276307032947403</v>
      </c>
      <c r="AD7">
        <v>-246468.279787223</v>
      </c>
      <c r="AE7">
        <v>-11824.315217747901</v>
      </c>
      <c r="AF7">
        <v>0.415932793036</v>
      </c>
      <c r="AG7">
        <v>0.17466000000000001</v>
      </c>
    </row>
    <row r="8" spans="1:33" x14ac:dyDescent="0.25">
      <c r="A8">
        <v>21600</v>
      </c>
      <c r="B8">
        <v>12.5</v>
      </c>
      <c r="C8">
        <v>575</v>
      </c>
      <c r="D8">
        <v>-453274.13167347398</v>
      </c>
      <c r="E8">
        <v>0</v>
      </c>
      <c r="F8">
        <v>0</v>
      </c>
      <c r="G8">
        <v>206218.35188625101</v>
      </c>
      <c r="H8">
        <v>0</v>
      </c>
      <c r="I8">
        <v>0</v>
      </c>
      <c r="J8">
        <v>0</v>
      </c>
      <c r="K8">
        <v>-1203.08</v>
      </c>
      <c r="L8">
        <v>159111.59970986299</v>
      </c>
      <c r="M8">
        <v>497638.86990837997</v>
      </c>
      <c r="N8">
        <v>-188333.333258</v>
      </c>
      <c r="O8">
        <v>-367314.061268283</v>
      </c>
      <c r="P8">
        <v>-5268.5950392148798</v>
      </c>
      <c r="Q8">
        <v>-5268.5950392148798</v>
      </c>
      <c r="R8">
        <v>-5268.5950392148798</v>
      </c>
      <c r="S8">
        <v>-5268.5950392148798</v>
      </c>
      <c r="T8">
        <v>-5268.5950392148798</v>
      </c>
      <c r="U8">
        <v>-5268.5950392148798</v>
      </c>
      <c r="V8">
        <v>-5268.5950392148798</v>
      </c>
      <c r="W8">
        <v>-5268.5950392148798</v>
      </c>
      <c r="X8">
        <v>-5268.5950392148798</v>
      </c>
      <c r="Y8">
        <v>-5268.5950392148798</v>
      </c>
      <c r="Z8">
        <v>0.435976333714167</v>
      </c>
      <c r="AA8">
        <v>0.5</v>
      </c>
      <c r="AB8">
        <v>0</v>
      </c>
      <c r="AC8">
        <v>0.450988313261245</v>
      </c>
      <c r="AD8">
        <v>-246468.279787223</v>
      </c>
      <c r="AE8">
        <v>47214.0446998115</v>
      </c>
      <c r="AF8">
        <v>0.402805814564</v>
      </c>
      <c r="AG8">
        <v>0.17787</v>
      </c>
    </row>
    <row r="9" spans="1:33" x14ac:dyDescent="0.25">
      <c r="A9">
        <v>25200</v>
      </c>
      <c r="B9">
        <v>0</v>
      </c>
      <c r="C9">
        <v>29143.75</v>
      </c>
      <c r="D9">
        <v>-560853.22010860895</v>
      </c>
      <c r="E9">
        <v>0</v>
      </c>
      <c r="F9">
        <v>0</v>
      </c>
      <c r="G9">
        <v>285241.19032138598</v>
      </c>
      <c r="H9">
        <v>0</v>
      </c>
      <c r="I9">
        <v>0</v>
      </c>
      <c r="J9">
        <v>0</v>
      </c>
      <c r="K9">
        <v>367.33</v>
      </c>
      <c r="L9">
        <v>130650.459108818</v>
      </c>
      <c r="M9">
        <v>918943.64219488006</v>
      </c>
      <c r="N9">
        <v>-533749.9997865</v>
      </c>
      <c r="O9">
        <v>-367314.061268283</v>
      </c>
      <c r="P9">
        <v>-13171.4875980372</v>
      </c>
      <c r="Q9">
        <v>-13171.4875980372</v>
      </c>
      <c r="R9">
        <v>-13171.4875980372</v>
      </c>
      <c r="S9">
        <v>-13171.4875980372</v>
      </c>
      <c r="T9">
        <v>-13171.4875980372</v>
      </c>
      <c r="U9">
        <v>-13171.4875980372</v>
      </c>
      <c r="V9">
        <v>-13171.4875980372</v>
      </c>
      <c r="W9">
        <v>-13171.4875980372</v>
      </c>
      <c r="X9">
        <v>-13171.4875980372</v>
      </c>
      <c r="Y9">
        <v>-13171.4875980372</v>
      </c>
      <c r="Z9">
        <v>0.41261526982783903</v>
      </c>
      <c r="AA9">
        <v>0.5</v>
      </c>
      <c r="AB9">
        <v>0</v>
      </c>
      <c r="AC9">
        <v>0.26305028912539802</v>
      </c>
      <c r="AD9">
        <v>-246468.279787223</v>
      </c>
      <c r="AE9">
        <v>17182.4942685438</v>
      </c>
      <c r="AF9">
        <v>0.40722278555500002</v>
      </c>
      <c r="AG9">
        <v>0.17871000000000001</v>
      </c>
    </row>
    <row r="10" spans="1:33" x14ac:dyDescent="0.25">
      <c r="A10">
        <v>28800</v>
      </c>
      <c r="B10">
        <v>6.25</v>
      </c>
      <c r="C10">
        <v>165525</v>
      </c>
      <c r="D10">
        <v>-607189.66599036905</v>
      </c>
      <c r="E10">
        <v>0</v>
      </c>
      <c r="F10">
        <v>-222768.75</v>
      </c>
      <c r="G10">
        <v>195190.13620314599</v>
      </c>
      <c r="H10">
        <v>0</v>
      </c>
      <c r="I10">
        <v>0</v>
      </c>
      <c r="J10">
        <v>0</v>
      </c>
      <c r="K10">
        <v>7251.42</v>
      </c>
      <c r="L10">
        <v>207051.27676760999</v>
      </c>
      <c r="M10">
        <v>920313.203241713</v>
      </c>
      <c r="N10">
        <v>-627916.66641549999</v>
      </c>
      <c r="O10">
        <v>-367314.061268283</v>
      </c>
      <c r="P10">
        <v>-5268.5950392148798</v>
      </c>
      <c r="Q10">
        <v>-5268.5950392148798</v>
      </c>
      <c r="R10">
        <v>-5268.5950392148798</v>
      </c>
      <c r="S10">
        <v>-5268.5950392148798</v>
      </c>
      <c r="T10">
        <v>-5268.5950392148798</v>
      </c>
      <c r="U10">
        <v>-5268.5950392148798</v>
      </c>
      <c r="V10">
        <v>-5268.5950392148798</v>
      </c>
      <c r="W10">
        <v>-5268.5950392148798</v>
      </c>
      <c r="X10">
        <v>-5268.5950392148798</v>
      </c>
      <c r="Y10">
        <v>-5268.5950392148798</v>
      </c>
      <c r="Z10">
        <v>0.38022912297669298</v>
      </c>
      <c r="AA10">
        <v>0.5</v>
      </c>
      <c r="AB10">
        <v>0</v>
      </c>
      <c r="AC10">
        <v>0.214862762356748</v>
      </c>
      <c r="AD10">
        <v>-469237.02978722297</v>
      </c>
      <c r="AE10">
        <v>86699.221933391396</v>
      </c>
      <c r="AF10">
        <v>0.36920807653600002</v>
      </c>
      <c r="AG10">
        <v>0.16966999999999999</v>
      </c>
    </row>
    <row r="11" spans="1:33" x14ac:dyDescent="0.25">
      <c r="A11">
        <v>32400</v>
      </c>
      <c r="B11">
        <v>5018.75</v>
      </c>
      <c r="C11">
        <v>723375</v>
      </c>
      <c r="D11">
        <v>-613097.80138726695</v>
      </c>
      <c r="E11">
        <v>0</v>
      </c>
      <c r="F11">
        <v>-10259.583333333299</v>
      </c>
      <c r="G11">
        <v>0</v>
      </c>
      <c r="H11">
        <v>0</v>
      </c>
      <c r="I11">
        <v>-115295.948612733</v>
      </c>
      <c r="J11">
        <v>0</v>
      </c>
      <c r="K11">
        <v>47326</v>
      </c>
      <c r="L11">
        <v>216759.94461021101</v>
      </c>
      <c r="M11">
        <v>649982.91376512998</v>
      </c>
      <c r="N11">
        <v>-477249.9998091</v>
      </c>
      <c r="O11">
        <v>-367314.061268283</v>
      </c>
      <c r="P11">
        <v>-1317.1487598037199</v>
      </c>
      <c r="Q11">
        <v>-1317.1487598037199</v>
      </c>
      <c r="R11">
        <v>-1317.1487598037199</v>
      </c>
      <c r="S11">
        <v>-1317.1487598037199</v>
      </c>
      <c r="T11">
        <v>-1317.1487598037199</v>
      </c>
      <c r="U11">
        <v>-1317.1487598037199</v>
      </c>
      <c r="V11">
        <v>-1317.1487598037199</v>
      </c>
      <c r="W11">
        <v>-1317.1487598037199</v>
      </c>
      <c r="X11">
        <v>-1317.1487598037199</v>
      </c>
      <c r="Y11">
        <v>-1317.1487598037199</v>
      </c>
      <c r="Z11">
        <v>0.35800234450409002</v>
      </c>
      <c r="AA11">
        <v>0.5</v>
      </c>
      <c r="AB11">
        <v>0</v>
      </c>
      <c r="AC11">
        <v>0.18621337772798199</v>
      </c>
      <c r="AD11">
        <v>-10259.5833333336</v>
      </c>
      <c r="AE11">
        <v>56333.309699921301</v>
      </c>
      <c r="AF11">
        <v>0.39978379717599999</v>
      </c>
      <c r="AG11">
        <v>0.16511999999999999</v>
      </c>
    </row>
    <row r="12" spans="1:33" x14ac:dyDescent="0.25">
      <c r="A12">
        <v>36000</v>
      </c>
      <c r="B12">
        <v>5781.25</v>
      </c>
      <c r="C12">
        <v>1244425</v>
      </c>
      <c r="D12">
        <v>-628466.26018498605</v>
      </c>
      <c r="E12">
        <v>0</v>
      </c>
      <c r="F12">
        <v>-424024.58333333302</v>
      </c>
      <c r="G12">
        <v>-206847.78824215801</v>
      </c>
      <c r="H12">
        <v>0</v>
      </c>
      <c r="I12">
        <v>-312500</v>
      </c>
      <c r="J12">
        <v>0</v>
      </c>
      <c r="K12">
        <v>56691.8</v>
      </c>
      <c r="L12">
        <v>232124.12011012001</v>
      </c>
      <c r="M12">
        <v>517579.826161823</v>
      </c>
      <c r="N12">
        <v>-376749.99984930002</v>
      </c>
      <c r="O12">
        <v>-367314.061268283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0.35800234450409002</v>
      </c>
      <c r="AA12">
        <v>0.5</v>
      </c>
      <c r="AB12">
        <v>2.9124236135799599E-2</v>
      </c>
      <c r="AC12">
        <v>0.16339994186410001</v>
      </c>
      <c r="AD12">
        <v>-321632.38176047697</v>
      </c>
      <c r="AE12">
        <v>62331.685154360297</v>
      </c>
      <c r="AF12">
        <v>0.398483429178</v>
      </c>
      <c r="AG12">
        <v>0.16702</v>
      </c>
    </row>
    <row r="13" spans="1:33" x14ac:dyDescent="0.25">
      <c r="A13">
        <v>39600</v>
      </c>
      <c r="B13">
        <v>8537.5</v>
      </c>
      <c r="C13">
        <v>1646625</v>
      </c>
      <c r="D13">
        <v>-642775.22484859498</v>
      </c>
      <c r="E13">
        <v>0</v>
      </c>
      <c r="F13">
        <v>-42804.166666666701</v>
      </c>
      <c r="G13">
        <v>-206847.78824215801</v>
      </c>
      <c r="H13">
        <v>0</v>
      </c>
      <c r="I13">
        <v>-312500</v>
      </c>
      <c r="J13">
        <v>0</v>
      </c>
      <c r="K13">
        <v>619040</v>
      </c>
      <c r="L13">
        <v>291959.00166499102</v>
      </c>
      <c r="M13">
        <v>-587204.86545213498</v>
      </c>
      <c r="N13">
        <v>-364166.66652099998</v>
      </c>
      <c r="O13">
        <v>-399809.10297466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0.38173246241803399</v>
      </c>
      <c r="AA13">
        <v>0.5</v>
      </c>
      <c r="AB13">
        <v>8.3788959167869506E-2</v>
      </c>
      <c r="AC13">
        <v>0.189282249983203</v>
      </c>
      <c r="AD13">
        <v>450235.32024258102</v>
      </c>
      <c r="AE13">
        <v>-440181.63328280399</v>
      </c>
      <c r="AF13">
        <v>0.40725732037599999</v>
      </c>
      <c r="AG13">
        <v>0.1774</v>
      </c>
    </row>
    <row r="14" spans="1:33" x14ac:dyDescent="0.25">
      <c r="A14">
        <v>43200</v>
      </c>
      <c r="B14">
        <v>7862.5</v>
      </c>
      <c r="C14">
        <v>1913281.25</v>
      </c>
      <c r="D14">
        <v>-625105.03655450698</v>
      </c>
      <c r="E14">
        <v>0</v>
      </c>
      <c r="F14">
        <v>-63859.583333333299</v>
      </c>
      <c r="G14">
        <v>-206847.78824215801</v>
      </c>
      <c r="H14">
        <v>0</v>
      </c>
      <c r="I14">
        <v>-312500</v>
      </c>
      <c r="J14">
        <v>0</v>
      </c>
      <c r="K14">
        <v>676132</v>
      </c>
      <c r="L14">
        <v>286242.29323618102</v>
      </c>
      <c r="M14">
        <v>-746383.90717151004</v>
      </c>
      <c r="N14">
        <v>-351666.66652600002</v>
      </c>
      <c r="O14">
        <v>-367314.061268283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0.405468452349599</v>
      </c>
      <c r="AA14">
        <v>0.5</v>
      </c>
      <c r="AB14">
        <v>0.138453682199939</v>
      </c>
      <c r="AC14">
        <v>0.22218071421114799</v>
      </c>
      <c r="AD14">
        <v>712831.34187000198</v>
      </c>
      <c r="AE14">
        <v>-502990.34172961197</v>
      </c>
      <c r="AF14">
        <v>0.40330851785999999</v>
      </c>
      <c r="AG14">
        <v>0.1774</v>
      </c>
    </row>
    <row r="15" spans="1:33" x14ac:dyDescent="0.25">
      <c r="A15">
        <v>46800</v>
      </c>
      <c r="B15">
        <v>4193.75</v>
      </c>
      <c r="C15">
        <v>2052331.25</v>
      </c>
      <c r="D15">
        <v>-635334.85567917104</v>
      </c>
      <c r="E15">
        <v>0</v>
      </c>
      <c r="F15">
        <v>-357930.83333333302</v>
      </c>
      <c r="G15">
        <v>-206847.78824215801</v>
      </c>
      <c r="H15">
        <v>0</v>
      </c>
      <c r="I15">
        <v>-312500</v>
      </c>
      <c r="J15">
        <v>-3.2763016545004402E-2</v>
      </c>
      <c r="K15">
        <v>699017.03276301699</v>
      </c>
      <c r="L15">
        <v>296665.89736404002</v>
      </c>
      <c r="M15">
        <v>-791565.74042682198</v>
      </c>
      <c r="N15">
        <v>-339083.33319769998</v>
      </c>
      <c r="O15">
        <v>-367314.061268283</v>
      </c>
      <c r="P15">
        <v>-1317.1487598037199</v>
      </c>
      <c r="Q15">
        <v>-1317.1487598037199</v>
      </c>
      <c r="R15">
        <v>-1317.1487598037199</v>
      </c>
      <c r="S15">
        <v>-1317.1487598037199</v>
      </c>
      <c r="T15">
        <v>-1317.1487598037199</v>
      </c>
      <c r="U15">
        <v>-1317.1487598037199</v>
      </c>
      <c r="V15">
        <v>-1317.1487598037199</v>
      </c>
      <c r="W15">
        <v>-1317.1487598037199</v>
      </c>
      <c r="X15">
        <v>-1317.1487598037199</v>
      </c>
      <c r="Y15">
        <v>-1317.1487598037199</v>
      </c>
      <c r="Z15">
        <v>0.42913113125886099</v>
      </c>
      <c r="AA15">
        <v>0.5</v>
      </c>
      <c r="AB15">
        <v>0.19311840523200899</v>
      </c>
      <c r="AC15">
        <v>0.38406801001323099</v>
      </c>
      <c r="AD15">
        <v>543911.51027455402</v>
      </c>
      <c r="AE15">
        <v>-515451.69236378599</v>
      </c>
      <c r="AF15">
        <v>0.34167861491700002</v>
      </c>
      <c r="AG15">
        <v>0.16797999999999999</v>
      </c>
    </row>
    <row r="16" spans="1:33" x14ac:dyDescent="0.25">
      <c r="A16">
        <v>50400</v>
      </c>
      <c r="B16">
        <v>4043.75</v>
      </c>
      <c r="C16">
        <v>2075393.75</v>
      </c>
      <c r="D16">
        <v>-583954.05536732206</v>
      </c>
      <c r="E16">
        <v>-30018.75</v>
      </c>
      <c r="F16">
        <v>-1248082.91666667</v>
      </c>
      <c r="G16">
        <v>-206847.78824215801</v>
      </c>
      <c r="H16">
        <v>0</v>
      </c>
      <c r="I16">
        <v>-312500</v>
      </c>
      <c r="J16">
        <v>0</v>
      </c>
      <c r="K16">
        <v>361172</v>
      </c>
      <c r="L16">
        <v>221197.00054400699</v>
      </c>
      <c r="M16">
        <v>-141042.419568204</v>
      </c>
      <c r="N16">
        <v>-313916.66654110001</v>
      </c>
      <c r="O16">
        <v>-367314.061268283</v>
      </c>
      <c r="P16">
        <v>-1317.1487598037199</v>
      </c>
      <c r="Q16">
        <v>-1317.1487598037199</v>
      </c>
      <c r="R16">
        <v>-1317.1487598037199</v>
      </c>
      <c r="S16">
        <v>-1317.1487598037199</v>
      </c>
      <c r="T16">
        <v>-1317.1487598037199</v>
      </c>
      <c r="U16">
        <v>-1317.1487598037199</v>
      </c>
      <c r="V16">
        <v>-1317.1487598037199</v>
      </c>
      <c r="W16">
        <v>-1317.1487598037199</v>
      </c>
      <c r="X16">
        <v>-1317.1487598037199</v>
      </c>
      <c r="Y16">
        <v>-1317.1487598037199</v>
      </c>
      <c r="Z16">
        <v>0.45272091327661801</v>
      </c>
      <c r="AA16">
        <v>0.5</v>
      </c>
      <c r="AB16">
        <v>0.247783128264079</v>
      </c>
      <c r="AC16">
        <v>0.41291334114765699</v>
      </c>
      <c r="AD16">
        <v>-301966.01027614699</v>
      </c>
      <c r="AE16">
        <v>-253075.63443161701</v>
      </c>
      <c r="AF16">
        <v>0.33301446798399997</v>
      </c>
      <c r="AG16">
        <v>0.16239999999999999</v>
      </c>
    </row>
    <row r="17" spans="1:33" x14ac:dyDescent="0.25">
      <c r="A17">
        <v>54000</v>
      </c>
      <c r="B17">
        <v>21343.75</v>
      </c>
      <c r="C17">
        <v>1956393.75</v>
      </c>
      <c r="D17">
        <v>-569843.12287919899</v>
      </c>
      <c r="E17">
        <v>-28881.25</v>
      </c>
      <c r="F17">
        <v>-227267.91666666701</v>
      </c>
      <c r="G17">
        <v>-206847.78824215801</v>
      </c>
      <c r="H17">
        <v>0</v>
      </c>
      <c r="I17">
        <v>-312500</v>
      </c>
      <c r="J17">
        <v>0</v>
      </c>
      <c r="K17">
        <v>254929</v>
      </c>
      <c r="L17">
        <v>176281.19796904101</v>
      </c>
      <c r="M17">
        <v>97198.401368434701</v>
      </c>
      <c r="N17">
        <v>-326499.9998694</v>
      </c>
      <c r="O17">
        <v>-367314.061268283</v>
      </c>
      <c r="P17">
        <v>-2634.2975196074399</v>
      </c>
      <c r="Q17">
        <v>-2634.2975196074399</v>
      </c>
      <c r="R17">
        <v>-2634.2975196074399</v>
      </c>
      <c r="S17">
        <v>-2634.2975196074399</v>
      </c>
      <c r="T17">
        <v>-2634.2975196074399</v>
      </c>
      <c r="U17">
        <v>-2634.2975196074399</v>
      </c>
      <c r="V17">
        <v>-2634.2975196074399</v>
      </c>
      <c r="W17">
        <v>-2634.2975196074399</v>
      </c>
      <c r="X17">
        <v>-2634.2975196074399</v>
      </c>
      <c r="Y17">
        <v>-2634.2975196074399</v>
      </c>
      <c r="Z17">
        <v>0.47623849387691197</v>
      </c>
      <c r="AA17">
        <v>0.5</v>
      </c>
      <c r="AB17">
        <v>0.30244785129614898</v>
      </c>
      <c r="AC17">
        <v>0.39303478204612702</v>
      </c>
      <c r="AD17">
        <v>632397.42221197602</v>
      </c>
      <c r="AE17">
        <v>-191748.436996281</v>
      </c>
      <c r="AF17">
        <v>0.33113886447300001</v>
      </c>
      <c r="AG17">
        <v>0.16016</v>
      </c>
    </row>
    <row r="18" spans="1:33" x14ac:dyDescent="0.25">
      <c r="A18">
        <v>57600</v>
      </c>
      <c r="B18">
        <v>10118.75</v>
      </c>
      <c r="C18">
        <v>1738300</v>
      </c>
      <c r="D18">
        <v>-594010.88417300896</v>
      </c>
      <c r="E18">
        <v>-54262.5</v>
      </c>
      <c r="F18">
        <v>-341038.75</v>
      </c>
      <c r="G18">
        <v>-206847.78824215801</v>
      </c>
      <c r="H18">
        <v>0</v>
      </c>
      <c r="I18">
        <v>-312500</v>
      </c>
      <c r="J18">
        <v>0</v>
      </c>
      <c r="K18">
        <v>629991</v>
      </c>
      <c r="L18">
        <v>291313.61171098403</v>
      </c>
      <c r="M18">
        <v>-607847.22357885703</v>
      </c>
      <c r="N18">
        <v>-339083.33319769998</v>
      </c>
      <c r="O18">
        <v>-399809.10297466</v>
      </c>
      <c r="P18">
        <v>-2634.2975196074399</v>
      </c>
      <c r="Q18">
        <v>-2634.2975196074399</v>
      </c>
      <c r="R18">
        <v>-2634.2975196074399</v>
      </c>
      <c r="S18">
        <v>-2634.2975196074399</v>
      </c>
      <c r="T18">
        <v>-2634.2975196074399</v>
      </c>
      <c r="U18">
        <v>-2634.2975196074399</v>
      </c>
      <c r="V18">
        <v>-2634.2975196074399</v>
      </c>
      <c r="W18">
        <v>-2634.2975196074399</v>
      </c>
      <c r="X18">
        <v>-2634.2975196074399</v>
      </c>
      <c r="Y18">
        <v>-2634.2975196074399</v>
      </c>
      <c r="Z18">
        <v>0.49968451564183303</v>
      </c>
      <c r="AA18">
        <v>0.5</v>
      </c>
      <c r="AB18">
        <v>0.35711257432821902</v>
      </c>
      <c r="AC18">
        <v>0.51734883236483398</v>
      </c>
      <c r="AD18">
        <v>239758.82758483299</v>
      </c>
      <c r="AE18">
        <v>-451778.02323630702</v>
      </c>
      <c r="AF18">
        <v>0.33283698664200001</v>
      </c>
      <c r="AG18">
        <v>0.15891</v>
      </c>
    </row>
    <row r="19" spans="1:33" x14ac:dyDescent="0.25">
      <c r="A19">
        <v>61200</v>
      </c>
      <c r="B19">
        <v>7487.5</v>
      </c>
      <c r="C19">
        <v>1412500</v>
      </c>
      <c r="D19">
        <v>-568789.03834464902</v>
      </c>
      <c r="E19">
        <v>-65256.25</v>
      </c>
      <c r="F19">
        <v>-620605</v>
      </c>
      <c r="G19">
        <v>-206847.78824215801</v>
      </c>
      <c r="H19">
        <v>0</v>
      </c>
      <c r="I19">
        <v>-312500</v>
      </c>
      <c r="J19">
        <v>0</v>
      </c>
      <c r="K19">
        <v>643490</v>
      </c>
      <c r="L19">
        <v>273938.15631130402</v>
      </c>
      <c r="M19">
        <v>-654756.93196489895</v>
      </c>
      <c r="N19">
        <v>-351666.66652600002</v>
      </c>
      <c r="O19">
        <v>-367314.061268283</v>
      </c>
      <c r="P19">
        <v>-2634.2975196074399</v>
      </c>
      <c r="Q19">
        <v>-2634.2975196074399</v>
      </c>
      <c r="R19">
        <v>-2634.2975196074399</v>
      </c>
      <c r="S19">
        <v>-2634.2975196074399</v>
      </c>
      <c r="T19">
        <v>-2634.2975196074399</v>
      </c>
      <c r="U19">
        <v>-2634.2975196074399</v>
      </c>
      <c r="V19">
        <v>-2634.2975196074399</v>
      </c>
      <c r="W19">
        <v>-2634.2975196074399</v>
      </c>
      <c r="X19">
        <v>-2634.2975196074399</v>
      </c>
      <c r="Y19">
        <v>-2634.2975196074399</v>
      </c>
      <c r="Z19">
        <v>0.52305962411057005</v>
      </c>
      <c r="AA19">
        <v>0.5</v>
      </c>
      <c r="AB19">
        <v>0.41177729736028901</v>
      </c>
      <c r="AC19">
        <v>0.65125663522945998</v>
      </c>
      <c r="AD19">
        <v>-354010.57658680697</v>
      </c>
      <c r="AE19">
        <v>-482652.478643952</v>
      </c>
      <c r="AF19">
        <v>0.376038857803</v>
      </c>
      <c r="AG19">
        <v>0.15081</v>
      </c>
    </row>
    <row r="20" spans="1:33" x14ac:dyDescent="0.25">
      <c r="A20">
        <v>64800</v>
      </c>
      <c r="B20">
        <v>5418.75</v>
      </c>
      <c r="C20">
        <v>1022968.75</v>
      </c>
      <c r="D20">
        <v>-439046.44374470599</v>
      </c>
      <c r="E20">
        <v>-153712.5</v>
      </c>
      <c r="F20">
        <v>-173667.91666666701</v>
      </c>
      <c r="G20">
        <v>-206847.78824215801</v>
      </c>
      <c r="H20">
        <v>0</v>
      </c>
      <c r="I20">
        <v>-312500</v>
      </c>
      <c r="J20">
        <v>0</v>
      </c>
      <c r="K20">
        <v>286133</v>
      </c>
      <c r="L20">
        <v>192268.50859695699</v>
      </c>
      <c r="M20">
        <v>-209494.734426938</v>
      </c>
      <c r="N20">
        <v>-370499.99985179998</v>
      </c>
      <c r="O20">
        <v>0</v>
      </c>
      <c r="P20">
        <v>-10537.1900784298</v>
      </c>
      <c r="Q20">
        <v>-10537.1900784298</v>
      </c>
      <c r="R20">
        <v>-10537.1900784298</v>
      </c>
      <c r="S20">
        <v>-10537.1900784298</v>
      </c>
      <c r="T20">
        <v>-10537.1900784298</v>
      </c>
      <c r="U20">
        <v>-10537.1900784298</v>
      </c>
      <c r="V20">
        <v>-10537.1900784298</v>
      </c>
      <c r="W20">
        <v>-10537.1900784298</v>
      </c>
      <c r="X20">
        <v>-10537.1900784298</v>
      </c>
      <c r="Y20">
        <v>-10537.1900784298</v>
      </c>
      <c r="Z20">
        <v>0.54635912319184798</v>
      </c>
      <c r="AA20">
        <v>0.5</v>
      </c>
      <c r="AB20">
        <v>0.46644202039235899</v>
      </c>
      <c r="AC20">
        <v>0.69410151128847797</v>
      </c>
      <c r="AD20">
        <v>-257387.14865352999</v>
      </c>
      <c r="AE20">
        <v>-206965.126466079</v>
      </c>
      <c r="AF20">
        <v>0.39354629096600002</v>
      </c>
      <c r="AG20">
        <v>0.15925</v>
      </c>
    </row>
    <row r="21" spans="1:33" x14ac:dyDescent="0.25">
      <c r="A21">
        <v>68400</v>
      </c>
      <c r="B21">
        <v>6312.5</v>
      </c>
      <c r="C21">
        <v>492531.25</v>
      </c>
      <c r="D21">
        <v>-469020.34109207703</v>
      </c>
      <c r="E21">
        <v>-322843.75</v>
      </c>
      <c r="F21">
        <v>0</v>
      </c>
      <c r="G21">
        <v>0</v>
      </c>
      <c r="H21">
        <v>0</v>
      </c>
      <c r="I21">
        <v>-29823.408907922501</v>
      </c>
      <c r="J21">
        <v>0</v>
      </c>
      <c r="K21">
        <v>242529</v>
      </c>
      <c r="L21">
        <v>100000</v>
      </c>
      <c r="M21">
        <v>3296.5989063952702</v>
      </c>
      <c r="N21">
        <v>-496083.33313490002</v>
      </c>
      <c r="O21">
        <v>0</v>
      </c>
      <c r="P21">
        <v>-10537.1900784298</v>
      </c>
      <c r="Q21">
        <v>-10537.1900784298</v>
      </c>
      <c r="R21">
        <v>-10537.1900784298</v>
      </c>
      <c r="S21">
        <v>-10537.1900784298</v>
      </c>
      <c r="T21">
        <v>-10537.1900784298</v>
      </c>
      <c r="U21">
        <v>-10537.1900784298</v>
      </c>
      <c r="V21">
        <v>-10537.1900784298</v>
      </c>
      <c r="W21">
        <v>-10537.1900784298</v>
      </c>
      <c r="X21">
        <v>-10537.1900784298</v>
      </c>
      <c r="Y21">
        <v>-10537.1900784298</v>
      </c>
      <c r="Z21">
        <v>0.56957610868675101</v>
      </c>
      <c r="AA21">
        <v>0.5</v>
      </c>
      <c r="AB21">
        <v>0.49638284332891203</v>
      </c>
      <c r="AC21">
        <v>0.69342730641193495</v>
      </c>
      <c r="AD21">
        <v>-322843.75</v>
      </c>
      <c r="AE21">
        <v>-255629.63501280299</v>
      </c>
      <c r="AF21">
        <v>0.42032538082199999</v>
      </c>
      <c r="AG21">
        <v>0.17466000000000001</v>
      </c>
    </row>
    <row r="22" spans="1:33" x14ac:dyDescent="0.25">
      <c r="A22">
        <v>72000</v>
      </c>
      <c r="B22">
        <v>27268.75</v>
      </c>
      <c r="C22">
        <v>144518.75</v>
      </c>
      <c r="D22">
        <v>-529796.71724724898</v>
      </c>
      <c r="E22">
        <v>-361700</v>
      </c>
      <c r="F22">
        <v>0</v>
      </c>
      <c r="G22">
        <v>111540.93746002601</v>
      </c>
      <c r="H22">
        <v>0</v>
      </c>
      <c r="I22">
        <v>246468.279787223</v>
      </c>
      <c r="J22">
        <v>0</v>
      </c>
      <c r="K22">
        <v>107203</v>
      </c>
      <c r="L22">
        <v>100000</v>
      </c>
      <c r="M22">
        <v>163503.00661989301</v>
      </c>
      <c r="N22">
        <v>-464666.66648080002</v>
      </c>
      <c r="O22">
        <v>0</v>
      </c>
      <c r="P22">
        <v>-2634.2975196074399</v>
      </c>
      <c r="Q22">
        <v>-2634.2975196074399</v>
      </c>
      <c r="R22">
        <v>-2634.2975196074399</v>
      </c>
      <c r="S22">
        <v>-2634.2975196074399</v>
      </c>
      <c r="T22">
        <v>-2634.2975196074399</v>
      </c>
      <c r="U22">
        <v>-2634.2975196074399</v>
      </c>
      <c r="V22">
        <v>-2634.2975196074399</v>
      </c>
      <c r="W22">
        <v>-2634.2975196074399</v>
      </c>
      <c r="X22">
        <v>-2634.2975196074399</v>
      </c>
      <c r="Y22">
        <v>-2634.2975196074399</v>
      </c>
      <c r="Z22">
        <v>0.56957610868675101</v>
      </c>
      <c r="AA22">
        <v>0.5</v>
      </c>
      <c r="AB22">
        <v>0.44994962184103099</v>
      </c>
      <c r="AC22">
        <v>0.65998844183584504</v>
      </c>
      <c r="AD22">
        <v>-361700</v>
      </c>
      <c r="AE22">
        <v>-120303.635056981</v>
      </c>
      <c r="AF22">
        <v>0.43106772049499997</v>
      </c>
      <c r="AG22">
        <v>0.17777000000000001</v>
      </c>
    </row>
    <row r="23" spans="1:33" x14ac:dyDescent="0.25">
      <c r="A23">
        <v>75600</v>
      </c>
      <c r="B23">
        <v>91837.5</v>
      </c>
      <c r="C23">
        <v>12837.5</v>
      </c>
      <c r="D23">
        <v>-531510.10673543904</v>
      </c>
      <c r="E23">
        <v>-306612.5</v>
      </c>
      <c r="F23">
        <v>0</v>
      </c>
      <c r="G23">
        <v>180366.82694821601</v>
      </c>
      <c r="H23">
        <v>0</v>
      </c>
      <c r="I23">
        <v>246468.279787223</v>
      </c>
      <c r="J23">
        <v>0</v>
      </c>
      <c r="K23">
        <v>-5973.58</v>
      </c>
      <c r="L23">
        <v>100000</v>
      </c>
      <c r="M23">
        <v>195189.49995322601</v>
      </c>
      <c r="N23">
        <v>-269999.99989199999</v>
      </c>
      <c r="O23">
        <v>0</v>
      </c>
      <c r="P23">
        <v>-2634.2975196074399</v>
      </c>
      <c r="Q23">
        <v>-2634.2975196074399</v>
      </c>
      <c r="R23">
        <v>-2634.2975196074399</v>
      </c>
      <c r="S23">
        <v>-2634.2975196074399</v>
      </c>
      <c r="T23">
        <v>-2634.2975196074399</v>
      </c>
      <c r="U23">
        <v>-2634.2975196074399</v>
      </c>
      <c r="V23">
        <v>-2634.2975196074399</v>
      </c>
      <c r="W23">
        <v>-2634.2975196074399</v>
      </c>
      <c r="X23">
        <v>-2634.2975196074399</v>
      </c>
      <c r="Y23">
        <v>-2634.2975196074399</v>
      </c>
      <c r="Z23">
        <v>0.55715526542419502</v>
      </c>
      <c r="AA23">
        <v>0.5</v>
      </c>
      <c r="AB23">
        <v>0.34790468739741098</v>
      </c>
      <c r="AC23">
        <v>0.620069204932856</v>
      </c>
      <c r="AD23">
        <v>-306612.5</v>
      </c>
      <c r="AE23">
        <v>-7127.0551348483996</v>
      </c>
      <c r="AF23">
        <v>0.38201447372899999</v>
      </c>
      <c r="AG23">
        <v>0.17731</v>
      </c>
    </row>
    <row r="24" spans="1:33" x14ac:dyDescent="0.25">
      <c r="A24">
        <v>79200</v>
      </c>
      <c r="B24">
        <v>1556.25</v>
      </c>
      <c r="C24">
        <v>0</v>
      </c>
      <c r="D24">
        <v>-503619.50611575902</v>
      </c>
      <c r="E24">
        <v>-123925</v>
      </c>
      <c r="F24">
        <v>0</v>
      </c>
      <c r="G24">
        <v>255594.97632853599</v>
      </c>
      <c r="H24">
        <v>0</v>
      </c>
      <c r="I24">
        <v>246468.279787223</v>
      </c>
      <c r="J24">
        <v>0</v>
      </c>
      <c r="K24">
        <v>-4344.93</v>
      </c>
      <c r="L24">
        <v>100000</v>
      </c>
      <c r="M24">
        <v>47515.533286559803</v>
      </c>
      <c r="N24">
        <v>-125583.3332831</v>
      </c>
      <c r="O24">
        <v>0</v>
      </c>
      <c r="P24">
        <v>-2634.2975196074399</v>
      </c>
      <c r="Q24">
        <v>-2634.2975196074399</v>
      </c>
      <c r="R24">
        <v>-2634.2975196074399</v>
      </c>
      <c r="S24">
        <v>-2634.2975196074399</v>
      </c>
      <c r="T24">
        <v>-2634.2975196074399</v>
      </c>
      <c r="U24">
        <v>-2634.2975196074399</v>
      </c>
      <c r="V24">
        <v>-2634.2975196074399</v>
      </c>
      <c r="W24">
        <v>-2634.2975196074399</v>
      </c>
      <c r="X24">
        <v>-2634.2975196074399</v>
      </c>
      <c r="Y24">
        <v>-2634.2975196074399</v>
      </c>
      <c r="Z24">
        <v>0.53707271465400497</v>
      </c>
      <c r="AA24">
        <v>0.5</v>
      </c>
      <c r="AB24">
        <v>0.24585975295379001</v>
      </c>
      <c r="AC24">
        <v>0.61035155193260404</v>
      </c>
      <c r="AD24">
        <v>-123925</v>
      </c>
      <c r="AE24">
        <v>-8755.7051926145905</v>
      </c>
      <c r="AF24">
        <v>0.38366136676599999</v>
      </c>
      <c r="AG24">
        <v>0.16755999999999999</v>
      </c>
    </row>
    <row r="25" spans="1:33" x14ac:dyDescent="0.25">
      <c r="A25">
        <v>82800</v>
      </c>
      <c r="B25">
        <v>0</v>
      </c>
      <c r="C25">
        <v>0</v>
      </c>
      <c r="D25">
        <v>-499310.85559989797</v>
      </c>
      <c r="E25">
        <v>0</v>
      </c>
      <c r="F25">
        <v>0</v>
      </c>
      <c r="G25">
        <v>252842.57581267599</v>
      </c>
      <c r="H25">
        <v>0</v>
      </c>
      <c r="I25">
        <v>246468.279787223</v>
      </c>
      <c r="J25">
        <v>0</v>
      </c>
      <c r="K25">
        <v>-1773.74</v>
      </c>
      <c r="L25">
        <v>100000</v>
      </c>
      <c r="M25">
        <v>-77548.334316745997</v>
      </c>
      <c r="N25">
        <v>-18833.333325799998</v>
      </c>
      <c r="O25">
        <v>0</v>
      </c>
      <c r="P25">
        <v>-1317.1487598037199</v>
      </c>
      <c r="Q25">
        <v>-1317.1487598037199</v>
      </c>
      <c r="R25">
        <v>-1317.1487598037199</v>
      </c>
      <c r="S25">
        <v>-1317.1487598037199</v>
      </c>
      <c r="T25">
        <v>-1317.1487598037199</v>
      </c>
      <c r="U25">
        <v>-1317.1487598037199</v>
      </c>
      <c r="V25">
        <v>-1317.1487598037199</v>
      </c>
      <c r="W25">
        <v>-1317.1487598037199</v>
      </c>
      <c r="X25">
        <v>-1317.1487598037199</v>
      </c>
      <c r="Y25">
        <v>-1317.1487598037199</v>
      </c>
      <c r="Z25">
        <v>0.50855310258742603</v>
      </c>
      <c r="AA25">
        <v>0.5</v>
      </c>
      <c r="AB25">
        <v>0.14381481851017</v>
      </c>
      <c r="AC25">
        <v>0.62621137190122</v>
      </c>
      <c r="AD25">
        <v>5.5297277867793996E-10</v>
      </c>
      <c r="AE25">
        <v>-11326.895240583201</v>
      </c>
      <c r="AF25">
        <v>0.37471740958900002</v>
      </c>
      <c r="AG25">
        <v>0.16036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7596-DC9E-4FAB-8B04-F1C5C7A32D65}">
  <dimension ref="A1:AG25"/>
  <sheetViews>
    <sheetView workbookViewId="0">
      <selection activeCell="M31" sqref="M31"/>
    </sheetView>
  </sheetViews>
  <sheetFormatPr baseColWidth="10" defaultRowHeight="15" x14ac:dyDescent="0.25"/>
  <cols>
    <col min="1" max="1" width="6" bestFit="1" customWidth="1"/>
    <col min="2" max="2" width="11.85546875" bestFit="1" customWidth="1"/>
    <col min="3" max="3" width="11" bestFit="1" customWidth="1"/>
    <col min="4" max="4" width="12.7109375" bestFit="1" customWidth="1"/>
    <col min="5" max="5" width="10.7109375" bestFit="1" customWidth="1"/>
    <col min="6" max="7" width="12.7109375" bestFit="1" customWidth="1"/>
    <col min="9" max="9" width="12.7109375" bestFit="1" customWidth="1"/>
    <col min="10" max="10" width="7.140625" bestFit="1" customWidth="1"/>
    <col min="11" max="11" width="8.28515625" bestFit="1" customWidth="1"/>
    <col min="12" max="12" width="12" bestFit="1" customWidth="1"/>
    <col min="13" max="22" width="13.42578125" bestFit="1" customWidth="1"/>
    <col min="23" max="25" width="14.42578125" bestFit="1" customWidth="1"/>
    <col min="26" max="26" width="12" bestFit="1" customWidth="1"/>
    <col min="27" max="27" width="10" bestFit="1" customWidth="1"/>
    <col min="28" max="29" width="12" bestFit="1" customWidth="1"/>
    <col min="30" max="31" width="12.7109375" bestFit="1" customWidth="1"/>
    <col min="32" max="32" width="12" bestFit="1" customWidth="1"/>
    <col min="33" max="33" width="9.7109375" bestFit="1" customWidth="1"/>
  </cols>
  <sheetData>
    <row r="1" spans="1:33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</row>
    <row r="2" spans="1:33" x14ac:dyDescent="0.25">
      <c r="A2">
        <v>0</v>
      </c>
      <c r="B2">
        <v>883606.25</v>
      </c>
      <c r="C2">
        <v>0</v>
      </c>
      <c r="D2">
        <v>-413727.91280890797</v>
      </c>
      <c r="E2">
        <v>0</v>
      </c>
      <c r="F2">
        <v>0</v>
      </c>
      <c r="G2">
        <v>-157378.337191092</v>
      </c>
      <c r="H2">
        <v>0</v>
      </c>
      <c r="I2">
        <v>-312500</v>
      </c>
      <c r="J2">
        <v>0</v>
      </c>
      <c r="K2">
        <v>-1549.58</v>
      </c>
      <c r="L2">
        <v>100000</v>
      </c>
      <c r="M2">
        <v>-433488.756516614</v>
      </c>
      <c r="N2">
        <v>-62749.999974899998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0.5</v>
      </c>
      <c r="AC2">
        <v>0.58865507811801199</v>
      </c>
      <c r="AD2">
        <v>4.65661287307739E-10</v>
      </c>
      <c r="AE2">
        <v>-397788.336491514</v>
      </c>
      <c r="AF2">
        <v>0.22596440601699999</v>
      </c>
      <c r="AG2">
        <v>0.12923000000000001</v>
      </c>
    </row>
    <row r="3" spans="1:33" x14ac:dyDescent="0.25">
      <c r="A3">
        <v>3600</v>
      </c>
      <c r="B3">
        <v>650893.75</v>
      </c>
      <c r="C3">
        <v>0</v>
      </c>
      <c r="D3">
        <v>-381738.225799268</v>
      </c>
      <c r="E3">
        <v>0</v>
      </c>
      <c r="F3">
        <v>0</v>
      </c>
      <c r="G3">
        <v>0</v>
      </c>
      <c r="H3">
        <v>0</v>
      </c>
      <c r="I3">
        <v>-269155.524200732</v>
      </c>
      <c r="J3">
        <v>0</v>
      </c>
      <c r="K3">
        <v>-1363.49</v>
      </c>
      <c r="L3">
        <v>100000</v>
      </c>
      <c r="M3">
        <v>-433860.93651661399</v>
      </c>
      <c r="N3">
        <v>-62749.999974899998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0.52388148156038605</v>
      </c>
      <c r="AA3">
        <v>0.5</v>
      </c>
      <c r="AB3">
        <v>0.55087366100880997</v>
      </c>
      <c r="AC3">
        <v>0.67738627273611396</v>
      </c>
      <c r="AD3">
        <v>-1.16415321826935E-10</v>
      </c>
      <c r="AE3">
        <v>-397974.42649151402</v>
      </c>
      <c r="AF3">
        <v>0.22066496399800001</v>
      </c>
      <c r="AG3">
        <v>0.12206</v>
      </c>
    </row>
    <row r="4" spans="1:33" x14ac:dyDescent="0.25">
      <c r="A4">
        <v>7200</v>
      </c>
      <c r="B4">
        <v>712950</v>
      </c>
      <c r="C4">
        <v>0</v>
      </c>
      <c r="D4">
        <v>-402685.646823544</v>
      </c>
      <c r="E4">
        <v>0</v>
      </c>
      <c r="F4">
        <v>0</v>
      </c>
      <c r="G4">
        <v>0</v>
      </c>
      <c r="H4">
        <v>0</v>
      </c>
      <c r="I4">
        <v>-310264.353176456</v>
      </c>
      <c r="J4">
        <v>0</v>
      </c>
      <c r="K4">
        <v>-1305.8499999999999</v>
      </c>
      <c r="L4">
        <v>100000</v>
      </c>
      <c r="M4">
        <v>-433976.21651661402</v>
      </c>
      <c r="N4">
        <v>-62749.999974899998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0.52388148156038605</v>
      </c>
      <c r="AA4">
        <v>0.5</v>
      </c>
      <c r="AB4">
        <v>0.60155178439457002</v>
      </c>
      <c r="AC4">
        <v>0.76614104387667803</v>
      </c>
      <c r="AD4">
        <v>4.65661287307739E-10</v>
      </c>
      <c r="AE4">
        <v>-398032.06649151398</v>
      </c>
      <c r="AF4">
        <v>0.21213418467100001</v>
      </c>
      <c r="AG4">
        <v>0.11139</v>
      </c>
    </row>
    <row r="5" spans="1:33" x14ac:dyDescent="0.25">
      <c r="A5">
        <v>10800</v>
      </c>
      <c r="B5">
        <v>646381.25</v>
      </c>
      <c r="C5">
        <v>0</v>
      </c>
      <c r="D5">
        <v>-402794.788299268</v>
      </c>
      <c r="E5">
        <v>0</v>
      </c>
      <c r="F5">
        <v>0</v>
      </c>
      <c r="G5">
        <v>0</v>
      </c>
      <c r="H5">
        <v>0</v>
      </c>
      <c r="I5">
        <v>-243586.461700732</v>
      </c>
      <c r="J5">
        <v>0</v>
      </c>
      <c r="K5">
        <v>-1270</v>
      </c>
      <c r="L5">
        <v>100000</v>
      </c>
      <c r="M5">
        <v>-434047.91651661397</v>
      </c>
      <c r="N5">
        <v>-62749.999974899998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0.52388148156038605</v>
      </c>
      <c r="AA5">
        <v>0.5</v>
      </c>
      <c r="AB5">
        <v>0.64999354662872699</v>
      </c>
      <c r="AC5">
        <v>0.85491047876342996</v>
      </c>
      <c r="AD5">
        <v>-1.16415321826935E-10</v>
      </c>
      <c r="AE5">
        <v>-398067.91649151401</v>
      </c>
      <c r="AF5">
        <v>0.20442175965699999</v>
      </c>
      <c r="AG5">
        <v>0.10306999999999999</v>
      </c>
    </row>
    <row r="6" spans="1:33" x14ac:dyDescent="0.25">
      <c r="A6">
        <v>14400</v>
      </c>
      <c r="B6">
        <v>713575</v>
      </c>
      <c r="C6">
        <v>0</v>
      </c>
      <c r="D6">
        <v>-418048.459323544</v>
      </c>
      <c r="E6">
        <v>0</v>
      </c>
      <c r="F6">
        <v>0</v>
      </c>
      <c r="G6">
        <v>0</v>
      </c>
      <c r="H6">
        <v>0</v>
      </c>
      <c r="I6">
        <v>-295526.540676456</v>
      </c>
      <c r="J6">
        <v>0</v>
      </c>
      <c r="K6">
        <v>-1192.53</v>
      </c>
      <c r="L6">
        <v>100000</v>
      </c>
      <c r="M6">
        <v>-434202.85651661397</v>
      </c>
      <c r="N6">
        <v>-62749.999974899998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0.52388148156038605</v>
      </c>
      <c r="AA6">
        <v>0.5</v>
      </c>
      <c r="AB6">
        <v>0.69714628736142503</v>
      </c>
      <c r="AC6">
        <v>0.94371160124898901</v>
      </c>
      <c r="AD6">
        <v>4.65661287307739E-10</v>
      </c>
      <c r="AE6">
        <v>-398145.38649151399</v>
      </c>
      <c r="AF6">
        <v>0.19963201558800001</v>
      </c>
      <c r="AG6">
        <v>0.10038999999999999</v>
      </c>
    </row>
    <row r="7" spans="1:33" x14ac:dyDescent="0.25">
      <c r="A7">
        <v>18000</v>
      </c>
      <c r="B7">
        <v>495637.5</v>
      </c>
      <c r="C7">
        <v>0</v>
      </c>
      <c r="D7">
        <v>-526019.59919024503</v>
      </c>
      <c r="E7">
        <v>0</v>
      </c>
      <c r="F7">
        <v>0</v>
      </c>
      <c r="G7">
        <v>0</v>
      </c>
      <c r="H7">
        <v>0</v>
      </c>
      <c r="I7">
        <v>30382.099190245099</v>
      </c>
      <c r="J7">
        <v>0</v>
      </c>
      <c r="K7">
        <v>-45750.2</v>
      </c>
      <c r="L7">
        <v>100000</v>
      </c>
      <c r="M7">
        <v>0</v>
      </c>
      <c r="N7">
        <v>-62749.999974899998</v>
      </c>
      <c r="O7">
        <v>0</v>
      </c>
      <c r="P7">
        <v>-2634.2975196074399</v>
      </c>
      <c r="Q7">
        <v>-2634.2975196074399</v>
      </c>
      <c r="R7">
        <v>-2634.2975196074399</v>
      </c>
      <c r="S7">
        <v>-2634.2975196074399</v>
      </c>
      <c r="T7">
        <v>-2634.2975196074399</v>
      </c>
      <c r="U7">
        <v>-2634.2975196074399</v>
      </c>
      <c r="V7">
        <v>-2634.2975196074399</v>
      </c>
      <c r="W7">
        <v>-2634.2975196074399</v>
      </c>
      <c r="X7">
        <v>-2634.2975196074399</v>
      </c>
      <c r="Y7">
        <v>-2634.2975196074399</v>
      </c>
      <c r="Z7">
        <v>0.52388148156038605</v>
      </c>
      <c r="AA7">
        <v>0.5</v>
      </c>
      <c r="AB7">
        <v>0.72033676329316398</v>
      </c>
      <c r="AC7">
        <v>1</v>
      </c>
      <c r="AD7">
        <v>-5.0931703299284001E-11</v>
      </c>
      <c r="AE7">
        <v>-34843.175170974398</v>
      </c>
      <c r="AF7">
        <v>0.201946727455</v>
      </c>
      <c r="AG7">
        <v>0.10306999999999999</v>
      </c>
    </row>
    <row r="8" spans="1:33" x14ac:dyDescent="0.25">
      <c r="A8">
        <v>21600</v>
      </c>
      <c r="B8">
        <v>293306.25</v>
      </c>
      <c r="C8">
        <v>0</v>
      </c>
      <c r="D8">
        <v>-553850.69417347398</v>
      </c>
      <c r="E8">
        <v>0</v>
      </c>
      <c r="F8">
        <v>0</v>
      </c>
      <c r="G8">
        <v>34016.449470072999</v>
      </c>
      <c r="H8">
        <v>0</v>
      </c>
      <c r="I8">
        <v>163004.816233297</v>
      </c>
      <c r="J8">
        <v>0</v>
      </c>
      <c r="K8">
        <v>-45714.1</v>
      </c>
      <c r="L8">
        <v>100000</v>
      </c>
      <c r="M8">
        <v>200423.62864515101</v>
      </c>
      <c r="N8">
        <v>-188333.333258</v>
      </c>
      <c r="O8">
        <v>-367314.061268283</v>
      </c>
      <c r="P8">
        <v>-5268.5950392148798</v>
      </c>
      <c r="Q8">
        <v>-5268.5950392148798</v>
      </c>
      <c r="R8">
        <v>-5268.5950392148798</v>
      </c>
      <c r="S8">
        <v>-5268.5950392148798</v>
      </c>
      <c r="T8">
        <v>-5268.5950392148798</v>
      </c>
      <c r="U8">
        <v>-5268.5950392148798</v>
      </c>
      <c r="V8">
        <v>-5268.5950392148798</v>
      </c>
      <c r="W8">
        <v>-5268.5950392148798</v>
      </c>
      <c r="X8">
        <v>-5268.5950392148798</v>
      </c>
      <c r="Y8">
        <v>-5268.5950392148798</v>
      </c>
      <c r="Z8">
        <v>0.52388148156038605</v>
      </c>
      <c r="AA8">
        <v>0.5</v>
      </c>
      <c r="AB8">
        <v>0.68030289945542</v>
      </c>
      <c r="AC8">
        <v>0.95901030375732399</v>
      </c>
      <c r="AD8">
        <v>-63523.178470104103</v>
      </c>
      <c r="AE8">
        <v>-353623.816273281</v>
      </c>
      <c r="AF8">
        <v>0.20343714761100001</v>
      </c>
      <c r="AG8">
        <v>0.1104</v>
      </c>
    </row>
    <row r="9" spans="1:33" x14ac:dyDescent="0.25">
      <c r="A9">
        <v>25200</v>
      </c>
      <c r="B9">
        <v>171306.25</v>
      </c>
      <c r="C9">
        <v>0</v>
      </c>
      <c r="D9">
        <v>-673178.22010860895</v>
      </c>
      <c r="E9">
        <v>0</v>
      </c>
      <c r="F9">
        <v>-217047.08333333299</v>
      </c>
      <c r="G9">
        <v>34016.449470072999</v>
      </c>
      <c r="H9">
        <v>0</v>
      </c>
      <c r="I9">
        <v>163004.816233297</v>
      </c>
      <c r="J9">
        <v>0</v>
      </c>
      <c r="K9">
        <v>-46852.7</v>
      </c>
      <c r="L9">
        <v>100000</v>
      </c>
      <c r="M9">
        <v>627146.42093165102</v>
      </c>
      <c r="N9">
        <v>-533749.9997865</v>
      </c>
      <c r="O9">
        <v>-367314.061268283</v>
      </c>
      <c r="P9">
        <v>-13171.4875980372</v>
      </c>
      <c r="Q9">
        <v>-13171.4875980372</v>
      </c>
      <c r="R9">
        <v>-13171.4875980372</v>
      </c>
      <c r="S9">
        <v>-13171.4875980372</v>
      </c>
      <c r="T9">
        <v>-13171.4875980372</v>
      </c>
      <c r="U9">
        <v>-13171.4875980372</v>
      </c>
      <c r="V9">
        <v>-13171.4875980372</v>
      </c>
      <c r="W9">
        <v>-13171.4875980372</v>
      </c>
      <c r="X9">
        <v>-13171.4875980372</v>
      </c>
      <c r="Y9">
        <v>-13171.4875980372</v>
      </c>
      <c r="Z9">
        <v>0.52006479312991105</v>
      </c>
      <c r="AA9">
        <v>0.5</v>
      </c>
      <c r="AB9">
        <v>0.61281423194461004</v>
      </c>
      <c r="AC9">
        <v>0.83074927252341202</v>
      </c>
      <c r="AD9">
        <v>-521897.78773857199</v>
      </c>
      <c r="AE9">
        <v>-352485.21610350301</v>
      </c>
      <c r="AF9">
        <v>0.20205051295199999</v>
      </c>
      <c r="AG9">
        <v>0.12137000000000001</v>
      </c>
    </row>
    <row r="10" spans="1:33" x14ac:dyDescent="0.25">
      <c r="A10">
        <v>28800</v>
      </c>
      <c r="B10">
        <v>86112.5</v>
      </c>
      <c r="C10">
        <v>8731.25</v>
      </c>
      <c r="D10">
        <v>-776580.29099036905</v>
      </c>
      <c r="E10">
        <v>0</v>
      </c>
      <c r="F10">
        <v>-439570.83333333302</v>
      </c>
      <c r="G10">
        <v>34016.449470072999</v>
      </c>
      <c r="H10">
        <v>0</v>
      </c>
      <c r="I10">
        <v>163004.816233297</v>
      </c>
      <c r="J10">
        <v>0</v>
      </c>
      <c r="K10">
        <v>-45140.4</v>
      </c>
      <c r="L10">
        <v>205782.751685597</v>
      </c>
      <c r="M10">
        <v>638859.56197848404</v>
      </c>
      <c r="N10">
        <v>-627916.66641549999</v>
      </c>
      <c r="O10">
        <v>-367314.061268283</v>
      </c>
      <c r="P10">
        <v>-5268.5950392148798</v>
      </c>
      <c r="Q10">
        <v>-5268.5950392148798</v>
      </c>
      <c r="R10">
        <v>-5268.5950392148798</v>
      </c>
      <c r="S10">
        <v>-5268.5950392148798</v>
      </c>
      <c r="T10">
        <v>-5268.5950392148798</v>
      </c>
      <c r="U10">
        <v>-5268.5950392148798</v>
      </c>
      <c r="V10">
        <v>-5268.5950392148798</v>
      </c>
      <c r="W10">
        <v>-5268.5950392148798</v>
      </c>
      <c r="X10">
        <v>-5268.5950392148798</v>
      </c>
      <c r="Y10">
        <v>-5268.5950392148798</v>
      </c>
      <c r="Z10">
        <v>0.51624825321957002</v>
      </c>
      <c r="AA10">
        <v>0.5</v>
      </c>
      <c r="AB10">
        <v>0.54532556443379998</v>
      </c>
      <c r="AC10">
        <v>0.70009272486859198</v>
      </c>
      <c r="AD10">
        <v>-924286.10862033302</v>
      </c>
      <c r="AE10">
        <v>-248414.76441184999</v>
      </c>
      <c r="AF10">
        <v>0.24298138992900001</v>
      </c>
      <c r="AG10">
        <v>0.13938999999999999</v>
      </c>
    </row>
    <row r="11" spans="1:33" x14ac:dyDescent="0.25">
      <c r="A11">
        <v>32400</v>
      </c>
      <c r="B11">
        <v>99256.25</v>
      </c>
      <c r="C11">
        <v>269143.75</v>
      </c>
      <c r="D11">
        <v>-785338.42638726695</v>
      </c>
      <c r="E11">
        <v>0</v>
      </c>
      <c r="F11">
        <v>-225836.66666666701</v>
      </c>
      <c r="G11">
        <v>34016.449470072999</v>
      </c>
      <c r="H11">
        <v>0</v>
      </c>
      <c r="I11">
        <v>163004.816233297</v>
      </c>
      <c r="J11">
        <v>0</v>
      </c>
      <c r="K11">
        <v>3606.61</v>
      </c>
      <c r="L11">
        <v>314511.48596297501</v>
      </c>
      <c r="M11">
        <v>351184.41250190098</v>
      </c>
      <c r="N11">
        <v>-477249.9998091</v>
      </c>
      <c r="O11">
        <v>-367314.061268283</v>
      </c>
      <c r="P11">
        <v>-1317.1487598037199</v>
      </c>
      <c r="Q11">
        <v>-1317.1487598037199</v>
      </c>
      <c r="R11">
        <v>-1317.1487598037199</v>
      </c>
      <c r="S11">
        <v>-1317.1487598037199</v>
      </c>
      <c r="T11">
        <v>-1317.1487598037199</v>
      </c>
      <c r="U11">
        <v>-1317.1487598037199</v>
      </c>
      <c r="V11">
        <v>-1317.1487598037199</v>
      </c>
      <c r="W11">
        <v>-1317.1487598037199</v>
      </c>
      <c r="X11">
        <v>-1317.1487598037199</v>
      </c>
      <c r="Y11">
        <v>-1317.1487598037199</v>
      </c>
      <c r="Z11">
        <v>0.51242950744976501</v>
      </c>
      <c r="AA11">
        <v>0.5</v>
      </c>
      <c r="AB11">
        <v>0.47783689692298997</v>
      </c>
      <c r="AC11">
        <v>0.62827014341487597</v>
      </c>
      <c r="AD11">
        <v>-445753.82735056401</v>
      </c>
      <c r="AE11">
        <v>-188433.04021054399</v>
      </c>
      <c r="AF11">
        <v>0.23431761587300001</v>
      </c>
      <c r="AG11">
        <v>0.13416</v>
      </c>
    </row>
    <row r="12" spans="1:33" x14ac:dyDescent="0.25">
      <c r="A12">
        <v>36000</v>
      </c>
      <c r="B12">
        <v>110050</v>
      </c>
      <c r="C12">
        <v>606043.75</v>
      </c>
      <c r="D12">
        <v>-725172.51018498605</v>
      </c>
      <c r="E12">
        <v>0</v>
      </c>
      <c r="F12">
        <v>-341038.75</v>
      </c>
      <c r="G12">
        <v>0</v>
      </c>
      <c r="H12">
        <v>0</v>
      </c>
      <c r="I12">
        <v>9078.7601849855291</v>
      </c>
      <c r="J12">
        <v>0</v>
      </c>
      <c r="K12">
        <v>12385.4</v>
      </c>
      <c r="L12">
        <v>318603.59209376702</v>
      </c>
      <c r="M12">
        <v>219955.34489859399</v>
      </c>
      <c r="N12">
        <v>-376749.99984930002</v>
      </c>
      <c r="O12">
        <v>-367314.061268283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0.50860855314875397</v>
      </c>
      <c r="AA12">
        <v>0.5</v>
      </c>
      <c r="AB12">
        <v>0.442213129658522</v>
      </c>
      <c r="AC12">
        <v>0.58328591258693796</v>
      </c>
      <c r="AD12">
        <v>-341038.75</v>
      </c>
      <c r="AE12">
        <v>-193119.72412522201</v>
      </c>
      <c r="AF12">
        <v>0.27657505195799997</v>
      </c>
      <c r="AG12">
        <v>0.13064000000000001</v>
      </c>
    </row>
    <row r="13" spans="1:33" x14ac:dyDescent="0.25">
      <c r="A13">
        <v>39600</v>
      </c>
      <c r="B13">
        <v>177493.75</v>
      </c>
      <c r="C13">
        <v>762643.75</v>
      </c>
      <c r="D13">
        <v>-715931.47484859498</v>
      </c>
      <c r="E13">
        <v>0</v>
      </c>
      <c r="F13">
        <v>-647862.91666666698</v>
      </c>
      <c r="G13">
        <v>0</v>
      </c>
      <c r="H13">
        <v>0</v>
      </c>
      <c r="I13">
        <v>-224206.02515140499</v>
      </c>
      <c r="J13">
        <v>0</v>
      </c>
      <c r="K13">
        <v>41240.5</v>
      </c>
      <c r="L13">
        <v>334866.30619343597</v>
      </c>
      <c r="M13">
        <v>182156.85328463599</v>
      </c>
      <c r="N13">
        <v>-364166.66652099998</v>
      </c>
      <c r="O13">
        <v>-399809.10297466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0.50860855314875397</v>
      </c>
      <c r="AA13">
        <v>0.5</v>
      </c>
      <c r="AB13">
        <v>0.460546537494187</v>
      </c>
      <c r="AC13">
        <v>0.54603205117782105</v>
      </c>
      <c r="AD13">
        <v>-647862.91666666605</v>
      </c>
      <c r="AE13">
        <v>-205712.11001758801</v>
      </c>
      <c r="AF13">
        <v>0.26729039461999998</v>
      </c>
      <c r="AG13">
        <v>0.12213</v>
      </c>
    </row>
    <row r="14" spans="1:33" x14ac:dyDescent="0.25">
      <c r="A14">
        <v>43200</v>
      </c>
      <c r="B14">
        <v>218537.5</v>
      </c>
      <c r="C14">
        <v>1555893.75</v>
      </c>
      <c r="D14">
        <v>-695637.84905450698</v>
      </c>
      <c r="E14">
        <v>0</v>
      </c>
      <c r="F14">
        <v>-651416.66666666698</v>
      </c>
      <c r="G14">
        <v>-312500</v>
      </c>
      <c r="H14">
        <v>0</v>
      </c>
      <c r="I14">
        <v>-312500</v>
      </c>
      <c r="J14">
        <v>0</v>
      </c>
      <c r="K14">
        <v>16147.5</v>
      </c>
      <c r="L14">
        <v>333650.63632317301</v>
      </c>
      <c r="M14">
        <v>187347.81156526101</v>
      </c>
      <c r="N14">
        <v>-351666.66652600002</v>
      </c>
      <c r="O14">
        <v>-367314.061268283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0.50860855314875397</v>
      </c>
      <c r="AA14">
        <v>0.5</v>
      </c>
      <c r="AB14">
        <v>0.50748875543745897</v>
      </c>
      <c r="AC14">
        <v>0.50771655943813998</v>
      </c>
      <c r="AD14">
        <v>-197623.26572117399</v>
      </c>
      <c r="AE14">
        <v>-181834.77990584899</v>
      </c>
      <c r="AF14">
        <v>0.26893663699800002</v>
      </c>
      <c r="AG14">
        <v>0.12146999999999999</v>
      </c>
    </row>
    <row r="15" spans="1:33" x14ac:dyDescent="0.25">
      <c r="A15">
        <v>46800</v>
      </c>
      <c r="B15">
        <v>205443.75</v>
      </c>
      <c r="C15">
        <v>816993.75</v>
      </c>
      <c r="D15">
        <v>-715072.35567917104</v>
      </c>
      <c r="E15">
        <v>0</v>
      </c>
      <c r="F15">
        <v>-25681.666666666701</v>
      </c>
      <c r="G15">
        <v>0</v>
      </c>
      <c r="H15">
        <v>0</v>
      </c>
      <c r="I15">
        <v>-307365.14432082901</v>
      </c>
      <c r="J15">
        <v>0</v>
      </c>
      <c r="K15">
        <v>88371.6</v>
      </c>
      <c r="L15">
        <v>320709.45500403899</v>
      </c>
      <c r="M15">
        <v>43487.765835234299</v>
      </c>
      <c r="N15">
        <v>-339083.33319769998</v>
      </c>
      <c r="O15">
        <v>-367314.061268283</v>
      </c>
      <c r="P15">
        <v>-1317.1487598037199</v>
      </c>
      <c r="Q15">
        <v>-1317.1487598037199</v>
      </c>
      <c r="R15">
        <v>-1317.1487598037199</v>
      </c>
      <c r="S15">
        <v>-1317.1487598037199</v>
      </c>
      <c r="T15">
        <v>-1317.1487598037199</v>
      </c>
      <c r="U15">
        <v>-1317.1487598037199</v>
      </c>
      <c r="V15">
        <v>-1317.1487598037199</v>
      </c>
      <c r="W15">
        <v>-1317.1487598037199</v>
      </c>
      <c r="X15">
        <v>-1317.1487598037199</v>
      </c>
      <c r="Y15">
        <v>-1317.1487598037199</v>
      </c>
      <c r="Z15">
        <v>0.54375271099850897</v>
      </c>
      <c r="AA15">
        <v>0.5</v>
      </c>
      <c r="AB15">
        <v>0.56170436572791005</v>
      </c>
      <c r="AC15">
        <v>0.498822646460369</v>
      </c>
      <c r="AD15">
        <v>-25681.666666666501</v>
      </c>
      <c r="AE15">
        <v>-267000.06122474698</v>
      </c>
      <c r="AF15">
        <v>0.26987173834900002</v>
      </c>
      <c r="AG15">
        <v>0.12146999999999999</v>
      </c>
    </row>
    <row r="16" spans="1:33" x14ac:dyDescent="0.25">
      <c r="A16">
        <v>50400</v>
      </c>
      <c r="B16">
        <v>62693.75</v>
      </c>
      <c r="C16">
        <v>572993.75</v>
      </c>
      <c r="D16">
        <v>-680614.99286732206</v>
      </c>
      <c r="E16">
        <v>0</v>
      </c>
      <c r="F16">
        <v>-341038.75</v>
      </c>
      <c r="G16">
        <v>0</v>
      </c>
      <c r="H16">
        <v>0</v>
      </c>
      <c r="I16">
        <v>44927.492867321598</v>
      </c>
      <c r="J16">
        <v>0</v>
      </c>
      <c r="K16">
        <v>158728</v>
      </c>
      <c r="L16">
        <v>198363.54906777001</v>
      </c>
      <c r="M16">
        <v>-122391.69647456</v>
      </c>
      <c r="N16">
        <v>-313916.66654110001</v>
      </c>
      <c r="O16">
        <v>-367314.061268283</v>
      </c>
      <c r="P16">
        <v>-1317.1487598037199</v>
      </c>
      <c r="Q16">
        <v>-1317.1487598037199</v>
      </c>
      <c r="R16">
        <v>-1317.1487598037199</v>
      </c>
      <c r="S16">
        <v>-1317.1487598037199</v>
      </c>
      <c r="T16">
        <v>-1317.1487598037199</v>
      </c>
      <c r="U16">
        <v>-1317.1487598037199</v>
      </c>
      <c r="V16">
        <v>-1317.1487598037199</v>
      </c>
      <c r="W16">
        <v>-1317.1487598037199</v>
      </c>
      <c r="X16">
        <v>-1317.1487598037199</v>
      </c>
      <c r="Y16">
        <v>-1317.1487598037199</v>
      </c>
      <c r="Z16">
        <v>0.54375271099850897</v>
      </c>
      <c r="AA16">
        <v>0.5</v>
      </c>
      <c r="AB16">
        <v>0.58465809617573905</v>
      </c>
      <c r="AC16">
        <v>0.52385361957981302</v>
      </c>
      <c r="AD16">
        <v>-341038.75</v>
      </c>
      <c r="AE16">
        <v>-459702.36281421001</v>
      </c>
      <c r="AF16">
        <v>0.21937999826099999</v>
      </c>
      <c r="AG16">
        <v>0.11917999999999999</v>
      </c>
    </row>
    <row r="17" spans="1:33" x14ac:dyDescent="0.25">
      <c r="A17">
        <v>54000</v>
      </c>
      <c r="B17">
        <v>71393.75</v>
      </c>
      <c r="C17">
        <v>389706.25</v>
      </c>
      <c r="D17">
        <v>-621010.31037919899</v>
      </c>
      <c r="E17">
        <v>0</v>
      </c>
      <c r="F17">
        <v>-630970.83333333302</v>
      </c>
      <c r="G17">
        <v>0</v>
      </c>
      <c r="H17">
        <v>0</v>
      </c>
      <c r="I17">
        <v>159910.31037919901</v>
      </c>
      <c r="J17">
        <v>0</v>
      </c>
      <c r="K17">
        <v>58177</v>
      </c>
      <c r="L17">
        <v>174311.64586802101</v>
      </c>
      <c r="M17">
        <v>104465.12010520601</v>
      </c>
      <c r="N17">
        <v>-326499.9998694</v>
      </c>
      <c r="O17">
        <v>-367314.061268283</v>
      </c>
      <c r="P17">
        <v>-2634.2975196074399</v>
      </c>
      <c r="Q17">
        <v>-2634.2975196074399</v>
      </c>
      <c r="R17">
        <v>-2634.2975196074399</v>
      </c>
      <c r="S17">
        <v>-2634.2975196074399</v>
      </c>
      <c r="T17">
        <v>-2634.2975196074399</v>
      </c>
      <c r="U17">
        <v>-2634.2975196074399</v>
      </c>
      <c r="V17">
        <v>-2634.2975196074399</v>
      </c>
      <c r="W17">
        <v>-2634.2975196074399</v>
      </c>
      <c r="X17">
        <v>-2634.2975196074399</v>
      </c>
      <c r="Y17">
        <v>-2634.2975196074399</v>
      </c>
      <c r="Z17">
        <v>0.54375271099850897</v>
      </c>
      <c r="AA17">
        <v>0.5</v>
      </c>
      <c r="AB17">
        <v>0.54225373440165603</v>
      </c>
      <c r="AC17">
        <v>0.50248890539908897</v>
      </c>
      <c r="AD17">
        <v>-630970.83333333302</v>
      </c>
      <c r="AE17">
        <v>-383203.27036053</v>
      </c>
      <c r="AF17">
        <v>0.22617610665599999</v>
      </c>
      <c r="AG17">
        <v>0.12146999999999999</v>
      </c>
    </row>
    <row r="18" spans="1:33" x14ac:dyDescent="0.25">
      <c r="A18">
        <v>57600</v>
      </c>
      <c r="B18">
        <v>3068.75</v>
      </c>
      <c r="C18">
        <v>125368.75</v>
      </c>
      <c r="D18">
        <v>-585506.19667300896</v>
      </c>
      <c r="E18">
        <v>-56693.75</v>
      </c>
      <c r="F18">
        <v>-211845.83333333299</v>
      </c>
      <c r="G18">
        <v>34016.449470072999</v>
      </c>
      <c r="H18">
        <v>0</v>
      </c>
      <c r="I18">
        <v>163004.816233297</v>
      </c>
      <c r="J18">
        <v>0</v>
      </c>
      <c r="K18">
        <v>-3794.89</v>
      </c>
      <c r="L18">
        <v>180548.560854585</v>
      </c>
      <c r="M18">
        <v>273487.27515791397</v>
      </c>
      <c r="N18">
        <v>-339083.33319769998</v>
      </c>
      <c r="O18">
        <v>-399809.10297466</v>
      </c>
      <c r="P18">
        <v>-2634.2975196074399</v>
      </c>
      <c r="Q18">
        <v>-2634.2975196074399</v>
      </c>
      <c r="R18">
        <v>-2634.2975196074399</v>
      </c>
      <c r="S18">
        <v>-2634.2975196074399</v>
      </c>
      <c r="T18">
        <v>-2634.2975196074399</v>
      </c>
      <c r="U18">
        <v>-2634.2975196074399</v>
      </c>
      <c r="V18">
        <v>-2634.2975196074399</v>
      </c>
      <c r="W18">
        <v>-2634.2975196074399</v>
      </c>
      <c r="X18">
        <v>-2634.2975196074399</v>
      </c>
      <c r="Y18">
        <v>-2634.2975196074399</v>
      </c>
      <c r="Z18">
        <v>0.54375271099850897</v>
      </c>
      <c r="AA18">
        <v>0.5</v>
      </c>
      <c r="AB18">
        <v>0.47540567396468397</v>
      </c>
      <c r="AC18">
        <v>0.44655657640804203</v>
      </c>
      <c r="AD18">
        <v>-528587.01430297201</v>
      </c>
      <c r="AE18">
        <v>-314994.46535593498</v>
      </c>
      <c r="AF18">
        <v>0.25095126830999998</v>
      </c>
      <c r="AG18">
        <v>0.13961000000000001</v>
      </c>
    </row>
    <row r="19" spans="1:33" x14ac:dyDescent="0.25">
      <c r="A19">
        <v>61200</v>
      </c>
      <c r="B19">
        <v>0</v>
      </c>
      <c r="C19">
        <v>18012.5</v>
      </c>
      <c r="D19">
        <v>-541251.53834464902</v>
      </c>
      <c r="E19">
        <v>-120812.5</v>
      </c>
      <c r="F19">
        <v>0</v>
      </c>
      <c r="G19">
        <v>34016.449470072999</v>
      </c>
      <c r="H19">
        <v>0</v>
      </c>
      <c r="I19">
        <v>163004.816233297</v>
      </c>
      <c r="J19">
        <v>0</v>
      </c>
      <c r="K19">
        <v>-3604.53</v>
      </c>
      <c r="L19">
        <v>100000</v>
      </c>
      <c r="M19">
        <v>253194.84677187301</v>
      </c>
      <c r="N19">
        <v>-351666.66652600002</v>
      </c>
      <c r="O19">
        <v>-367314.061268283</v>
      </c>
      <c r="P19">
        <v>-2634.2975196074399</v>
      </c>
      <c r="Q19">
        <v>-2634.2975196074399</v>
      </c>
      <c r="R19">
        <v>-2634.2975196074399</v>
      </c>
      <c r="S19">
        <v>-2634.2975196074399</v>
      </c>
      <c r="T19">
        <v>-2634.2975196074399</v>
      </c>
      <c r="U19">
        <v>-2634.2975196074399</v>
      </c>
      <c r="V19">
        <v>-2634.2975196074399</v>
      </c>
      <c r="W19">
        <v>-2634.2975196074399</v>
      </c>
      <c r="X19">
        <v>-2634.2975196074399</v>
      </c>
      <c r="Y19">
        <v>-2634.2975196074399</v>
      </c>
      <c r="Z19">
        <v>0.53994746697773799</v>
      </c>
      <c r="AA19">
        <v>0.5</v>
      </c>
      <c r="AB19">
        <v>0.40791700645387402</v>
      </c>
      <c r="AC19">
        <v>0.39477435926355198</v>
      </c>
      <c r="AD19">
        <v>-447030.27264127898</v>
      </c>
      <c r="AE19">
        <v>-395733.38621848403</v>
      </c>
      <c r="AF19">
        <v>0.252326467926</v>
      </c>
      <c r="AG19">
        <v>0.1414</v>
      </c>
    </row>
    <row r="20" spans="1:33" x14ac:dyDescent="0.25">
      <c r="A20">
        <v>64800</v>
      </c>
      <c r="B20">
        <v>493.75</v>
      </c>
      <c r="C20">
        <v>0</v>
      </c>
      <c r="D20">
        <v>-463201.13124470599</v>
      </c>
      <c r="E20">
        <v>-216212.5</v>
      </c>
      <c r="F20">
        <v>0</v>
      </c>
      <c r="G20">
        <v>34016.449470072999</v>
      </c>
      <c r="H20">
        <v>0</v>
      </c>
      <c r="I20">
        <v>163004.816233297</v>
      </c>
      <c r="J20">
        <v>0</v>
      </c>
      <c r="K20">
        <v>-3246.59</v>
      </c>
      <c r="L20">
        <v>100000</v>
      </c>
      <c r="M20">
        <v>-16972.835690166899</v>
      </c>
      <c r="N20">
        <v>-370499.99985179998</v>
      </c>
      <c r="O20">
        <v>0</v>
      </c>
      <c r="P20">
        <v>-10537.1900784298</v>
      </c>
      <c r="Q20">
        <v>-10537.1900784298</v>
      </c>
      <c r="R20">
        <v>-10537.1900784298</v>
      </c>
      <c r="S20">
        <v>-10537.1900784298</v>
      </c>
      <c r="T20">
        <v>-10537.1900784298</v>
      </c>
      <c r="U20">
        <v>-10537.1900784298</v>
      </c>
      <c r="V20">
        <v>-10537.1900784298</v>
      </c>
      <c r="W20">
        <v>-10537.1900784298</v>
      </c>
      <c r="X20">
        <v>-10537.1900784298</v>
      </c>
      <c r="Y20">
        <v>-10537.1900784298</v>
      </c>
      <c r="Z20">
        <v>0.53614237014511701</v>
      </c>
      <c r="AA20">
        <v>0.5</v>
      </c>
      <c r="AB20">
        <v>0.34042833894306401</v>
      </c>
      <c r="AC20">
        <v>0.39824556365207497</v>
      </c>
      <c r="AD20">
        <v>-481898.61554133601</v>
      </c>
      <c r="AE20">
        <v>-396091.326326265</v>
      </c>
      <c r="AF20">
        <v>0.31351313433900002</v>
      </c>
      <c r="AG20">
        <v>0.15087999999999999</v>
      </c>
    </row>
    <row r="21" spans="1:33" x14ac:dyDescent="0.25">
      <c r="A21">
        <v>68400</v>
      </c>
      <c r="B21">
        <v>100</v>
      </c>
      <c r="C21">
        <v>0</v>
      </c>
      <c r="D21">
        <v>-494684.40359207703</v>
      </c>
      <c r="E21">
        <v>-316487.5</v>
      </c>
      <c r="F21">
        <v>0</v>
      </c>
      <c r="G21">
        <v>34016.449470072999</v>
      </c>
      <c r="H21">
        <v>0</v>
      </c>
      <c r="I21">
        <v>163004.816233297</v>
      </c>
      <c r="J21">
        <v>0</v>
      </c>
      <c r="K21">
        <v>-2619.4699999999998</v>
      </c>
      <c r="L21">
        <v>100000</v>
      </c>
      <c r="M21">
        <v>107356.257643166</v>
      </c>
      <c r="N21">
        <v>-496083.33313490002</v>
      </c>
      <c r="O21">
        <v>0</v>
      </c>
      <c r="P21">
        <v>-10537.1900784298</v>
      </c>
      <c r="Q21">
        <v>-10537.1900784298</v>
      </c>
      <c r="R21">
        <v>-10537.1900784298</v>
      </c>
      <c r="S21">
        <v>-10537.1900784298</v>
      </c>
      <c r="T21">
        <v>-10537.1900784298</v>
      </c>
      <c r="U21">
        <v>-10537.1900784298</v>
      </c>
      <c r="V21">
        <v>-10537.1900784298</v>
      </c>
      <c r="W21">
        <v>-10537.1900784298</v>
      </c>
      <c r="X21">
        <v>-10537.1900784298</v>
      </c>
      <c r="Y21">
        <v>-10537.1900784298</v>
      </c>
      <c r="Z21">
        <v>0.53233508724310097</v>
      </c>
      <c r="AA21">
        <v>0.5</v>
      </c>
      <c r="AB21">
        <v>0.27293967143225401</v>
      </c>
      <c r="AC21">
        <v>0.37628956764356603</v>
      </c>
      <c r="AD21">
        <v>-614050.63788870804</v>
      </c>
      <c r="AE21">
        <v>-396718.44627603202</v>
      </c>
      <c r="AF21">
        <v>0.31663908890300002</v>
      </c>
      <c r="AG21">
        <v>0.15337000000000001</v>
      </c>
    </row>
    <row r="22" spans="1:33" x14ac:dyDescent="0.25">
      <c r="A22">
        <v>72000</v>
      </c>
      <c r="B22">
        <v>0</v>
      </c>
      <c r="C22">
        <v>0</v>
      </c>
      <c r="D22">
        <v>-537060.77974724898</v>
      </c>
      <c r="E22">
        <v>-326787.5</v>
      </c>
      <c r="F22">
        <v>0</v>
      </c>
      <c r="G22">
        <v>34016.449470072999</v>
      </c>
      <c r="H22">
        <v>0</v>
      </c>
      <c r="I22">
        <v>163004.816233297</v>
      </c>
      <c r="J22">
        <v>0</v>
      </c>
      <c r="K22">
        <v>-2252.7800000000002</v>
      </c>
      <c r="L22">
        <v>100000</v>
      </c>
      <c r="M22">
        <v>-3822.7146433357302</v>
      </c>
      <c r="N22">
        <v>-464666.66648080002</v>
      </c>
      <c r="O22">
        <v>0</v>
      </c>
      <c r="P22">
        <v>-2634.2975196074399</v>
      </c>
      <c r="Q22">
        <v>-2634.2975196074399</v>
      </c>
      <c r="R22">
        <v>-2634.2975196074399</v>
      </c>
      <c r="S22">
        <v>-2634.2975196074399</v>
      </c>
      <c r="T22">
        <v>-2634.2975196074399</v>
      </c>
      <c r="U22">
        <v>-2634.2975196074399</v>
      </c>
      <c r="V22">
        <v>-2634.2975196074399</v>
      </c>
      <c r="W22">
        <v>-2634.2975196074399</v>
      </c>
      <c r="X22">
        <v>-2634.2975196074399</v>
      </c>
      <c r="Y22">
        <v>-2634.2975196074399</v>
      </c>
      <c r="Z22">
        <v>0.52852561593356495</v>
      </c>
      <c r="AA22">
        <v>0.5</v>
      </c>
      <c r="AB22">
        <v>0.205451003921444</v>
      </c>
      <c r="AC22">
        <v>0.37707137123185502</v>
      </c>
      <c r="AD22">
        <v>-666827.014043879</v>
      </c>
      <c r="AE22">
        <v>-397085.13632021</v>
      </c>
      <c r="AF22">
        <v>0.31945896223199999</v>
      </c>
      <c r="AG22">
        <v>0.15415000000000001</v>
      </c>
    </row>
    <row r="23" spans="1:33" x14ac:dyDescent="0.25">
      <c r="A23">
        <v>75600</v>
      </c>
      <c r="B23">
        <v>0</v>
      </c>
      <c r="C23">
        <v>0</v>
      </c>
      <c r="D23">
        <v>-539064.79423543904</v>
      </c>
      <c r="E23">
        <v>-286293.75</v>
      </c>
      <c r="F23">
        <v>0</v>
      </c>
      <c r="G23">
        <v>34016.449470072999</v>
      </c>
      <c r="H23">
        <v>0</v>
      </c>
      <c r="I23">
        <v>163004.816233297</v>
      </c>
      <c r="J23">
        <v>0</v>
      </c>
      <c r="K23">
        <v>-2080.9</v>
      </c>
      <c r="L23">
        <v>100000</v>
      </c>
      <c r="M23">
        <v>-198833.14131000201</v>
      </c>
      <c r="N23">
        <v>-269999.99989199999</v>
      </c>
      <c r="O23">
        <v>0</v>
      </c>
      <c r="P23">
        <v>-2634.2975196074399</v>
      </c>
      <c r="Q23">
        <v>-2634.2975196074399</v>
      </c>
      <c r="R23">
        <v>-2634.2975196074399</v>
      </c>
      <c r="S23">
        <v>-2634.2975196074399</v>
      </c>
      <c r="T23">
        <v>-2634.2975196074399</v>
      </c>
      <c r="U23">
        <v>-2634.2975196074399</v>
      </c>
      <c r="V23">
        <v>-2634.2975196074399</v>
      </c>
      <c r="W23">
        <v>-2634.2975196074399</v>
      </c>
      <c r="X23">
        <v>-2634.2975196074399</v>
      </c>
      <c r="Y23">
        <v>-2634.2975196074399</v>
      </c>
      <c r="Z23">
        <v>0.52471395243989805</v>
      </c>
      <c r="AA23">
        <v>0.5</v>
      </c>
      <c r="AB23">
        <v>0.13796233641063399</v>
      </c>
      <c r="AC23">
        <v>0.41773578849826298</v>
      </c>
      <c r="AD23">
        <v>-628337.27853206894</v>
      </c>
      <c r="AE23">
        <v>-397257.01639807603</v>
      </c>
      <c r="AF23">
        <v>0.31755361232099999</v>
      </c>
      <c r="AG23">
        <v>0.14907000000000001</v>
      </c>
    </row>
    <row r="24" spans="1:33" x14ac:dyDescent="0.25">
      <c r="A24">
        <v>79200</v>
      </c>
      <c r="B24">
        <v>0</v>
      </c>
      <c r="C24">
        <v>0</v>
      </c>
      <c r="D24">
        <v>-525058.56861575902</v>
      </c>
      <c r="E24">
        <v>-123925</v>
      </c>
      <c r="F24">
        <v>0</v>
      </c>
      <c r="G24">
        <v>34016.449470072999</v>
      </c>
      <c r="H24">
        <v>0</v>
      </c>
      <c r="I24">
        <v>163004.816233297</v>
      </c>
      <c r="J24">
        <v>0</v>
      </c>
      <c r="K24">
        <v>-1924.27</v>
      </c>
      <c r="L24">
        <v>100000</v>
      </c>
      <c r="M24">
        <v>-343563.067976669</v>
      </c>
      <c r="N24">
        <v>-125583.3332831</v>
      </c>
      <c r="O24">
        <v>0</v>
      </c>
      <c r="P24">
        <v>-2634.2975196074399</v>
      </c>
      <c r="Q24">
        <v>-2634.2975196074399</v>
      </c>
      <c r="R24">
        <v>-2634.2975196074399</v>
      </c>
      <c r="S24">
        <v>-2634.2975196074399</v>
      </c>
      <c r="T24">
        <v>-2634.2975196074399</v>
      </c>
      <c r="U24">
        <v>-2634.2975196074399</v>
      </c>
      <c r="V24">
        <v>-2634.2975196074399</v>
      </c>
      <c r="W24">
        <v>-2634.2975196074399</v>
      </c>
      <c r="X24">
        <v>-2634.2975196074399</v>
      </c>
      <c r="Y24">
        <v>-2634.2975196074399</v>
      </c>
      <c r="Z24">
        <v>0.520900092975497</v>
      </c>
      <c r="AA24">
        <v>0.5</v>
      </c>
      <c r="AB24">
        <v>7.0473668899823802E-2</v>
      </c>
      <c r="AC24">
        <v>0.48799968847733499</v>
      </c>
      <c r="AD24">
        <v>-451962.30291238899</v>
      </c>
      <c r="AE24">
        <v>-397413.646455843</v>
      </c>
      <c r="AF24">
        <v>0.260118785879</v>
      </c>
      <c r="AG24">
        <v>0.13592000000000001</v>
      </c>
    </row>
    <row r="25" spans="1:33" x14ac:dyDescent="0.25">
      <c r="A25">
        <v>82800</v>
      </c>
      <c r="B25">
        <v>0</v>
      </c>
      <c r="C25">
        <v>0</v>
      </c>
      <c r="D25">
        <v>-499692.10559989797</v>
      </c>
      <c r="E25">
        <v>0</v>
      </c>
      <c r="F25">
        <v>0</v>
      </c>
      <c r="G25">
        <v>34016.449470072999</v>
      </c>
      <c r="H25">
        <v>0</v>
      </c>
      <c r="I25">
        <v>0</v>
      </c>
      <c r="J25">
        <v>0</v>
      </c>
      <c r="K25">
        <v>-1761.59</v>
      </c>
      <c r="L25">
        <v>100000</v>
      </c>
      <c r="M25">
        <v>-463809.915579975</v>
      </c>
      <c r="N25">
        <v>-18833.333325799998</v>
      </c>
      <c r="O25">
        <v>0</v>
      </c>
      <c r="P25">
        <v>-1317.1487598037199</v>
      </c>
      <c r="Q25">
        <v>-1317.1487598037199</v>
      </c>
      <c r="R25">
        <v>-1317.1487598037199</v>
      </c>
      <c r="S25">
        <v>-1317.1487598037199</v>
      </c>
      <c r="T25">
        <v>-1317.1487598037199</v>
      </c>
      <c r="U25">
        <v>-1317.1487598037199</v>
      </c>
      <c r="V25">
        <v>-1317.1487598037199</v>
      </c>
      <c r="W25">
        <v>-1317.1487598037199</v>
      </c>
      <c r="X25">
        <v>-1317.1487598037199</v>
      </c>
      <c r="Y25">
        <v>-1317.1487598037199</v>
      </c>
      <c r="Z25">
        <v>0.51708403374285195</v>
      </c>
      <c r="AA25">
        <v>0.5</v>
      </c>
      <c r="AB25">
        <v>2.98500138901381E-3</v>
      </c>
      <c r="AC25">
        <v>0.58285590719006997</v>
      </c>
      <c r="AD25">
        <v>-465675.65612982598</v>
      </c>
      <c r="AE25">
        <v>-397576.32650381199</v>
      </c>
      <c r="AF25">
        <v>0.25885111786199999</v>
      </c>
      <c r="AG25">
        <v>0.1341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1E670AA9-F151-4010-B386-EB5DE9535379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32e2fcb7-33f7-4889-999c-af43743a67a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6861FEE-EB7B-4EAA-A702-565B22F52D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KPI</vt:lpstr>
      <vt:lpstr>DATA_input</vt:lpstr>
      <vt:lpstr>DAY01</vt:lpstr>
      <vt:lpstr>DAY02</vt:lpstr>
      <vt:lpstr>DAY03</vt:lpstr>
      <vt:lpstr>DAY04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Seyede Zahra Tajalli</dc:creator>
  <cp:lastModifiedBy>marcos.blanco</cp:lastModifiedBy>
  <dcterms:created xsi:type="dcterms:W3CDTF">2015-06-05T18:19:34Z</dcterms:created>
  <dcterms:modified xsi:type="dcterms:W3CDTF">2025-03-05T16:37:11Z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