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E8E8E254-A500-48C4-BC29-ADA449A4C42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Technology Parameters" sheetId="4" r:id="rId1"/>
    <sheet name="New scenarios" sheetId="5" r:id="rId2"/>
    <sheet name="Calculatio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5" l="1"/>
  <c r="J9" i="5"/>
  <c r="J8" i="5"/>
  <c r="J7" i="5"/>
  <c r="J6" i="5"/>
  <c r="J5" i="5"/>
  <c r="J4" i="5"/>
  <c r="J3" i="5"/>
  <c r="J2" i="5"/>
  <c r="E3" i="5"/>
  <c r="E2" i="5"/>
  <c r="C7" i="7" l="1"/>
  <c r="F7" i="7" s="1"/>
  <c r="C3" i="7"/>
  <c r="C6" i="7"/>
  <c r="C9" i="7"/>
  <c r="B10" i="7"/>
  <c r="B5" i="7"/>
  <c r="B4" i="7"/>
  <c r="F2" i="7"/>
  <c r="A13" i="5"/>
  <c r="A14" i="5"/>
  <c r="A15" i="5"/>
  <c r="A16" i="5"/>
  <c r="A17" i="5"/>
  <c r="A18" i="5"/>
  <c r="A19" i="5"/>
  <c r="A20" i="5"/>
  <c r="A12" i="5"/>
  <c r="C14" i="5"/>
  <c r="C15" i="5"/>
  <c r="C18" i="5"/>
  <c r="C20" i="5"/>
  <c r="C12" i="5"/>
  <c r="B13" i="5"/>
  <c r="B16" i="5"/>
  <c r="B17" i="5"/>
  <c r="B18" i="5"/>
  <c r="B19" i="5"/>
  <c r="B12" i="5"/>
  <c r="O3" i="5"/>
  <c r="O6" i="5"/>
  <c r="O7" i="5"/>
  <c r="O8" i="5"/>
  <c r="O9" i="5"/>
  <c r="P3" i="5"/>
  <c r="P6" i="5"/>
  <c r="P7" i="5"/>
  <c r="P8" i="5"/>
  <c r="P9" i="5"/>
  <c r="P2" i="5"/>
  <c r="O2" i="5"/>
  <c r="F3" i="5"/>
  <c r="F6" i="5"/>
  <c r="F7" i="5"/>
  <c r="F8" i="5"/>
  <c r="F9" i="5"/>
  <c r="F2" i="5"/>
  <c r="E6" i="5"/>
  <c r="E7" i="5"/>
  <c r="E8" i="5"/>
  <c r="E9" i="5"/>
  <c r="S10" i="5"/>
  <c r="R10" i="5"/>
  <c r="S9" i="5"/>
  <c r="R9" i="5"/>
  <c r="S8" i="5"/>
  <c r="T8" i="5" s="1"/>
  <c r="R8" i="5"/>
  <c r="D8" i="5" s="1"/>
  <c r="D18" i="5" s="1"/>
  <c r="S7" i="5"/>
  <c r="R7" i="5"/>
  <c r="S6" i="5"/>
  <c r="R6" i="5"/>
  <c r="S5" i="5"/>
  <c r="R5" i="5"/>
  <c r="S4" i="5"/>
  <c r="R4" i="5"/>
  <c r="S3" i="5"/>
  <c r="R3" i="5"/>
  <c r="S2" i="5"/>
  <c r="T2" i="5" s="1"/>
  <c r="R2" i="5"/>
  <c r="D2" i="5" s="1"/>
  <c r="D12" i="5" s="1"/>
  <c r="E12" i="5" s="1"/>
  <c r="B5" i="4"/>
  <c r="D5" i="4"/>
  <c r="C5" i="4"/>
  <c r="E18" i="5" l="1"/>
  <c r="F3" i="7"/>
  <c r="F8" i="7"/>
  <c r="F10" i="7"/>
  <c r="F9" i="7"/>
  <c r="F4" i="7"/>
  <c r="F6" i="7"/>
  <c r="F5" i="7"/>
  <c r="D7" i="4"/>
  <c r="C7" i="4"/>
  <c r="B7" i="4"/>
  <c r="D19" i="5"/>
  <c r="E19" i="5" s="1"/>
  <c r="D16" i="5"/>
  <c r="E16" i="5" s="1"/>
  <c r="D13" i="5"/>
  <c r="E13" i="5" s="1"/>
  <c r="D4" i="5"/>
  <c r="D5" i="5"/>
  <c r="D15" i="5" s="1"/>
  <c r="E15" i="5" s="1"/>
  <c r="T6" i="5"/>
  <c r="D6" i="5"/>
  <c r="C16" i="5"/>
  <c r="T3" i="5"/>
  <c r="D3" i="5"/>
  <c r="C13" i="5"/>
  <c r="T7" i="5"/>
  <c r="D7" i="5"/>
  <c r="D17" i="5" s="1"/>
  <c r="E17" i="5" s="1"/>
  <c r="C17" i="5"/>
  <c r="D10" i="5"/>
  <c r="D20" i="5"/>
  <c r="E20" i="5"/>
  <c r="T10" i="5"/>
  <c r="P10" i="5"/>
  <c r="O10" i="5"/>
  <c r="B20" i="5"/>
  <c r="E10" i="5"/>
  <c r="F10" i="5"/>
  <c r="T4" i="5"/>
  <c r="B14" i="5"/>
  <c r="F4" i="5"/>
  <c r="O4" i="5"/>
  <c r="E4" i="5"/>
  <c r="P4" i="5"/>
  <c r="T5" i="5"/>
  <c r="P5" i="5"/>
  <c r="O5" i="5"/>
  <c r="B15" i="5"/>
  <c r="E5" i="5"/>
  <c r="F5" i="5"/>
  <c r="T9" i="5"/>
  <c r="D9" i="5"/>
  <c r="C19" i="5"/>
  <c r="D26" i="5" l="1" a="1"/>
  <c r="D26" i="5" s="1"/>
  <c r="D14" i="5"/>
  <c r="E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<sst xmlns="http://schemas.openxmlformats.org/spreadsheetml/2006/main" count="55" uniqueCount="52">
  <si>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BAT (kW)</t>
  </si>
  <si>
    <t>HP (kW)</t>
  </si>
  <si>
    <t>NESS_BAT</t>
  </si>
  <si>
    <t>max kW / module</t>
  </si>
  <si>
    <t>max kWh (=100%Soc) / module</t>
  </si>
  <si>
    <t>BAT</t>
  </si>
  <si>
    <t>HP</t>
  </si>
  <si>
    <t>PCM</t>
  </si>
  <si>
    <t>O&amp;M cost/kWh</t>
  </si>
  <si>
    <t>Specific capital cost/kWh</t>
  </si>
  <si>
    <t>Specific capital cost/modul</t>
  </si>
  <si>
    <t>NESS_HP</t>
  </si>
  <si>
    <t>HP (kW/modul)</t>
  </si>
  <si>
    <t>Bat(kWh/modul)</t>
  </si>
  <si>
    <t>Bat Specific capital cost/modul</t>
  </si>
  <si>
    <t>O&amp;M cost / module</t>
  </si>
  <si>
    <t>Bat O&amp;M Cost (Eur/modul)</t>
  </si>
  <si>
    <t>HP (kWh/modul)</t>
  </si>
  <si>
    <t>HP O&amp;M Cost (Eur/modul)</t>
  </si>
  <si>
    <t>HP Specific capital cost/modul</t>
  </si>
  <si>
    <t>NESS_PCM</t>
  </si>
  <si>
    <t>PCM (kW)</t>
  </si>
  <si>
    <t>PCM (kW/modul)</t>
  </si>
  <si>
    <t>PCM (kWh/modul)</t>
  </si>
  <si>
    <t>PCM O&amp;M Cost (Eur/modul)</t>
  </si>
  <si>
    <t>PCM Specific capital cost/modul</t>
  </si>
  <si>
    <t>total capital cost of storage</t>
  </si>
  <si>
    <t>total O&amp;M cost of storage</t>
  </si>
  <si>
    <t>WG</t>
  </si>
  <si>
    <t>PV</t>
  </si>
  <si>
    <t>Capital cost</t>
  </si>
  <si>
    <t>O&amp;M cost Euro/kWh</t>
  </si>
  <si>
    <t>Scenario_Base_1</t>
  </si>
  <si>
    <t>Scenario_Base_2</t>
  </si>
  <si>
    <t>Scenario_Base_3</t>
  </si>
  <si>
    <t>Scenario_Up_1</t>
  </si>
  <si>
    <t>Scenario_Up_2</t>
  </si>
  <si>
    <t>Scenario_Up_3</t>
  </si>
  <si>
    <t>Scenario_Down_1</t>
  </si>
  <si>
    <t>Scenario_Down_2</t>
  </si>
  <si>
    <t>Scenario_Down_3</t>
  </si>
  <si>
    <t>Bat_Ness</t>
  </si>
  <si>
    <t>PCM_Ness</t>
  </si>
  <si>
    <t>Total cost</t>
  </si>
  <si>
    <t>BAT_ OM cost</t>
  </si>
  <si>
    <t>PCM_OM cost</t>
  </si>
  <si>
    <t>Scenario_UpperCost_1</t>
  </si>
  <si>
    <t>Scenario_UpperCost_2</t>
  </si>
  <si>
    <t>Scenario_UpperCost_3</t>
  </si>
  <si>
    <t>Scenario_LowerCost_1</t>
  </si>
  <si>
    <t>Scenario_LowerCost_2</t>
  </si>
  <si>
    <t>Scenario_LowerCost_3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</si>
</sst>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0" fillId="4" borderId="0" xfId="0" applyFill="1"/>
    <xf numFmtId="0" fontId="4" fillId="0" borderId="0" xfId="0" applyFon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6620977933317"/>
          <c:y val="0.10689814814814817"/>
          <c:w val="0.8224561096529600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 scenarios'!$B$1</c:f>
              <c:strCache>
                <c:ptCount val="1"/>
                <c:pt idx="0">
                  <c:v>NESS_BAT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gradFill>
                  <a:gsLst>
                    <a:gs pos="0">
                      <a:srgbClr val="5B9BD5">
                        <a:lumMod val="5000"/>
                        <a:lumOff val="95000"/>
                      </a:srgbClr>
                    </a:gs>
                    <a:gs pos="74000">
                      <a:srgbClr val="5B9BD5">
                        <a:lumMod val="45000"/>
                        <a:lumOff val="55000"/>
                      </a:srgbClr>
                    </a:gs>
                    <a:gs pos="83000">
                      <a:srgbClr val="5B9BD5">
                        <a:lumMod val="45000"/>
                        <a:lumOff val="55000"/>
                      </a:srgbClr>
                    </a:gs>
                    <a:gs pos="100000">
                      <a:srgbClr val="5B9BD5">
                        <a:lumMod val="30000"/>
                        <a:lumOff val="70000"/>
                      </a:srgb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'New scenarios'!$B$2:$B$10</c:f>
              <c:numCache>
                <c:formatCode>General</c:formatCode>
                <c:ptCount val="9"/>
                <c:pt idx="0">
                  <c:v>83</c:v>
                </c:pt>
                <c:pt idx="1">
                  <c:v>92</c:v>
                </c:pt>
                <c:pt idx="2">
                  <c:v>74</c:v>
                </c:pt>
                <c:pt idx="3">
                  <c:v>102</c:v>
                </c:pt>
                <c:pt idx="4">
                  <c:v>83</c:v>
                </c:pt>
                <c:pt idx="5">
                  <c:v>93</c:v>
                </c:pt>
                <c:pt idx="6">
                  <c:v>65</c:v>
                </c:pt>
                <c:pt idx="7">
                  <c:v>83</c:v>
                </c:pt>
                <c:pt idx="8">
                  <c:v>73</c:v>
                </c:pt>
              </c:numCache>
            </c:numRef>
          </c:xVal>
          <c:yVal>
            <c:numRef>
              <c:f>'New scenarios'!$C$2:$C$10</c:f>
              <c:numCache>
                <c:formatCode>General</c:formatCode>
                <c:ptCount val="9"/>
                <c:pt idx="0">
                  <c:v>28</c:v>
                </c:pt>
                <c:pt idx="1">
                  <c:v>22</c:v>
                </c:pt>
                <c:pt idx="2">
                  <c:v>34</c:v>
                </c:pt>
                <c:pt idx="3">
                  <c:v>28</c:v>
                </c:pt>
                <c:pt idx="4">
                  <c:v>40</c:v>
                </c:pt>
                <c:pt idx="5">
                  <c:v>34</c:v>
                </c:pt>
                <c:pt idx="6">
                  <c:v>28</c:v>
                </c:pt>
                <c:pt idx="7">
                  <c:v>16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A5-4073-81F7-89956A76310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71953440"/>
        <c:axId val="615338464"/>
      </c:scatterChart>
      <c:valAx>
        <c:axId val="471953440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PCM 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5338464"/>
        <c:crosses val="autoZero"/>
        <c:crossBetween val="midCat"/>
        <c:majorUnit val="10"/>
      </c:valAx>
      <c:valAx>
        <c:axId val="615338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</a:t>
                </a:r>
                <a:r>
                  <a:rPr lang="en-US" sz="1100" b="1" i="0" u="none" strike="noStrike" baseline="0">
                    <a:effectLst/>
                  </a:rPr>
                  <a:t>lithium-ion</a:t>
                </a:r>
                <a:r>
                  <a:rPr lang="en-US" b="1"/>
                  <a:t> Battery </a:t>
                </a:r>
                <a:r>
                  <a:rPr lang="en-US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719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Calculations!$C$1</c:f>
              <c:strCache>
                <c:ptCount val="1"/>
                <c:pt idx="0">
                  <c:v>PCM_Ness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Calculations!$B$2:$B$10</c:f>
              <c:numCache>
                <c:formatCode>General</c:formatCode>
                <c:ptCount val="9"/>
                <c:pt idx="0">
                  <c:v>83</c:v>
                </c:pt>
                <c:pt idx="1">
                  <c:v>92</c:v>
                </c:pt>
                <c:pt idx="2">
                  <c:v>74</c:v>
                </c:pt>
                <c:pt idx="3">
                  <c:v>102</c:v>
                </c:pt>
                <c:pt idx="4">
                  <c:v>83</c:v>
                </c:pt>
                <c:pt idx="5">
                  <c:v>94</c:v>
                </c:pt>
                <c:pt idx="6">
                  <c:v>65</c:v>
                </c:pt>
                <c:pt idx="7">
                  <c:v>83</c:v>
                </c:pt>
                <c:pt idx="8">
                  <c:v>73</c:v>
                </c:pt>
              </c:numCache>
            </c:numRef>
          </c:xVal>
          <c:yVal>
            <c:numRef>
              <c:f>Calculations!$C$2:$C$10</c:f>
              <c:numCache>
                <c:formatCode>General</c:formatCode>
                <c:ptCount val="9"/>
                <c:pt idx="0">
                  <c:v>28</c:v>
                </c:pt>
                <c:pt idx="1">
                  <c:v>22</c:v>
                </c:pt>
                <c:pt idx="2">
                  <c:v>34</c:v>
                </c:pt>
                <c:pt idx="3">
                  <c:v>28</c:v>
                </c:pt>
                <c:pt idx="4">
                  <c:v>41</c:v>
                </c:pt>
                <c:pt idx="5">
                  <c:v>33</c:v>
                </c:pt>
                <c:pt idx="6">
                  <c:v>28</c:v>
                </c:pt>
                <c:pt idx="7">
                  <c:v>16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8-40C3-A07A-219F2C092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085087"/>
        <c:axId val="1079084127"/>
      </c:scatterChart>
      <c:valAx>
        <c:axId val="10790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84127"/>
        <c:crosses val="autoZero"/>
        <c:crossBetween val="midCat"/>
      </c:valAx>
      <c:valAx>
        <c:axId val="10790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21</xdr:row>
      <xdr:rowOff>80961</xdr:rowOff>
    </xdr:from>
    <xdr:to>
      <xdr:col>9</xdr:col>
      <xdr:colOff>133350</xdr:colOff>
      <xdr:row>36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4CB7A-1CFF-1818-84BF-4AF526FB4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25</xdr:row>
      <xdr:rowOff>0</xdr:rowOff>
    </xdr:from>
    <xdr:to>
      <xdr:col>7</xdr:col>
      <xdr:colOff>1390650</xdr:colOff>
      <xdr:row>31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216BF16-9DCA-436C-A9F9-1D2733AB7632}"/>
            </a:ext>
          </a:extLst>
        </xdr:cNvPr>
        <xdr:cNvCxnSpPr/>
      </xdr:nvCxnSpPr>
      <xdr:spPr>
        <a:xfrm>
          <a:off x="6743700" y="4876800"/>
          <a:ext cx="2638425" cy="1219200"/>
        </a:xfrm>
        <a:prstGeom prst="line">
          <a:avLst/>
        </a:prstGeom>
        <a:ln w="22225" cmpd="sng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27</xdr:row>
      <xdr:rowOff>123825</xdr:rowOff>
    </xdr:from>
    <xdr:to>
      <xdr:col>7</xdr:col>
      <xdr:colOff>714375</xdr:colOff>
      <xdr:row>33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D4A4A2-BEE1-4B1B-A76E-BFD450A86BC8}"/>
            </a:ext>
          </a:extLst>
        </xdr:cNvPr>
        <xdr:cNvCxnSpPr/>
      </xdr:nvCxnSpPr>
      <xdr:spPr>
        <a:xfrm>
          <a:off x="6276975" y="5381625"/>
          <a:ext cx="2428875" cy="1114425"/>
        </a:xfrm>
        <a:prstGeom prst="line">
          <a:avLst/>
        </a:prstGeom>
        <a:ln w="22225" cmpd="sng">
          <a:solidFill>
            <a:schemeClr val="accent6"/>
          </a:solidFill>
          <a:prstDash val="lg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1266825</xdr:colOff>
      <xdr:row>23</xdr:row>
      <xdr:rowOff>76200</xdr:rowOff>
    </xdr:from>
    <xdr:to>
      <xdr:col>8</xdr:col>
      <xdr:colOff>133350</xdr:colOff>
      <xdr:row>29</xdr:row>
      <xdr:rowOff>47625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688FD75-83E6-48AB-B7CC-6BBFE7A7900A}"/>
            </a:ext>
          </a:extLst>
        </xdr:cNvPr>
        <xdr:cNvCxnSpPr/>
      </xdr:nvCxnSpPr>
      <xdr:spPr>
        <a:xfrm>
          <a:off x="7600950" y="4572000"/>
          <a:ext cx="2428875" cy="1114425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1247775</xdr:colOff>
      <xdr:row>31</xdr:row>
      <xdr:rowOff>0</xdr:rowOff>
    </xdr:from>
    <xdr:ext cx="1128771" cy="436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C9EAF6E-D982-77D2-F654-8AF1201A0AFE}"/>
            </a:ext>
          </a:extLst>
        </xdr:cNvPr>
        <xdr:cNvSpPr txBox="1"/>
      </xdr:nvSpPr>
      <xdr:spPr>
        <a:xfrm>
          <a:off x="9239250" y="6019800"/>
          <a:ext cx="11287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Same O</a:t>
          </a:r>
          <a:r>
            <a:rPr lang="en-US" sz="1100" b="1" baseline="0"/>
            <a:t>&amp;M cost</a:t>
          </a:r>
        </a:p>
        <a:p>
          <a:pPr algn="ctr"/>
          <a:r>
            <a:rPr lang="en-US" sz="1100" b="1" baseline="0"/>
            <a:t>(Base cost)</a:t>
          </a:r>
          <a:endParaRPr lang="en-US" sz="1100" b="1"/>
        </a:p>
      </xdr:txBody>
    </xdr:sp>
    <xdr:clientData/>
  </xdr:oneCellAnchor>
  <xdr:oneCellAnchor>
    <xdr:from>
      <xdr:col>6</xdr:col>
      <xdr:colOff>1093285</xdr:colOff>
      <xdr:row>24</xdr:row>
      <xdr:rowOff>171449</xdr:rowOff>
    </xdr:from>
    <xdr:ext cx="981807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DFCDA-E2FA-4E06-A34D-A6E9C62B3A9E}"/>
            </a:ext>
          </a:extLst>
        </xdr:cNvPr>
        <xdr:cNvSpPr txBox="1"/>
      </xdr:nvSpPr>
      <xdr:spPr>
        <a:xfrm rot="1628660">
          <a:off x="7427410" y="4857749"/>
          <a:ext cx="9818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15% increase </a:t>
          </a:r>
        </a:p>
      </xdr:txBody>
    </xdr:sp>
    <xdr:clientData/>
  </xdr:oneCellAnchor>
  <xdr:twoCellAnchor>
    <xdr:from>
      <xdr:col>7</xdr:col>
      <xdr:colOff>200025</xdr:colOff>
      <xdr:row>25</xdr:row>
      <xdr:rowOff>152400</xdr:rowOff>
    </xdr:from>
    <xdr:to>
      <xdr:col>7</xdr:col>
      <xdr:colOff>476250</xdr:colOff>
      <xdr:row>27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4B288DE-A281-921A-2FE2-AA489579E407}"/>
            </a:ext>
          </a:extLst>
        </xdr:cNvPr>
        <xdr:cNvCxnSpPr/>
      </xdr:nvCxnSpPr>
      <xdr:spPr>
        <a:xfrm flipV="1">
          <a:off x="8191500" y="5029200"/>
          <a:ext cx="276225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1409700</xdr:colOff>
      <xdr:row>28</xdr:row>
      <xdr:rowOff>152400</xdr:rowOff>
    </xdr:from>
    <xdr:to>
      <xdr:col>7</xdr:col>
      <xdr:colOff>28575</xdr:colOff>
      <xdr:row>30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4260062-DCF6-4DC0-A467-F258F62E8298}"/>
            </a:ext>
          </a:extLst>
        </xdr:cNvPr>
        <xdr:cNvCxnSpPr/>
      </xdr:nvCxnSpPr>
      <xdr:spPr>
        <a:xfrm flipH="1">
          <a:off x="7743825" y="5600700"/>
          <a:ext cx="276225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1519631</xdr:colOff>
      <xdr:row>30</xdr:row>
      <xdr:rowOff>9524</xdr:rowOff>
    </xdr:from>
    <xdr:ext cx="9863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CB5C993-ECC2-451A-9BCA-24380A756430}"/>
            </a:ext>
          </a:extLst>
        </xdr:cNvPr>
        <xdr:cNvSpPr txBox="1"/>
      </xdr:nvSpPr>
      <xdr:spPr>
        <a:xfrm rot="1628660">
          <a:off x="7853756" y="5838824"/>
          <a:ext cx="9863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15% decrease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5</xdr:row>
      <xdr:rowOff>26670</xdr:rowOff>
    </xdr:from>
    <xdr:to>
      <xdr:col>13</xdr:col>
      <xdr:colOff>388620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2B16D2-6408-B7B2-9324-574967952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1C39-A134-4FDB-8EFA-70C441A76FDC}">
  <dimension ref="A1:I7"/>
  <sheetViews>
    <sheetView workbookViewId="0">
      <selection activeCell="C2" sqref="C2"/>
    </sheetView>
  </sheetViews>
  <sheetFormatPr defaultRowHeight="15" x14ac:dyDescent="0.25"/>
  <cols>
    <col min="1" max="1" width="28.7109375" bestFit="1" customWidth="1"/>
    <col min="4" max="4" width="6" bestFit="1" customWidth="1"/>
    <col min="7" max="7" width="19.140625" bestFit="1" customWidth="1"/>
  </cols>
  <sheetData>
    <row r="1" spans="1:9" x14ac:dyDescent="0.25">
      <c r="A1" s="3"/>
      <c r="B1" s="3" t="s">
        <v>6</v>
      </c>
      <c r="C1" s="3" t="s">
        <v>5</v>
      </c>
      <c r="D1" s="3" t="s">
        <v>7</v>
      </c>
      <c r="G1" s="3"/>
      <c r="H1" s="3" t="s">
        <v>28</v>
      </c>
      <c r="I1" s="3" t="s">
        <v>29</v>
      </c>
    </row>
    <row r="2" spans="1:9" x14ac:dyDescent="0.25">
      <c r="A2" s="3" t="s">
        <v>3</v>
      </c>
      <c r="B2" s="3">
        <v>50</v>
      </c>
      <c r="C2" s="3">
        <v>82</v>
      </c>
      <c r="D2" s="6">
        <v>50</v>
      </c>
      <c r="G2" s="3" t="s">
        <v>30</v>
      </c>
      <c r="H2" s="3">
        <v>2500</v>
      </c>
      <c r="I2" s="3">
        <v>2000</v>
      </c>
    </row>
    <row r="3" spans="1:9" x14ac:dyDescent="0.25">
      <c r="A3" s="3" t="s">
        <v>4</v>
      </c>
      <c r="B3" s="3">
        <v>286.125</v>
      </c>
      <c r="C3" s="3">
        <v>82</v>
      </c>
      <c r="D3" s="6">
        <v>205</v>
      </c>
      <c r="G3" s="3" t="s">
        <v>31</v>
      </c>
      <c r="H3" s="3">
        <v>1.2E-2</v>
      </c>
      <c r="I3" s="3">
        <v>0.01</v>
      </c>
    </row>
    <row r="4" spans="1:9" x14ac:dyDescent="0.25">
      <c r="A4" s="3" t="s">
        <v>8</v>
      </c>
      <c r="B4" s="3">
        <v>2E-3</v>
      </c>
      <c r="C4" s="3">
        <v>5.0000000000000001E-3</v>
      </c>
      <c r="D4" s="6">
        <v>3.0000000000000001E-3</v>
      </c>
    </row>
    <row r="5" spans="1:9" x14ac:dyDescent="0.25">
      <c r="A5" s="3" t="s">
        <v>15</v>
      </c>
      <c r="B5" s="7">
        <f>B3*B4</f>
        <v>0.57225000000000004</v>
      </c>
      <c r="C5" s="7">
        <f>C4*C3</f>
        <v>0.41000000000000003</v>
      </c>
      <c r="D5" s="8">
        <f>D4*D3</f>
        <v>0.61499999999999999</v>
      </c>
    </row>
    <row r="6" spans="1:9" x14ac:dyDescent="0.25">
      <c r="A6" s="3" t="s">
        <v>9</v>
      </c>
      <c r="B6" s="3">
        <v>200</v>
      </c>
      <c r="C6" s="3">
        <v>350</v>
      </c>
      <c r="D6" s="6">
        <v>83</v>
      </c>
    </row>
    <row r="7" spans="1:9" x14ac:dyDescent="0.25">
      <c r="A7" s="3" t="s">
        <v>10</v>
      </c>
      <c r="B7" s="3">
        <f>B6*B3</f>
        <v>57225</v>
      </c>
      <c r="C7" s="3">
        <f>C6*C3</f>
        <v>28700</v>
      </c>
      <c r="D7" s="6">
        <f>D6*D3</f>
        <v>17015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176-32BE-4074-8A6B-0AF8F24AB42E}">
  <dimension ref="A1:T34"/>
  <sheetViews>
    <sheetView tabSelected="1" topLeftCell="C13" zoomScale="160" zoomScaleNormal="160" workbookViewId="0">
      <selection activeCell="K18" sqref="F18:K40"/>
    </sheetView>
  </sheetViews>
  <sheetFormatPr defaultRowHeight="15" x14ac:dyDescent="0.25"/>
  <cols>
    <col min="1" max="1" width="21.140625" bestFit="1" customWidth="1"/>
    <col min="2" max="2" width="11.85546875" style="10" customWidth="1"/>
    <col min="3" max="3" width="10.42578125" style="10" bestFit="1" customWidth="1"/>
    <col min="4" max="4" width="25.85546875" style="13" bestFit="1" customWidth="1"/>
    <col min="5" max="5" width="9.7109375" bestFit="1" customWidth="1"/>
    <col min="6" max="6" width="16" bestFit="1" customWidth="1"/>
    <col min="7" max="7" width="24.85546875" bestFit="1" customWidth="1"/>
    <col min="8" max="8" width="28.5703125" bestFit="1" customWidth="1"/>
    <col min="11" max="11" width="16" bestFit="1" customWidth="1"/>
    <col min="12" max="12" width="24.42578125" bestFit="1" customWidth="1"/>
    <col min="13" max="14" width="28.140625" bestFit="1" customWidth="1"/>
    <col min="15" max="15" width="20" bestFit="1" customWidth="1"/>
    <col min="16" max="16" width="17" bestFit="1" customWidth="1"/>
    <col min="17" max="17" width="17.7109375" bestFit="1" customWidth="1"/>
    <col min="18" max="18" width="26.140625" bestFit="1" customWidth="1"/>
    <col min="19" max="19" width="29.85546875" bestFit="1" customWidth="1"/>
    <col min="20" max="20" width="27.140625" bestFit="1" customWidth="1"/>
  </cols>
  <sheetData>
    <row r="1" spans="1:20" ht="15.75" x14ac:dyDescent="0.25">
      <c r="A1" s="1"/>
      <c r="B1" s="9" t="s">
        <v>2</v>
      </c>
      <c r="C1" s="9" t="s">
        <v>20</v>
      </c>
      <c r="D1" s="11" t="s">
        <v>27</v>
      </c>
      <c r="E1" s="1" t="s">
        <v>0</v>
      </c>
      <c r="F1" s="3" t="s">
        <v>13</v>
      </c>
      <c r="G1" s="3" t="s">
        <v>16</v>
      </c>
      <c r="H1" s="3" t="s">
        <v>14</v>
      </c>
      <c r="I1" s="3" t="s">
        <v>11</v>
      </c>
      <c r="J1" s="1" t="s">
        <v>1</v>
      </c>
      <c r="K1" s="1" t="s">
        <v>12</v>
      </c>
      <c r="L1" s="3" t="s">
        <v>17</v>
      </c>
      <c r="M1" s="3" t="s">
        <v>18</v>
      </c>
      <c r="N1" s="3" t="s">
        <v>19</v>
      </c>
      <c r="O1" s="1" t="s">
        <v>21</v>
      </c>
      <c r="P1" s="1" t="s">
        <v>22</v>
      </c>
      <c r="Q1" s="3" t="s">
        <v>23</v>
      </c>
      <c r="R1" s="3" t="s">
        <v>24</v>
      </c>
      <c r="S1" s="3" t="s">
        <v>25</v>
      </c>
      <c r="T1" s="1" t="s">
        <v>26</v>
      </c>
    </row>
    <row r="2" spans="1:20" ht="15.75" x14ac:dyDescent="0.25">
      <c r="A2" s="3" t="s">
        <v>32</v>
      </c>
      <c r="B2" s="3">
        <v>83</v>
      </c>
      <c r="C2" s="3">
        <v>28</v>
      </c>
      <c r="D2" s="12">
        <f t="shared" ref="D2:D10" si="0">B2*G2+I2*M2+C2*R2</f>
        <v>56.40025</v>
      </c>
      <c r="E2" s="3">
        <f>B2*'Technology Parameters'!$C$2</f>
        <v>6806</v>
      </c>
      <c r="F2" s="3">
        <f>B2*'Technology Parameters'!$D$2</f>
        <v>4150</v>
      </c>
      <c r="G2" s="3">
        <v>0.41</v>
      </c>
      <c r="H2" s="3">
        <v>28700</v>
      </c>
      <c r="I2" s="2">
        <v>9</v>
      </c>
      <c r="J2" s="3">
        <f>(I2*'Technology Parameters'!B2)</f>
        <v>450</v>
      </c>
      <c r="K2" s="3">
        <v>50</v>
      </c>
      <c r="L2" s="3">
        <v>286.125</v>
      </c>
      <c r="M2" s="3">
        <v>0.57225000000000004</v>
      </c>
      <c r="N2" s="3">
        <v>57225</v>
      </c>
      <c r="O2" s="6">
        <f>B2*'Technology Parameters'!$C$3</f>
        <v>6806</v>
      </c>
      <c r="P2" s="6">
        <f>B2*'Technology Parameters'!$D$3</f>
        <v>17015</v>
      </c>
      <c r="Q2" s="6">
        <v>205</v>
      </c>
      <c r="R2" s="6">
        <f>0.003*Q2</f>
        <v>0.61499999999999999</v>
      </c>
      <c r="S2" s="3">
        <f>'Technology Parameters'!$D$6*Q2</f>
        <v>17015</v>
      </c>
      <c r="T2" s="3">
        <f t="shared" ref="T2:T10" si="1">B2*H2+I2*N2+C2*S2</f>
        <v>3373545</v>
      </c>
    </row>
    <row r="3" spans="1:20" ht="15.75" x14ac:dyDescent="0.25">
      <c r="A3" s="3" t="s">
        <v>33</v>
      </c>
      <c r="B3" s="3">
        <v>92</v>
      </c>
      <c r="C3" s="3">
        <v>22</v>
      </c>
      <c r="D3" s="12">
        <f t="shared" si="0"/>
        <v>56.40025</v>
      </c>
      <c r="E3" s="3">
        <f>B3*'Technology Parameters'!$C$2</f>
        <v>7544</v>
      </c>
      <c r="F3" s="3">
        <f>B3*'Technology Parameters'!$D$2</f>
        <v>4600</v>
      </c>
      <c r="G3" s="3">
        <v>0.41</v>
      </c>
      <c r="H3" s="3">
        <v>28700</v>
      </c>
      <c r="I3" s="2">
        <v>9</v>
      </c>
      <c r="J3" s="3">
        <f>(I2*'Technology Parameters'!B2)</f>
        <v>450</v>
      </c>
      <c r="K3" s="3">
        <v>50</v>
      </c>
      <c r="L3" s="3">
        <v>286.125</v>
      </c>
      <c r="M3" s="3">
        <v>0.57225000000000004</v>
      </c>
      <c r="N3" s="3">
        <v>57225</v>
      </c>
      <c r="O3" s="6">
        <f>B3*'Technology Parameters'!$C$3</f>
        <v>7544</v>
      </c>
      <c r="P3" s="6">
        <f>B3*'Technology Parameters'!$D$3</f>
        <v>18860</v>
      </c>
      <c r="Q3" s="6">
        <v>205</v>
      </c>
      <c r="R3" s="6">
        <f t="shared" ref="R3:R9" si="2">0.003*Q3</f>
        <v>0.61499999999999999</v>
      </c>
      <c r="S3" s="3">
        <f>'Technology Parameters'!$D$6*Q3</f>
        <v>17015</v>
      </c>
      <c r="T3" s="3">
        <f t="shared" si="1"/>
        <v>3529755</v>
      </c>
    </row>
    <row r="4" spans="1:20" ht="15.75" x14ac:dyDescent="0.25">
      <c r="A4" s="3" t="s">
        <v>34</v>
      </c>
      <c r="B4" s="3">
        <v>74</v>
      </c>
      <c r="C4" s="3">
        <v>34</v>
      </c>
      <c r="D4" s="12">
        <f t="shared" si="0"/>
        <v>56.40025</v>
      </c>
      <c r="E4" s="3">
        <f>B4*'Technology Parameters'!$C$2</f>
        <v>6068</v>
      </c>
      <c r="F4" s="3">
        <f>B4*'Technology Parameters'!$D$2</f>
        <v>3700</v>
      </c>
      <c r="G4" s="3">
        <v>0.41</v>
      </c>
      <c r="H4" s="3">
        <v>28700</v>
      </c>
      <c r="I4" s="2">
        <v>9</v>
      </c>
      <c r="J4" s="3">
        <f>(I4*'Technology Parameters'!B2)</f>
        <v>450</v>
      </c>
      <c r="K4" s="3">
        <v>50</v>
      </c>
      <c r="L4" s="3">
        <v>286.125</v>
      </c>
      <c r="M4" s="3">
        <v>0.57225000000000004</v>
      </c>
      <c r="N4" s="3">
        <v>57225</v>
      </c>
      <c r="O4" s="6">
        <f>B4*'Technology Parameters'!$C$3</f>
        <v>6068</v>
      </c>
      <c r="P4" s="6">
        <f>B4*'Technology Parameters'!$D$3</f>
        <v>15170</v>
      </c>
      <c r="Q4" s="6">
        <v>205</v>
      </c>
      <c r="R4" s="6">
        <f t="shared" si="2"/>
        <v>0.61499999999999999</v>
      </c>
      <c r="S4" s="3">
        <f>'Technology Parameters'!$D$6*Q4</f>
        <v>17015</v>
      </c>
      <c r="T4" s="3">
        <f t="shared" si="1"/>
        <v>3217335</v>
      </c>
    </row>
    <row r="5" spans="1:20" ht="15.75" x14ac:dyDescent="0.25">
      <c r="A5" s="3" t="s">
        <v>46</v>
      </c>
      <c r="B5" s="3">
        <v>102</v>
      </c>
      <c r="C5" s="3">
        <v>28</v>
      </c>
      <c r="D5" s="12">
        <f t="shared" si="0"/>
        <v>64.190249999999992</v>
      </c>
      <c r="E5" s="3">
        <f>B5*'Technology Parameters'!$C$2</f>
        <v>8364</v>
      </c>
      <c r="F5" s="3">
        <f>B5*'Technology Parameters'!$D$2</f>
        <v>5100</v>
      </c>
      <c r="G5" s="3">
        <v>0.41</v>
      </c>
      <c r="H5" s="3">
        <v>28700</v>
      </c>
      <c r="I5" s="2">
        <v>9</v>
      </c>
      <c r="J5" s="3">
        <f>(I4*'Technology Parameters'!B2)</f>
        <v>450</v>
      </c>
      <c r="K5" s="3">
        <v>50</v>
      </c>
      <c r="L5" s="3">
        <v>286.125</v>
      </c>
      <c r="M5" s="3">
        <v>0.57225000000000004</v>
      </c>
      <c r="N5" s="3">
        <v>57225</v>
      </c>
      <c r="O5" s="6">
        <f>B5*'Technology Parameters'!$C$3</f>
        <v>8364</v>
      </c>
      <c r="P5" s="6">
        <f>B5*'Technology Parameters'!$D$3</f>
        <v>20910</v>
      </c>
      <c r="Q5" s="6">
        <v>205</v>
      </c>
      <c r="R5" s="6">
        <f t="shared" si="2"/>
        <v>0.61499999999999999</v>
      </c>
      <c r="S5" s="3">
        <f>'Technology Parameters'!$D$6*Q5</f>
        <v>17015</v>
      </c>
      <c r="T5" s="3">
        <f t="shared" si="1"/>
        <v>3918845</v>
      </c>
    </row>
    <row r="6" spans="1:20" ht="15.75" x14ac:dyDescent="0.25">
      <c r="A6" s="3" t="s">
        <v>47</v>
      </c>
      <c r="B6" s="3">
        <v>83</v>
      </c>
      <c r="C6" s="3">
        <v>40</v>
      </c>
      <c r="D6" s="12">
        <f t="shared" si="0"/>
        <v>63.780250000000002</v>
      </c>
      <c r="E6" s="3">
        <f>B6*'Technology Parameters'!$C$2</f>
        <v>6806</v>
      </c>
      <c r="F6" s="3">
        <f>B6*'Technology Parameters'!$D$2</f>
        <v>4150</v>
      </c>
      <c r="G6" s="3">
        <v>0.41</v>
      </c>
      <c r="H6" s="3">
        <v>28700</v>
      </c>
      <c r="I6" s="2">
        <v>9</v>
      </c>
      <c r="J6" s="3">
        <f>(I6*'Technology Parameters'!B2)</f>
        <v>450</v>
      </c>
      <c r="K6" s="3">
        <v>50</v>
      </c>
      <c r="L6" s="3">
        <v>286.125</v>
      </c>
      <c r="M6" s="3">
        <v>0.57225000000000004</v>
      </c>
      <c r="N6" s="3">
        <v>57225</v>
      </c>
      <c r="O6" s="6">
        <f>B6*'Technology Parameters'!$C$3</f>
        <v>6806</v>
      </c>
      <c r="P6" s="6">
        <f>B6*'Technology Parameters'!$D$3</f>
        <v>17015</v>
      </c>
      <c r="Q6" s="6">
        <v>205</v>
      </c>
      <c r="R6" s="6">
        <f t="shared" si="2"/>
        <v>0.61499999999999999</v>
      </c>
      <c r="S6" s="3">
        <f>'Technology Parameters'!$D$6*Q6</f>
        <v>17015</v>
      </c>
      <c r="T6" s="3">
        <f t="shared" si="1"/>
        <v>3577725</v>
      </c>
    </row>
    <row r="7" spans="1:20" ht="15.75" x14ac:dyDescent="0.25">
      <c r="A7" s="3" t="s">
        <v>48</v>
      </c>
      <c r="B7" s="3">
        <v>93</v>
      </c>
      <c r="C7" s="3">
        <v>34</v>
      </c>
      <c r="D7" s="12">
        <f t="shared" si="0"/>
        <v>64.190249999999992</v>
      </c>
      <c r="E7" s="3">
        <f>B7*'Technology Parameters'!$C$2</f>
        <v>7626</v>
      </c>
      <c r="F7" s="3">
        <f>B7*'Technology Parameters'!$D$2</f>
        <v>4650</v>
      </c>
      <c r="G7" s="3">
        <v>0.41</v>
      </c>
      <c r="H7" s="3">
        <v>28700</v>
      </c>
      <c r="I7" s="2">
        <v>9</v>
      </c>
      <c r="J7" s="3">
        <f>(I7*'Technology Parameters'!B2)</f>
        <v>450</v>
      </c>
      <c r="K7" s="3">
        <v>50</v>
      </c>
      <c r="L7" s="3">
        <v>286.125</v>
      </c>
      <c r="M7" s="3">
        <v>0.57225000000000004</v>
      </c>
      <c r="N7" s="3">
        <v>57225</v>
      </c>
      <c r="O7" s="6">
        <f>B7*'Technology Parameters'!$C$3</f>
        <v>7626</v>
      </c>
      <c r="P7" s="6">
        <f>B7*'Technology Parameters'!$D$3</f>
        <v>19065</v>
      </c>
      <c r="Q7" s="6">
        <v>205</v>
      </c>
      <c r="R7" s="6">
        <f t="shared" si="2"/>
        <v>0.61499999999999999</v>
      </c>
      <c r="S7" s="3">
        <f>'Technology Parameters'!$D$6*Q7</f>
        <v>17015</v>
      </c>
      <c r="T7" s="3">
        <f t="shared" si="1"/>
        <v>3762635</v>
      </c>
    </row>
    <row r="8" spans="1:20" ht="15.75" x14ac:dyDescent="0.25">
      <c r="A8" s="3" t="s">
        <v>49</v>
      </c>
      <c r="B8" s="3">
        <v>65</v>
      </c>
      <c r="C8" s="3">
        <v>28</v>
      </c>
      <c r="D8" s="12">
        <f t="shared" si="0"/>
        <v>49.020249999999997</v>
      </c>
      <c r="E8" s="3">
        <f>B8*'Technology Parameters'!$C$2</f>
        <v>5330</v>
      </c>
      <c r="F8" s="3">
        <f>B8*'Technology Parameters'!$D$2</f>
        <v>3250</v>
      </c>
      <c r="G8" s="3">
        <v>0.41</v>
      </c>
      <c r="H8" s="3">
        <v>28700</v>
      </c>
      <c r="I8" s="2">
        <v>9</v>
      </c>
      <c r="J8" s="3">
        <f>(I7*'Technology Parameters'!B2)</f>
        <v>450</v>
      </c>
      <c r="K8" s="3">
        <v>50</v>
      </c>
      <c r="L8" s="3">
        <v>286.125</v>
      </c>
      <c r="M8" s="3">
        <v>0.57225000000000004</v>
      </c>
      <c r="N8" s="3">
        <v>57225</v>
      </c>
      <c r="O8" s="6">
        <f>B8*'Technology Parameters'!$C$3</f>
        <v>5330</v>
      </c>
      <c r="P8" s="6">
        <f>B8*'Technology Parameters'!$D$3</f>
        <v>13325</v>
      </c>
      <c r="Q8" s="6">
        <v>205</v>
      </c>
      <c r="R8" s="6">
        <f t="shared" si="2"/>
        <v>0.61499999999999999</v>
      </c>
      <c r="S8" s="3">
        <f>'Technology Parameters'!$D$6*Q8</f>
        <v>17015</v>
      </c>
      <c r="T8" s="3">
        <f t="shared" si="1"/>
        <v>2856945</v>
      </c>
    </row>
    <row r="9" spans="1:20" ht="15.75" x14ac:dyDescent="0.25">
      <c r="A9" s="3" t="s">
        <v>50</v>
      </c>
      <c r="B9" s="3">
        <v>83</v>
      </c>
      <c r="C9" s="3">
        <v>16</v>
      </c>
      <c r="D9" s="12">
        <f t="shared" si="0"/>
        <v>49.020250000000004</v>
      </c>
      <c r="E9" s="3">
        <f>B9*'Technology Parameters'!$C$2</f>
        <v>6806</v>
      </c>
      <c r="F9" s="3">
        <f>B9*'Technology Parameters'!$D$2</f>
        <v>4150</v>
      </c>
      <c r="G9" s="3">
        <v>0.41</v>
      </c>
      <c r="H9" s="3">
        <v>28700</v>
      </c>
      <c r="I9" s="2">
        <v>9</v>
      </c>
      <c r="J9" s="3">
        <f>(I9*'Technology Parameters'!B2)</f>
        <v>450</v>
      </c>
      <c r="K9" s="3">
        <v>50</v>
      </c>
      <c r="L9" s="3">
        <v>286.125</v>
      </c>
      <c r="M9" s="3">
        <v>0.57225000000000004</v>
      </c>
      <c r="N9" s="3">
        <v>57225</v>
      </c>
      <c r="O9" s="6">
        <f>B9*'Technology Parameters'!$C$3</f>
        <v>6806</v>
      </c>
      <c r="P9" s="6">
        <f>B9*'Technology Parameters'!$D$3</f>
        <v>17015</v>
      </c>
      <c r="Q9" s="6">
        <v>205</v>
      </c>
      <c r="R9" s="6">
        <f t="shared" si="2"/>
        <v>0.61499999999999999</v>
      </c>
      <c r="S9" s="3">
        <f>'Technology Parameters'!$D$6*Q9</f>
        <v>17015</v>
      </c>
      <c r="T9" s="3">
        <f t="shared" si="1"/>
        <v>3169365</v>
      </c>
    </row>
    <row r="10" spans="1:20" ht="15.75" x14ac:dyDescent="0.25">
      <c r="A10" s="3" t="s">
        <v>51</v>
      </c>
      <c r="B10" s="3">
        <v>73</v>
      </c>
      <c r="C10" s="3">
        <v>22</v>
      </c>
      <c r="D10" s="12">
        <f t="shared" si="0"/>
        <v>48.610250000000001</v>
      </c>
      <c r="E10" s="3">
        <f>B10*'Technology Parameters'!$C$2</f>
        <v>5986</v>
      </c>
      <c r="F10" s="3">
        <f>B10*'Technology Parameters'!$D$2</f>
        <v>3650</v>
      </c>
      <c r="G10" s="3">
        <v>0.41</v>
      </c>
      <c r="H10" s="3">
        <v>28700</v>
      </c>
      <c r="I10" s="2">
        <v>9</v>
      </c>
      <c r="J10" s="3">
        <f>(I9*'Technology Parameters'!B2)</f>
        <v>450</v>
      </c>
      <c r="K10" s="3">
        <v>50</v>
      </c>
      <c r="L10" s="3">
        <v>286.125</v>
      </c>
      <c r="M10" s="3">
        <v>0.57225000000000004</v>
      </c>
      <c r="N10" s="3">
        <v>57225</v>
      </c>
      <c r="O10" s="6">
        <f>B10*'Technology Parameters'!$C$3</f>
        <v>5986</v>
      </c>
      <c r="P10" s="6">
        <f>B10*'Technology Parameters'!$D$3</f>
        <v>14965</v>
      </c>
      <c r="Q10" s="6">
        <v>205</v>
      </c>
      <c r="R10" s="6">
        <f>0.003*Q10</f>
        <v>0.61499999999999999</v>
      </c>
      <c r="S10" s="3">
        <f>'Technology Parameters'!$D$6*Q10</f>
        <v>17015</v>
      </c>
      <c r="T10" s="3">
        <f t="shared" si="1"/>
        <v>2984455</v>
      </c>
    </row>
    <row r="11" spans="1:20" x14ac:dyDescent="0.25">
      <c r="B11"/>
      <c r="C11"/>
      <c r="D11"/>
    </row>
    <row r="12" spans="1:20" x14ac:dyDescent="0.25">
      <c r="A12" t="str">
        <f>A2</f>
        <v>Scenario_Base_1</v>
      </c>
      <c r="B12" s="10">
        <f>B2-B$2</f>
        <v>0</v>
      </c>
      <c r="C12" s="10">
        <f>C2-C$2</f>
        <v>0</v>
      </c>
      <c r="D12" s="13">
        <f>D2</f>
        <v>56.40025</v>
      </c>
      <c r="E12" s="15">
        <f>(D12-D$2)/D$2</f>
        <v>0</v>
      </c>
    </row>
    <row r="13" spans="1:20" ht="15.75" x14ac:dyDescent="0.25">
      <c r="A13" t="str">
        <f t="shared" ref="A13:A20" si="3">A3</f>
        <v>Scenario_Base_2</v>
      </c>
      <c r="B13" s="10">
        <f t="shared" ref="B13:C20" si="4">B3-B$2</f>
        <v>9</v>
      </c>
      <c r="C13" s="10">
        <f t="shared" si="4"/>
        <v>-6</v>
      </c>
      <c r="D13" s="13">
        <f t="shared" ref="D13:D20" si="5">D3</f>
        <v>56.40025</v>
      </c>
      <c r="E13" s="15">
        <f t="shared" ref="E13:E20" si="6">(D13-D$2)/D$2</f>
        <v>0</v>
      </c>
      <c r="F13" s="4"/>
    </row>
    <row r="14" spans="1:20" ht="15.75" x14ac:dyDescent="0.25">
      <c r="A14" t="str">
        <f t="shared" si="3"/>
        <v>Scenario_Base_3</v>
      </c>
      <c r="B14" s="10">
        <f t="shared" si="4"/>
        <v>-9</v>
      </c>
      <c r="C14" s="10">
        <f t="shared" si="4"/>
        <v>6</v>
      </c>
      <c r="D14" s="13">
        <f t="shared" si="5"/>
        <v>56.40025</v>
      </c>
      <c r="E14" s="15">
        <f t="shared" si="6"/>
        <v>0</v>
      </c>
      <c r="O14" s="4"/>
    </row>
    <row r="15" spans="1:20" x14ac:dyDescent="0.25">
      <c r="A15" t="str">
        <f t="shared" si="3"/>
        <v>Scenario_UpperCost_1</v>
      </c>
      <c r="B15" s="10">
        <f t="shared" si="4"/>
        <v>19</v>
      </c>
      <c r="C15" s="10">
        <f t="shared" si="4"/>
        <v>0</v>
      </c>
      <c r="D15" s="13">
        <f t="shared" si="5"/>
        <v>64.190249999999992</v>
      </c>
      <c r="E15" s="16">
        <f t="shared" si="6"/>
        <v>0.13811995514204267</v>
      </c>
    </row>
    <row r="16" spans="1:20" x14ac:dyDescent="0.25">
      <c r="A16" t="str">
        <f t="shared" si="3"/>
        <v>Scenario_UpperCost_2</v>
      </c>
      <c r="B16" s="10">
        <f t="shared" si="4"/>
        <v>0</v>
      </c>
      <c r="C16" s="10">
        <f t="shared" si="4"/>
        <v>12</v>
      </c>
      <c r="D16" s="13">
        <f t="shared" si="5"/>
        <v>63.780250000000002</v>
      </c>
      <c r="E16" s="16">
        <f t="shared" si="6"/>
        <v>0.13085048381877745</v>
      </c>
    </row>
    <row r="17" spans="1:5" x14ac:dyDescent="0.25">
      <c r="A17" s="14" t="str">
        <f t="shared" si="3"/>
        <v>Scenario_UpperCost_3</v>
      </c>
      <c r="B17" s="10">
        <f t="shared" si="4"/>
        <v>10</v>
      </c>
      <c r="C17" s="10">
        <f t="shared" si="4"/>
        <v>6</v>
      </c>
      <c r="D17" s="13">
        <f t="shared" si="5"/>
        <v>64.190249999999992</v>
      </c>
      <c r="E17" s="16">
        <f t="shared" si="6"/>
        <v>0.13811995514204267</v>
      </c>
    </row>
    <row r="18" spans="1:5" x14ac:dyDescent="0.25">
      <c r="A18" t="str">
        <f t="shared" si="3"/>
        <v>Scenario_LowerCost_1</v>
      </c>
      <c r="B18" s="10">
        <f t="shared" si="4"/>
        <v>-18</v>
      </c>
      <c r="C18" s="10">
        <f t="shared" si="4"/>
        <v>0</v>
      </c>
      <c r="D18" s="13">
        <f t="shared" si="5"/>
        <v>49.020249999999997</v>
      </c>
      <c r="E18" s="16">
        <f t="shared" si="6"/>
        <v>-0.13085048381877745</v>
      </c>
    </row>
    <row r="19" spans="1:5" x14ac:dyDescent="0.25">
      <c r="A19" t="str">
        <f t="shared" si="3"/>
        <v>Scenario_LowerCost_2</v>
      </c>
      <c r="B19" s="10">
        <f t="shared" si="4"/>
        <v>0</v>
      </c>
      <c r="C19" s="10">
        <f t="shared" si="4"/>
        <v>-12</v>
      </c>
      <c r="D19" s="13">
        <f t="shared" si="5"/>
        <v>49.020250000000004</v>
      </c>
      <c r="E19" s="16">
        <f t="shared" si="6"/>
        <v>-0.13085048381877731</v>
      </c>
    </row>
    <row r="20" spans="1:5" x14ac:dyDescent="0.25">
      <c r="A20" t="str">
        <f t="shared" si="3"/>
        <v>Scenario_LowerCost_3</v>
      </c>
      <c r="B20" s="10">
        <f t="shared" si="4"/>
        <v>-10</v>
      </c>
      <c r="C20" s="10">
        <f t="shared" si="4"/>
        <v>-6</v>
      </c>
      <c r="D20" s="13">
        <f t="shared" si="5"/>
        <v>48.610250000000001</v>
      </c>
      <c r="E20" s="16">
        <f t="shared" si="6"/>
        <v>-0.13811995514204278</v>
      </c>
    </row>
    <row r="26" spans="1:5" x14ac:dyDescent="0.25">
      <c r="D26" s="13" cm="1">
        <f t="array" ref="D26:D31">_xlfn._xlws.SORT(_xlfn.UNIQUE(D2:D10))</f>
        <v>48.610250000000001</v>
      </c>
    </row>
    <row r="27" spans="1:5" x14ac:dyDescent="0.25">
      <c r="D27" s="13">
        <v>49.020249999999997</v>
      </c>
    </row>
    <row r="28" spans="1:5" x14ac:dyDescent="0.25">
      <c r="D28" s="13">
        <v>49.020250000000004</v>
      </c>
    </row>
    <row r="29" spans="1:5" x14ac:dyDescent="0.25">
      <c r="D29" s="13">
        <v>56.40025</v>
      </c>
    </row>
    <row r="30" spans="1:5" x14ac:dyDescent="0.25">
      <c r="D30" s="13">
        <v>63.780250000000002</v>
      </c>
    </row>
    <row r="31" spans="1:5" x14ac:dyDescent="0.25">
      <c r="D31" s="13">
        <v>64.190249999999992</v>
      </c>
    </row>
    <row r="34" spans="8:8" ht="15.75" x14ac:dyDescent="0.25">
      <c r="H34" s="5"/>
    </row>
  </sheetData>
  <phoneticPr fontId="5" type="noConversion"/>
  <conditionalFormatting sqref="D2:D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A2A7-2C09-4896-933E-EEB07195D816}">
  <dimension ref="A1:G21"/>
  <sheetViews>
    <sheetView workbookViewId="0">
      <selection activeCell="A10" sqref="A2:A10"/>
    </sheetView>
  </sheetViews>
  <sheetFormatPr defaultRowHeight="15" x14ac:dyDescent="0.25"/>
  <cols>
    <col min="1" max="1" width="15" bestFit="1" customWidth="1"/>
    <col min="4" max="4" width="12.5703125" bestFit="1" customWidth="1"/>
  </cols>
  <sheetData>
    <row r="1" spans="1:7" x14ac:dyDescent="0.25">
      <c r="B1" t="s">
        <v>41</v>
      </c>
      <c r="C1" t="s">
        <v>42</v>
      </c>
      <c r="D1" t="s">
        <v>44</v>
      </c>
      <c r="E1" t="s">
        <v>45</v>
      </c>
      <c r="F1" t="s">
        <v>43</v>
      </c>
    </row>
    <row r="2" spans="1:7" x14ac:dyDescent="0.25">
      <c r="A2" t="s">
        <v>32</v>
      </c>
      <c r="B2">
        <v>83</v>
      </c>
      <c r="C2">
        <v>28</v>
      </c>
      <c r="D2">
        <v>0.41</v>
      </c>
      <c r="E2">
        <v>0.61499999999999999</v>
      </c>
      <c r="F2">
        <f t="shared" ref="F2:F10" si="0">E2*C2+D2*B2</f>
        <v>51.25</v>
      </c>
    </row>
    <row r="3" spans="1:7" x14ac:dyDescent="0.25">
      <c r="A3" t="s">
        <v>33</v>
      </c>
      <c r="B3">
        <v>92</v>
      </c>
      <c r="C3">
        <f xml:space="preserve"> ROUND((F2-D3*B3)/E3,0)</f>
        <v>22</v>
      </c>
      <c r="D3">
        <v>0.41</v>
      </c>
      <c r="E3">
        <v>0.61499999999999999</v>
      </c>
      <c r="F3">
        <f t="shared" si="0"/>
        <v>51.25</v>
      </c>
    </row>
    <row r="4" spans="1:7" x14ac:dyDescent="0.25">
      <c r="A4" t="s">
        <v>34</v>
      </c>
      <c r="B4">
        <f xml:space="preserve"> (F2-(C4*E4))/D4</f>
        <v>74</v>
      </c>
      <c r="C4">
        <v>34</v>
      </c>
      <c r="D4">
        <v>0.41</v>
      </c>
      <c r="E4">
        <v>0.61499999999999999</v>
      </c>
      <c r="F4">
        <f t="shared" si="0"/>
        <v>51.25</v>
      </c>
    </row>
    <row r="5" spans="1:7" x14ac:dyDescent="0.25">
      <c r="A5" t="s">
        <v>35</v>
      </c>
      <c r="B5">
        <f xml:space="preserve"> ROUND((F2*1.15-(C5*E5))/D5,0)</f>
        <v>102</v>
      </c>
      <c r="C5">
        <v>28</v>
      </c>
      <c r="D5">
        <v>0.41</v>
      </c>
      <c r="E5">
        <v>0.61499999999999999</v>
      </c>
      <c r="F5">
        <f t="shared" si="0"/>
        <v>59.04</v>
      </c>
    </row>
    <row r="6" spans="1:7" x14ac:dyDescent="0.25">
      <c r="A6" t="s">
        <v>36</v>
      </c>
      <c r="B6">
        <v>83</v>
      </c>
      <c r="C6">
        <f xml:space="preserve"> ROUND((F2*1.15-D6*B6)/E6,0)</f>
        <v>41</v>
      </c>
      <c r="D6">
        <v>0.41</v>
      </c>
      <c r="E6">
        <v>0.61499999999999999</v>
      </c>
      <c r="F6">
        <f t="shared" si="0"/>
        <v>59.245000000000005</v>
      </c>
    </row>
    <row r="7" spans="1:7" x14ac:dyDescent="0.25">
      <c r="A7" t="s">
        <v>37</v>
      </c>
      <c r="B7">
        <v>94</v>
      </c>
      <c r="C7">
        <f>ROUND((F2*1.15-D7*B7)/E7,0)</f>
        <v>33</v>
      </c>
      <c r="D7">
        <v>0.41</v>
      </c>
      <c r="E7">
        <v>0.61499999999999999</v>
      </c>
      <c r="F7">
        <f t="shared" si="0"/>
        <v>58.834999999999994</v>
      </c>
    </row>
    <row r="8" spans="1:7" x14ac:dyDescent="0.25">
      <c r="A8" t="s">
        <v>38</v>
      </c>
      <c r="B8">
        <v>65</v>
      </c>
      <c r="C8">
        <v>28</v>
      </c>
      <c r="D8">
        <v>0.41</v>
      </c>
      <c r="E8">
        <v>0.61499999999999999</v>
      </c>
      <c r="F8">
        <f t="shared" si="0"/>
        <v>43.87</v>
      </c>
    </row>
    <row r="9" spans="1:7" x14ac:dyDescent="0.25">
      <c r="A9" t="s">
        <v>39</v>
      </c>
      <c r="B9">
        <v>83</v>
      </c>
      <c r="C9">
        <f>ROUND((F2*0.85-D9*B9)/E9,0)</f>
        <v>16</v>
      </c>
      <c r="D9">
        <v>0.41</v>
      </c>
      <c r="E9">
        <v>0.61499999999999999</v>
      </c>
      <c r="F9">
        <f t="shared" si="0"/>
        <v>43.870000000000005</v>
      </c>
    </row>
    <row r="10" spans="1:7" x14ac:dyDescent="0.25">
      <c r="A10" t="s">
        <v>40</v>
      </c>
      <c r="B10">
        <f>ROUND((F2*0.85-(C10*E10))/D10,0)</f>
        <v>73</v>
      </c>
      <c r="C10">
        <v>22</v>
      </c>
      <c r="D10">
        <v>0.41</v>
      </c>
      <c r="E10">
        <v>0.61499999999999999</v>
      </c>
      <c r="F10">
        <f t="shared" si="0"/>
        <v>43.46</v>
      </c>
    </row>
    <row r="13" spans="1:7" x14ac:dyDescent="0.25">
      <c r="G13">
        <v>28</v>
      </c>
    </row>
    <row r="14" spans="1:7" x14ac:dyDescent="0.25">
      <c r="G14">
        <v>17</v>
      </c>
    </row>
    <row r="15" spans="1:7" x14ac:dyDescent="0.25">
      <c r="G15">
        <v>34</v>
      </c>
    </row>
    <row r="16" spans="1:7" x14ac:dyDescent="0.25">
      <c r="G16">
        <v>28</v>
      </c>
    </row>
    <row r="17" spans="7:7" x14ac:dyDescent="0.25">
      <c r="G17">
        <v>40</v>
      </c>
    </row>
    <row r="18" spans="7:7" x14ac:dyDescent="0.25">
      <c r="G18">
        <v>29</v>
      </c>
    </row>
    <row r="19" spans="7:7" x14ac:dyDescent="0.25">
      <c r="G19">
        <v>28</v>
      </c>
    </row>
    <row r="20" spans="7:7" x14ac:dyDescent="0.25">
      <c r="G20">
        <v>15</v>
      </c>
    </row>
    <row r="21" spans="7:7" x14ac:dyDescent="0.25">
      <c r="G21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 Parameters</vt:lpstr>
      <vt:lpstr>New scenarios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2025-01-29T15:54:20Z</dcterms:modified>
</cp:coreProperties>
</file>