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2globaladvisory-my.sharepoint.com/personal/julian_reul_h2-global_org/Documents/Desktop/H2Global/1_Model/profin_package/deployment/kenya_white_paper/"/>
    </mc:Choice>
  </mc:AlternateContent>
  <xr:revisionPtr revIDLastSave="4" documentId="14_{539B7ABE-C01E-4579-8B1E-07779BA5D421}" xr6:coauthVersionLast="47" xr6:coauthVersionMax="47" xr10:uidLastSave="{213B914D-F34F-4A5B-8370-7A960B7F8BE5}"/>
  <bookViews>
    <workbookView xWindow="-110" yWindow="-110" windowWidth="38620" windowHeight="21100" activeTab="4" xr2:uid="{223E9BD8-797F-42B6-908D-C7BFB733ACB0}"/>
  </bookViews>
  <sheets>
    <sheet name="Turkana_Central_500_MW" sheetId="1" r:id="rId1"/>
    <sheet name="Turkana_Central_100_MW" sheetId="3" r:id="rId2"/>
    <sheet name="Turkana_Central_10_MW" sheetId="4" r:id="rId3"/>
    <sheet name="Turkana_South_500_MW" sheetId="5" r:id="rId4"/>
    <sheet name="Turkana_South_100_MW" sheetId="6" r:id="rId5"/>
    <sheet name="Turkana_South_100_MW_Grid_AUX" sheetId="15" r:id="rId6"/>
    <sheet name="Turkana_South_100_MW_Grid" sheetId="16" r:id="rId7"/>
    <sheet name="Turkana_South_10_MW" sheetId="7" r:id="rId8"/>
    <sheet name="Mombasa_500_MW" sheetId="8" r:id="rId9"/>
    <sheet name="Mombasa_100_MW" sheetId="9" r:id="rId10"/>
    <sheet name="Mombasa_10_MW" sheetId="10" r:id="rId11"/>
    <sheet name="Kisumu_500_MW" sheetId="12" r:id="rId12"/>
    <sheet name="Kisumu_100_MW" sheetId="13" r:id="rId13"/>
    <sheet name="Kisumu_10_MW" sheetId="14" r:id="rId14"/>
  </sheets>
  <calcPr calcId="191029" iterate="1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4" l="1"/>
  <c r="T10" i="14" s="1"/>
  <c r="B9" i="14"/>
  <c r="B10" i="10"/>
  <c r="B9" i="10"/>
  <c r="B10" i="7"/>
  <c r="B9" i="7"/>
  <c r="B9" i="4"/>
  <c r="D9" i="4" s="1"/>
  <c r="X9" i="4" s="1"/>
  <c r="B10" i="4"/>
  <c r="P12" i="4" s="1"/>
  <c r="P23" i="5"/>
  <c r="P12" i="5"/>
  <c r="T10" i="5"/>
  <c r="T9" i="5"/>
  <c r="P23" i="8"/>
  <c r="P22" i="8"/>
  <c r="W8" i="8" s="1"/>
  <c r="X14" i="8"/>
  <c r="U14" i="8"/>
  <c r="V14" i="8" s="1"/>
  <c r="T14" i="8"/>
  <c r="X13" i="8"/>
  <c r="V13" i="8"/>
  <c r="U13" i="8"/>
  <c r="T13" i="8"/>
  <c r="W13" i="8" s="1"/>
  <c r="X12" i="8"/>
  <c r="V12" i="8"/>
  <c r="W12" i="8" s="1"/>
  <c r="U12" i="8"/>
  <c r="T12" i="8"/>
  <c r="P12" i="8"/>
  <c r="X11" i="8"/>
  <c r="U11" i="8"/>
  <c r="V11" i="8" s="1"/>
  <c r="W11" i="8" s="1"/>
  <c r="T11" i="8"/>
  <c r="X10" i="8"/>
  <c r="U10" i="8"/>
  <c r="V10" i="8" s="1"/>
  <c r="W10" i="8" s="1"/>
  <c r="T10" i="8"/>
  <c r="X9" i="8"/>
  <c r="U9" i="8"/>
  <c r="V9" i="8" s="1"/>
  <c r="W9" i="8" s="1"/>
  <c r="T9" i="8"/>
  <c r="Y8" i="8"/>
  <c r="X8" i="8"/>
  <c r="X15" i="8" s="1"/>
  <c r="V8" i="8"/>
  <c r="U8" i="8"/>
  <c r="T8" i="8"/>
  <c r="X7" i="8"/>
  <c r="V7" i="8"/>
  <c r="W7" i="8" s="1"/>
  <c r="U7" i="8"/>
  <c r="T7" i="8"/>
  <c r="X6" i="8"/>
  <c r="U6" i="8"/>
  <c r="V6" i="8" s="1"/>
  <c r="T6" i="8"/>
  <c r="T15" i="8" s="1"/>
  <c r="P2" i="8" s="1"/>
  <c r="X5" i="8"/>
  <c r="U5" i="8"/>
  <c r="V5" i="8" s="1"/>
  <c r="T5" i="8"/>
  <c r="Y5" i="8" s="1"/>
  <c r="X4" i="8"/>
  <c r="V4" i="8"/>
  <c r="U4" i="8"/>
  <c r="T4" i="8"/>
  <c r="Y4" i="8" s="1"/>
  <c r="P23" i="9"/>
  <c r="P22" i="9"/>
  <c r="W8" i="9" s="1"/>
  <c r="X14" i="9"/>
  <c r="U14" i="9"/>
  <c r="V14" i="9" s="1"/>
  <c r="T14" i="9"/>
  <c r="W14" i="9" s="1"/>
  <c r="X13" i="9"/>
  <c r="V13" i="9"/>
  <c r="U13" i="9"/>
  <c r="T13" i="9"/>
  <c r="W13" i="9" s="1"/>
  <c r="X12" i="9"/>
  <c r="V12" i="9"/>
  <c r="W12" i="9" s="1"/>
  <c r="U12" i="9"/>
  <c r="T12" i="9"/>
  <c r="P12" i="9"/>
  <c r="X11" i="9"/>
  <c r="U11" i="9"/>
  <c r="V11" i="9" s="1"/>
  <c r="W11" i="9" s="1"/>
  <c r="T11" i="9"/>
  <c r="X10" i="9"/>
  <c r="U10" i="9"/>
  <c r="V10" i="9" s="1"/>
  <c r="W10" i="9" s="1"/>
  <c r="T10" i="9"/>
  <c r="X9" i="9"/>
  <c r="U9" i="9"/>
  <c r="V9" i="9" s="1"/>
  <c r="T9" i="9"/>
  <c r="W9" i="9" s="1"/>
  <c r="Y8" i="9"/>
  <c r="X8" i="9"/>
  <c r="X15" i="9" s="1"/>
  <c r="V8" i="9"/>
  <c r="U8" i="9"/>
  <c r="T8" i="9"/>
  <c r="X7" i="9"/>
  <c r="V7" i="9"/>
  <c r="W7" i="9" s="1"/>
  <c r="U7" i="9"/>
  <c r="T7" i="9"/>
  <c r="X6" i="9"/>
  <c r="U6" i="9"/>
  <c r="V6" i="9" s="1"/>
  <c r="T6" i="9"/>
  <c r="T15" i="9" s="1"/>
  <c r="P2" i="9" s="1"/>
  <c r="X5" i="9"/>
  <c r="U5" i="9"/>
  <c r="V5" i="9" s="1"/>
  <c r="T5" i="9"/>
  <c r="Y5" i="9" s="1"/>
  <c r="X4" i="9"/>
  <c r="V4" i="9"/>
  <c r="U4" i="9"/>
  <c r="T4" i="9"/>
  <c r="Y4" i="9" s="1"/>
  <c r="P23" i="10"/>
  <c r="P22" i="10"/>
  <c r="X14" i="10"/>
  <c r="U14" i="10"/>
  <c r="V14" i="10" s="1"/>
  <c r="T14" i="10"/>
  <c r="W14" i="10" s="1"/>
  <c r="X13" i="10"/>
  <c r="U13" i="10"/>
  <c r="V13" i="10" s="1"/>
  <c r="T13" i="10"/>
  <c r="X12" i="10"/>
  <c r="V12" i="10"/>
  <c r="W12" i="10" s="1"/>
  <c r="U12" i="10"/>
  <c r="T12" i="10"/>
  <c r="P12" i="10"/>
  <c r="X11" i="10"/>
  <c r="U11" i="10"/>
  <c r="V11" i="10" s="1"/>
  <c r="W11" i="10" s="1"/>
  <c r="T11" i="10"/>
  <c r="U10" i="10"/>
  <c r="V10" i="10" s="1"/>
  <c r="T10" i="10"/>
  <c r="U9" i="10"/>
  <c r="V9" i="10" s="1"/>
  <c r="T9" i="10"/>
  <c r="W9" i="10" s="1"/>
  <c r="X8" i="10"/>
  <c r="U8" i="10"/>
  <c r="V8" i="10" s="1"/>
  <c r="W8" i="10" s="1"/>
  <c r="T8" i="10"/>
  <c r="Y8" i="10" s="1"/>
  <c r="X7" i="10"/>
  <c r="V7" i="10"/>
  <c r="W7" i="10" s="1"/>
  <c r="U7" i="10"/>
  <c r="T7" i="10"/>
  <c r="X6" i="10"/>
  <c r="V6" i="10"/>
  <c r="U6" i="10"/>
  <c r="T6" i="10"/>
  <c r="W6" i="10" s="1"/>
  <c r="X5" i="10"/>
  <c r="U5" i="10"/>
  <c r="V5" i="10" s="1"/>
  <c r="W5" i="10" s="1"/>
  <c r="T5" i="10"/>
  <c r="Y5" i="10" s="1"/>
  <c r="X4" i="10"/>
  <c r="U4" i="10"/>
  <c r="V4" i="10" s="1"/>
  <c r="T4" i="10"/>
  <c r="Y4" i="10" s="1"/>
  <c r="P23" i="12"/>
  <c r="P22" i="12"/>
  <c r="W8" i="12" s="1"/>
  <c r="X14" i="12"/>
  <c r="U14" i="12"/>
  <c r="V14" i="12" s="1"/>
  <c r="T14" i="12"/>
  <c r="W14" i="12" s="1"/>
  <c r="X13" i="12"/>
  <c r="V13" i="12"/>
  <c r="U13" i="12"/>
  <c r="T13" i="12"/>
  <c r="W13" i="12" s="1"/>
  <c r="X12" i="12"/>
  <c r="V12" i="12"/>
  <c r="W12" i="12" s="1"/>
  <c r="U12" i="12"/>
  <c r="T12" i="12"/>
  <c r="P12" i="12"/>
  <c r="X11" i="12"/>
  <c r="U11" i="12"/>
  <c r="V11" i="12" s="1"/>
  <c r="W11" i="12" s="1"/>
  <c r="T11" i="12"/>
  <c r="X10" i="12"/>
  <c r="U10" i="12"/>
  <c r="V10" i="12" s="1"/>
  <c r="T10" i="12"/>
  <c r="X9" i="12"/>
  <c r="U9" i="12"/>
  <c r="V9" i="12" s="1"/>
  <c r="T9" i="12"/>
  <c r="Y8" i="12"/>
  <c r="X8" i="12"/>
  <c r="X15" i="12" s="1"/>
  <c r="V8" i="12"/>
  <c r="U8" i="12"/>
  <c r="T8" i="12"/>
  <c r="X7" i="12"/>
  <c r="V7" i="12"/>
  <c r="W7" i="12" s="1"/>
  <c r="U7" i="12"/>
  <c r="T7" i="12"/>
  <c r="X6" i="12"/>
  <c r="U6" i="12"/>
  <c r="V6" i="12" s="1"/>
  <c r="T6" i="12"/>
  <c r="W6" i="12" s="1"/>
  <c r="X5" i="12"/>
  <c r="U5" i="12"/>
  <c r="V5" i="12" s="1"/>
  <c r="T5" i="12"/>
  <c r="Y5" i="12" s="1"/>
  <c r="X4" i="12"/>
  <c r="U4" i="12"/>
  <c r="V4" i="12" s="1"/>
  <c r="T4" i="12"/>
  <c r="Y4" i="12" s="1"/>
  <c r="P23" i="13"/>
  <c r="P22" i="13"/>
  <c r="W8" i="13" s="1"/>
  <c r="X14" i="13"/>
  <c r="U14" i="13"/>
  <c r="V14" i="13" s="1"/>
  <c r="T14" i="13"/>
  <c r="W14" i="13" s="1"/>
  <c r="X13" i="13"/>
  <c r="V13" i="13"/>
  <c r="U13" i="13"/>
  <c r="T13" i="13"/>
  <c r="W13" i="13" s="1"/>
  <c r="X12" i="13"/>
  <c r="V12" i="13"/>
  <c r="W12" i="13" s="1"/>
  <c r="U12" i="13"/>
  <c r="T12" i="13"/>
  <c r="P12" i="13"/>
  <c r="X11" i="13"/>
  <c r="U11" i="13"/>
  <c r="V11" i="13" s="1"/>
  <c r="W11" i="13" s="1"/>
  <c r="T11" i="13"/>
  <c r="X10" i="13"/>
  <c r="U10" i="13"/>
  <c r="V10" i="13" s="1"/>
  <c r="W10" i="13" s="1"/>
  <c r="T10" i="13"/>
  <c r="X9" i="13"/>
  <c r="U9" i="13"/>
  <c r="V9" i="13" s="1"/>
  <c r="W9" i="13" s="1"/>
  <c r="T9" i="13"/>
  <c r="Y8" i="13"/>
  <c r="X8" i="13"/>
  <c r="V8" i="13"/>
  <c r="U8" i="13"/>
  <c r="T8" i="13"/>
  <c r="X7" i="13"/>
  <c r="V7" i="13"/>
  <c r="W7" i="13" s="1"/>
  <c r="U7" i="13"/>
  <c r="T7" i="13"/>
  <c r="X6" i="13"/>
  <c r="U6" i="13"/>
  <c r="V6" i="13" s="1"/>
  <c r="T6" i="13"/>
  <c r="W6" i="13" s="1"/>
  <c r="X5" i="13"/>
  <c r="U5" i="13"/>
  <c r="V5" i="13" s="1"/>
  <c r="T5" i="13"/>
  <c r="Y5" i="13" s="1"/>
  <c r="X4" i="13"/>
  <c r="X15" i="13" s="1"/>
  <c r="V4" i="13"/>
  <c r="U4" i="13"/>
  <c r="T4" i="13"/>
  <c r="Y4" i="13" s="1"/>
  <c r="P23" i="14"/>
  <c r="W10" i="14" s="1"/>
  <c r="P22" i="14"/>
  <c r="X14" i="14"/>
  <c r="U14" i="14"/>
  <c r="V14" i="14" s="1"/>
  <c r="T14" i="14"/>
  <c r="X13" i="14"/>
  <c r="U13" i="14"/>
  <c r="V13" i="14" s="1"/>
  <c r="T13" i="14"/>
  <c r="W13" i="14" s="1"/>
  <c r="X12" i="14"/>
  <c r="V12" i="14"/>
  <c r="W12" i="14" s="1"/>
  <c r="U12" i="14"/>
  <c r="T12" i="14"/>
  <c r="X11" i="14"/>
  <c r="U11" i="14"/>
  <c r="V11" i="14" s="1"/>
  <c r="W11" i="14" s="1"/>
  <c r="T11" i="14"/>
  <c r="V10" i="14"/>
  <c r="U10" i="14"/>
  <c r="U9" i="14"/>
  <c r="V9" i="14" s="1"/>
  <c r="T9" i="14"/>
  <c r="W9" i="14" s="1"/>
  <c r="X8" i="14"/>
  <c r="U8" i="14"/>
  <c r="V8" i="14" s="1"/>
  <c r="W8" i="14" s="1"/>
  <c r="T8" i="14"/>
  <c r="Y8" i="14" s="1"/>
  <c r="X7" i="14"/>
  <c r="V7" i="14"/>
  <c r="W7" i="14" s="1"/>
  <c r="U7" i="14"/>
  <c r="T7" i="14"/>
  <c r="X6" i="14"/>
  <c r="W6" i="14"/>
  <c r="V6" i="14"/>
  <c r="U6" i="14"/>
  <c r="T6" i="14"/>
  <c r="X5" i="14"/>
  <c r="V5" i="14"/>
  <c r="W5" i="14" s="1"/>
  <c r="U5" i="14"/>
  <c r="T5" i="14"/>
  <c r="Y5" i="14" s="1"/>
  <c r="X4" i="14"/>
  <c r="U4" i="14"/>
  <c r="V4" i="14" s="1"/>
  <c r="T4" i="14"/>
  <c r="Y4" i="14" s="1"/>
  <c r="P23" i="7"/>
  <c r="P22" i="7"/>
  <c r="X14" i="7"/>
  <c r="U14" i="7"/>
  <c r="V14" i="7" s="1"/>
  <c r="T14" i="7"/>
  <c r="X13" i="7"/>
  <c r="V13" i="7"/>
  <c r="W13" i="7" s="1"/>
  <c r="U13" i="7"/>
  <c r="T13" i="7"/>
  <c r="X12" i="7"/>
  <c r="V12" i="7"/>
  <c r="U12" i="7"/>
  <c r="T12" i="7"/>
  <c r="W12" i="7" s="1"/>
  <c r="P12" i="7"/>
  <c r="X11" i="7"/>
  <c r="U11" i="7"/>
  <c r="V11" i="7" s="1"/>
  <c r="W11" i="7" s="1"/>
  <c r="T11" i="7"/>
  <c r="U10" i="7"/>
  <c r="V10" i="7" s="1"/>
  <c r="T10" i="7"/>
  <c r="U9" i="7"/>
  <c r="V9" i="7" s="1"/>
  <c r="W9" i="7" s="1"/>
  <c r="T9" i="7"/>
  <c r="X8" i="7"/>
  <c r="V8" i="7"/>
  <c r="W8" i="7" s="1"/>
  <c r="U8" i="7"/>
  <c r="T8" i="7"/>
  <c r="Y8" i="7" s="1"/>
  <c r="X7" i="7"/>
  <c r="V7" i="7"/>
  <c r="U7" i="7"/>
  <c r="T7" i="7"/>
  <c r="W7" i="7" s="1"/>
  <c r="X6" i="7"/>
  <c r="V6" i="7"/>
  <c r="U6" i="7"/>
  <c r="T6" i="7"/>
  <c r="W6" i="7" s="1"/>
  <c r="Y5" i="7"/>
  <c r="X5" i="7"/>
  <c r="U5" i="7"/>
  <c r="V5" i="7" s="1"/>
  <c r="W5" i="7" s="1"/>
  <c r="T5" i="7"/>
  <c r="X4" i="7"/>
  <c r="U4" i="7"/>
  <c r="V4" i="7" s="1"/>
  <c r="T4" i="7"/>
  <c r="Y4" i="7" s="1"/>
  <c r="P23" i="16"/>
  <c r="P22" i="16"/>
  <c r="X15" i="16"/>
  <c r="Q26" i="16" s="1"/>
  <c r="X14" i="16"/>
  <c r="U14" i="16"/>
  <c r="V14" i="16" s="1"/>
  <c r="T14" i="16"/>
  <c r="W14" i="16" s="1"/>
  <c r="X13" i="16"/>
  <c r="U13" i="16"/>
  <c r="V13" i="16" s="1"/>
  <c r="T13" i="16"/>
  <c r="X12" i="16"/>
  <c r="V12" i="16"/>
  <c r="W12" i="16" s="1"/>
  <c r="U12" i="16"/>
  <c r="T12" i="16"/>
  <c r="P12" i="16"/>
  <c r="X11" i="16"/>
  <c r="U11" i="16"/>
  <c r="V11" i="16" s="1"/>
  <c r="W11" i="16" s="1"/>
  <c r="T11" i="16"/>
  <c r="X10" i="16"/>
  <c r="U10" i="16"/>
  <c r="V10" i="16" s="1"/>
  <c r="T10" i="16"/>
  <c r="X9" i="16"/>
  <c r="U9" i="16"/>
  <c r="V9" i="16" s="1"/>
  <c r="T9" i="16"/>
  <c r="X8" i="16"/>
  <c r="U8" i="16"/>
  <c r="V8" i="16" s="1"/>
  <c r="W8" i="16" s="1"/>
  <c r="T8" i="16"/>
  <c r="Y8" i="16" s="1"/>
  <c r="X7" i="16"/>
  <c r="V7" i="16"/>
  <c r="W7" i="16" s="1"/>
  <c r="U7" i="16"/>
  <c r="T7" i="16"/>
  <c r="X6" i="16"/>
  <c r="V6" i="16"/>
  <c r="U6" i="16"/>
  <c r="T6" i="16"/>
  <c r="W6" i="16" s="1"/>
  <c r="X5" i="16"/>
  <c r="U5" i="16"/>
  <c r="V5" i="16" s="1"/>
  <c r="W5" i="16" s="1"/>
  <c r="T5" i="16"/>
  <c r="Y5" i="16" s="1"/>
  <c r="X4" i="16"/>
  <c r="U4" i="16"/>
  <c r="V4" i="16" s="1"/>
  <c r="T4" i="16"/>
  <c r="Y4" i="16" s="1"/>
  <c r="P23" i="15"/>
  <c r="P22" i="15"/>
  <c r="X14" i="15"/>
  <c r="U14" i="15"/>
  <c r="V14" i="15" s="1"/>
  <c r="T14" i="15"/>
  <c r="W14" i="15" s="1"/>
  <c r="X13" i="15"/>
  <c r="V13" i="15"/>
  <c r="U13" i="15"/>
  <c r="T13" i="15"/>
  <c r="W13" i="15" s="1"/>
  <c r="X12" i="15"/>
  <c r="V12" i="15"/>
  <c r="W12" i="15" s="1"/>
  <c r="U12" i="15"/>
  <c r="T12" i="15"/>
  <c r="P12" i="15"/>
  <c r="X11" i="15"/>
  <c r="U11" i="15"/>
  <c r="V11" i="15" s="1"/>
  <c r="W11" i="15" s="1"/>
  <c r="T11" i="15"/>
  <c r="X10" i="15"/>
  <c r="U10" i="15"/>
  <c r="V10" i="15" s="1"/>
  <c r="W10" i="15" s="1"/>
  <c r="T10" i="15"/>
  <c r="X9" i="15"/>
  <c r="U9" i="15"/>
  <c r="V9" i="15" s="1"/>
  <c r="T9" i="15"/>
  <c r="Y8" i="15"/>
  <c r="X8" i="15"/>
  <c r="X15" i="15" s="1"/>
  <c r="V8" i="15"/>
  <c r="W8" i="15" s="1"/>
  <c r="U8" i="15"/>
  <c r="T8" i="15"/>
  <c r="X7" i="15"/>
  <c r="V7" i="15"/>
  <c r="U7" i="15"/>
  <c r="T7" i="15"/>
  <c r="W7" i="15" s="1"/>
  <c r="X6" i="15"/>
  <c r="V6" i="15"/>
  <c r="U6" i="15"/>
  <c r="T6" i="15"/>
  <c r="W6" i="15" s="1"/>
  <c r="Y5" i="15"/>
  <c r="X5" i="15"/>
  <c r="U5" i="15"/>
  <c r="V5" i="15" s="1"/>
  <c r="T5" i="15"/>
  <c r="W5" i="15" s="1"/>
  <c r="X4" i="15"/>
  <c r="U4" i="15"/>
  <c r="V4" i="15" s="1"/>
  <c r="T4" i="15"/>
  <c r="Y4" i="15" s="1"/>
  <c r="P23" i="6"/>
  <c r="P22" i="6"/>
  <c r="X14" i="6"/>
  <c r="U14" i="6"/>
  <c r="V14" i="6" s="1"/>
  <c r="T14" i="6"/>
  <c r="W14" i="6" s="1"/>
  <c r="X13" i="6"/>
  <c r="V13" i="6"/>
  <c r="U13" i="6"/>
  <c r="T13" i="6"/>
  <c r="W13" i="6" s="1"/>
  <c r="X12" i="6"/>
  <c r="V12" i="6"/>
  <c r="U12" i="6"/>
  <c r="T12" i="6"/>
  <c r="W12" i="6" s="1"/>
  <c r="P12" i="6"/>
  <c r="X11" i="6"/>
  <c r="U11" i="6"/>
  <c r="V11" i="6" s="1"/>
  <c r="W11" i="6" s="1"/>
  <c r="T11" i="6"/>
  <c r="X10" i="6"/>
  <c r="U10" i="6"/>
  <c r="V10" i="6" s="1"/>
  <c r="W10" i="6" s="1"/>
  <c r="T10" i="6"/>
  <c r="X9" i="6"/>
  <c r="W9" i="6"/>
  <c r="V9" i="6"/>
  <c r="U9" i="6"/>
  <c r="T9" i="6"/>
  <c r="X8" i="6"/>
  <c r="X15" i="6" s="1"/>
  <c r="V8" i="6"/>
  <c r="W8" i="6" s="1"/>
  <c r="U8" i="6"/>
  <c r="T8" i="6"/>
  <c r="Y8" i="6" s="1"/>
  <c r="X7" i="6"/>
  <c r="V7" i="6"/>
  <c r="U7" i="6"/>
  <c r="T7" i="6"/>
  <c r="W7" i="6" s="1"/>
  <c r="X6" i="6"/>
  <c r="V6" i="6"/>
  <c r="U6" i="6"/>
  <c r="T6" i="6"/>
  <c r="W6" i="6" s="1"/>
  <c r="Y5" i="6"/>
  <c r="X5" i="6"/>
  <c r="U5" i="6"/>
  <c r="V5" i="6" s="1"/>
  <c r="T5" i="6"/>
  <c r="X4" i="6"/>
  <c r="V4" i="6"/>
  <c r="U4" i="6"/>
  <c r="T4" i="6"/>
  <c r="Y4" i="6" s="1"/>
  <c r="P22" i="5"/>
  <c r="W8" i="5" s="1"/>
  <c r="X14" i="5"/>
  <c r="V14" i="5"/>
  <c r="U14" i="5"/>
  <c r="T14" i="5"/>
  <c r="W14" i="5" s="1"/>
  <c r="X13" i="5"/>
  <c r="V13" i="5"/>
  <c r="U13" i="5"/>
  <c r="T13" i="5"/>
  <c r="W13" i="5" s="1"/>
  <c r="X12" i="5"/>
  <c r="V12" i="5"/>
  <c r="W12" i="5" s="1"/>
  <c r="U12" i="5"/>
  <c r="T12" i="5"/>
  <c r="X11" i="5"/>
  <c r="U11" i="5"/>
  <c r="V11" i="5" s="1"/>
  <c r="T11" i="5"/>
  <c r="U10" i="5"/>
  <c r="V10" i="5" s="1"/>
  <c r="W10" i="5" s="1"/>
  <c r="U9" i="5"/>
  <c r="V9" i="5" s="1"/>
  <c r="X8" i="5"/>
  <c r="V8" i="5"/>
  <c r="U8" i="5"/>
  <c r="T8" i="5"/>
  <c r="Y8" i="5" s="1"/>
  <c r="X7" i="5"/>
  <c r="V7" i="5"/>
  <c r="U7" i="5"/>
  <c r="T7" i="5"/>
  <c r="X6" i="5"/>
  <c r="U6" i="5"/>
  <c r="V6" i="5" s="1"/>
  <c r="T6" i="5"/>
  <c r="X5" i="5"/>
  <c r="U5" i="5"/>
  <c r="V5" i="5" s="1"/>
  <c r="T5" i="5"/>
  <c r="Y5" i="5" s="1"/>
  <c r="X4" i="5"/>
  <c r="V4" i="5"/>
  <c r="U4" i="5"/>
  <c r="T4" i="5"/>
  <c r="Y4" i="5" s="1"/>
  <c r="P22" i="4"/>
  <c r="W8" i="4" s="1"/>
  <c r="X14" i="4"/>
  <c r="U14" i="4"/>
  <c r="V14" i="4" s="1"/>
  <c r="T14" i="4"/>
  <c r="X13" i="4"/>
  <c r="V13" i="4"/>
  <c r="U13" i="4"/>
  <c r="T13" i="4"/>
  <c r="W13" i="4" s="1"/>
  <c r="X12" i="4"/>
  <c r="V12" i="4"/>
  <c r="W12" i="4" s="1"/>
  <c r="U12" i="4"/>
  <c r="T12" i="4"/>
  <c r="X11" i="4"/>
  <c r="U11" i="4"/>
  <c r="V11" i="4" s="1"/>
  <c r="W11" i="4" s="1"/>
  <c r="T11" i="4"/>
  <c r="U10" i="4"/>
  <c r="V10" i="4" s="1"/>
  <c r="T10" i="4"/>
  <c r="U9" i="4"/>
  <c r="V9" i="4" s="1"/>
  <c r="Y8" i="4"/>
  <c r="X8" i="4"/>
  <c r="V8" i="4"/>
  <c r="U8" i="4"/>
  <c r="T8" i="4"/>
  <c r="X7" i="4"/>
  <c r="V7" i="4"/>
  <c r="W7" i="4" s="1"/>
  <c r="U7" i="4"/>
  <c r="T7" i="4"/>
  <c r="X6" i="4"/>
  <c r="U6" i="4"/>
  <c r="V6" i="4" s="1"/>
  <c r="T6" i="4"/>
  <c r="X5" i="4"/>
  <c r="U5" i="4"/>
  <c r="V5" i="4" s="1"/>
  <c r="T5" i="4"/>
  <c r="Y5" i="4" s="1"/>
  <c r="X4" i="4"/>
  <c r="U4" i="4"/>
  <c r="V4" i="4" s="1"/>
  <c r="T4" i="4"/>
  <c r="Y4" i="4" s="1"/>
  <c r="P23" i="3"/>
  <c r="P22" i="3"/>
  <c r="W8" i="3" s="1"/>
  <c r="X14" i="3"/>
  <c r="V14" i="3"/>
  <c r="U14" i="3"/>
  <c r="T14" i="3"/>
  <c r="W14" i="3" s="1"/>
  <c r="X13" i="3"/>
  <c r="V13" i="3"/>
  <c r="U13" i="3"/>
  <c r="T13" i="3"/>
  <c r="W13" i="3" s="1"/>
  <c r="X12" i="3"/>
  <c r="V12" i="3"/>
  <c r="W12" i="3" s="1"/>
  <c r="U12" i="3"/>
  <c r="T12" i="3"/>
  <c r="P12" i="3"/>
  <c r="X11" i="3"/>
  <c r="U11" i="3"/>
  <c r="V11" i="3" s="1"/>
  <c r="W11" i="3" s="1"/>
  <c r="T11" i="3"/>
  <c r="X10" i="3"/>
  <c r="U10" i="3"/>
  <c r="V10" i="3" s="1"/>
  <c r="W10" i="3" s="1"/>
  <c r="T10" i="3"/>
  <c r="X9" i="3"/>
  <c r="U9" i="3"/>
  <c r="V9" i="3" s="1"/>
  <c r="T9" i="3"/>
  <c r="W9" i="3" s="1"/>
  <c r="X8" i="3"/>
  <c r="V8" i="3"/>
  <c r="U8" i="3"/>
  <c r="T8" i="3"/>
  <c r="Y8" i="3" s="1"/>
  <c r="X7" i="3"/>
  <c r="V7" i="3"/>
  <c r="W7" i="3" s="1"/>
  <c r="U7" i="3"/>
  <c r="T7" i="3"/>
  <c r="X6" i="3"/>
  <c r="U6" i="3"/>
  <c r="V6" i="3" s="1"/>
  <c r="T6" i="3"/>
  <c r="X5" i="3"/>
  <c r="U5" i="3"/>
  <c r="V5" i="3" s="1"/>
  <c r="T5" i="3"/>
  <c r="Y5" i="3" s="1"/>
  <c r="X4" i="3"/>
  <c r="X15" i="3" s="1"/>
  <c r="V4" i="3"/>
  <c r="U4" i="3"/>
  <c r="T4" i="3"/>
  <c r="Y4" i="3" s="1"/>
  <c r="Y8" i="1"/>
  <c r="Y5" i="1"/>
  <c r="Y4" i="1"/>
  <c r="P23" i="1"/>
  <c r="P22" i="1"/>
  <c r="U14" i="1"/>
  <c r="V14" i="1" s="1"/>
  <c r="T14" i="1"/>
  <c r="U13" i="1"/>
  <c r="V13" i="1" s="1"/>
  <c r="T13" i="1"/>
  <c r="U12" i="1"/>
  <c r="V12" i="1" s="1"/>
  <c r="T12" i="1"/>
  <c r="P12" i="1"/>
  <c r="X11" i="1"/>
  <c r="U11" i="1"/>
  <c r="V11" i="1" s="1"/>
  <c r="T11" i="1"/>
  <c r="U10" i="1"/>
  <c r="V10" i="1" s="1"/>
  <c r="U9" i="1"/>
  <c r="V9" i="1" s="1"/>
  <c r="U8" i="1"/>
  <c r="V8" i="1" s="1"/>
  <c r="T8" i="1"/>
  <c r="U7" i="1"/>
  <c r="V7" i="1" s="1"/>
  <c r="W7" i="1" s="1"/>
  <c r="T7" i="1"/>
  <c r="U6" i="1"/>
  <c r="V6" i="1" s="1"/>
  <c r="T6" i="1"/>
  <c r="U5" i="1"/>
  <c r="V5" i="1" s="1"/>
  <c r="T5" i="1"/>
  <c r="U4" i="1"/>
  <c r="V4" i="1" s="1"/>
  <c r="T4" i="1"/>
  <c r="D14" i="16"/>
  <c r="D13" i="16"/>
  <c r="D12" i="16"/>
  <c r="D11" i="16"/>
  <c r="B10" i="16"/>
  <c r="D10" i="16" s="1"/>
  <c r="B9" i="16"/>
  <c r="D9" i="16" s="1"/>
  <c r="D8" i="16"/>
  <c r="D7" i="16"/>
  <c r="D6" i="16"/>
  <c r="D5" i="16"/>
  <c r="D4" i="16"/>
  <c r="L3" i="16"/>
  <c r="D14" i="15"/>
  <c r="D13" i="15"/>
  <c r="D12" i="15"/>
  <c r="D11" i="15"/>
  <c r="D10" i="15"/>
  <c r="B10" i="15"/>
  <c r="B9" i="15"/>
  <c r="D9" i="15" s="1"/>
  <c r="D8" i="15"/>
  <c r="D7" i="15"/>
  <c r="D6" i="15"/>
  <c r="D5" i="15"/>
  <c r="D4" i="15"/>
  <c r="L3" i="15"/>
  <c r="D14" i="14"/>
  <c r="D13" i="14"/>
  <c r="D12" i="14"/>
  <c r="D11" i="14"/>
  <c r="D9" i="14"/>
  <c r="X9" i="14" s="1"/>
  <c r="D8" i="14"/>
  <c r="D7" i="14"/>
  <c r="D6" i="14"/>
  <c r="D5" i="14"/>
  <c r="D4" i="14"/>
  <c r="L3" i="14"/>
  <c r="D14" i="13"/>
  <c r="D13" i="13"/>
  <c r="D12" i="13"/>
  <c r="D11" i="13"/>
  <c r="B10" i="13"/>
  <c r="D10" i="13" s="1"/>
  <c r="B9" i="13"/>
  <c r="D9" i="13" s="1"/>
  <c r="D8" i="13"/>
  <c r="D7" i="13"/>
  <c r="D6" i="13"/>
  <c r="D5" i="13"/>
  <c r="D4" i="13"/>
  <c r="L3" i="13"/>
  <c r="D14" i="12"/>
  <c r="D13" i="12"/>
  <c r="D12" i="12"/>
  <c r="D11" i="12"/>
  <c r="B10" i="12"/>
  <c r="D10" i="12" s="1"/>
  <c r="D9" i="12"/>
  <c r="B9" i="12"/>
  <c r="D8" i="12"/>
  <c r="D7" i="12"/>
  <c r="D6" i="12"/>
  <c r="D5" i="12"/>
  <c r="D4" i="12"/>
  <c r="L3" i="12"/>
  <c r="D14" i="10"/>
  <c r="D13" i="10"/>
  <c r="D12" i="10"/>
  <c r="D11" i="10"/>
  <c r="D10" i="10"/>
  <c r="X10" i="10" s="1"/>
  <c r="D9" i="10"/>
  <c r="X9" i="10" s="1"/>
  <c r="D8" i="10"/>
  <c r="D7" i="10"/>
  <c r="D6" i="10"/>
  <c r="D5" i="10"/>
  <c r="D4" i="10"/>
  <c r="L3" i="10"/>
  <c r="D14" i="9"/>
  <c r="D13" i="9"/>
  <c r="D12" i="9"/>
  <c r="D11" i="9"/>
  <c r="B10" i="9"/>
  <c r="D10" i="9" s="1"/>
  <c r="B9" i="9"/>
  <c r="D9" i="9" s="1"/>
  <c r="D8" i="9"/>
  <c r="D7" i="9"/>
  <c r="D6" i="9"/>
  <c r="D5" i="9"/>
  <c r="D4" i="9"/>
  <c r="L3" i="9"/>
  <c r="B10" i="8"/>
  <c r="D10" i="8" s="1"/>
  <c r="B9" i="8"/>
  <c r="D14" i="8"/>
  <c r="D13" i="8"/>
  <c r="D12" i="8"/>
  <c r="D11" i="8"/>
  <c r="D9" i="8"/>
  <c r="D8" i="8"/>
  <c r="D7" i="8"/>
  <c r="D6" i="8"/>
  <c r="D5" i="8"/>
  <c r="D4" i="8"/>
  <c r="L3" i="8"/>
  <c r="D14" i="7"/>
  <c r="D13" i="7"/>
  <c r="D12" i="7"/>
  <c r="D11" i="7"/>
  <c r="D10" i="7"/>
  <c r="X10" i="7" s="1"/>
  <c r="D9" i="7"/>
  <c r="X9" i="7" s="1"/>
  <c r="D8" i="7"/>
  <c r="D7" i="7"/>
  <c r="D6" i="7"/>
  <c r="D5" i="7"/>
  <c r="D4" i="7"/>
  <c r="L3" i="7"/>
  <c r="B9" i="6"/>
  <c r="B10" i="6"/>
  <c r="D10" i="6"/>
  <c r="D14" i="6"/>
  <c r="D13" i="6"/>
  <c r="D12" i="6"/>
  <c r="D11" i="6"/>
  <c r="D9" i="6"/>
  <c r="D8" i="6"/>
  <c r="D7" i="6"/>
  <c r="D6" i="6"/>
  <c r="D5" i="6"/>
  <c r="D4" i="6"/>
  <c r="L3" i="6"/>
  <c r="B9" i="5"/>
  <c r="B10" i="5"/>
  <c r="L3" i="5"/>
  <c r="D14" i="5"/>
  <c r="D13" i="5"/>
  <c r="D12" i="5"/>
  <c r="D11" i="5"/>
  <c r="D10" i="5"/>
  <c r="X10" i="5" s="1"/>
  <c r="D9" i="5"/>
  <c r="X9" i="5" s="1"/>
  <c r="D8" i="5"/>
  <c r="D7" i="5"/>
  <c r="D6" i="5"/>
  <c r="D5" i="5"/>
  <c r="D4" i="5"/>
  <c r="D14" i="4"/>
  <c r="D13" i="4"/>
  <c r="D12" i="4"/>
  <c r="D11" i="4"/>
  <c r="D10" i="4"/>
  <c r="X10" i="4" s="1"/>
  <c r="D8" i="4"/>
  <c r="D7" i="4"/>
  <c r="D6" i="4"/>
  <c r="D5" i="4"/>
  <c r="D4" i="4"/>
  <c r="L3" i="4"/>
  <c r="B10" i="3"/>
  <c r="D10" i="3" s="1"/>
  <c r="B9" i="3"/>
  <c r="D9" i="3"/>
  <c r="B9" i="1"/>
  <c r="D9" i="1" s="1"/>
  <c r="X9" i="1" s="1"/>
  <c r="B10" i="1"/>
  <c r="T10" i="1" s="1"/>
  <c r="L3" i="3"/>
  <c r="D14" i="3"/>
  <c r="D13" i="3"/>
  <c r="D12" i="3"/>
  <c r="D11" i="3"/>
  <c r="D8" i="3"/>
  <c r="D7" i="3"/>
  <c r="D6" i="3"/>
  <c r="D5" i="3"/>
  <c r="D4" i="3"/>
  <c r="L3" i="1"/>
  <c r="D14" i="1"/>
  <c r="X14" i="1" s="1"/>
  <c r="D13" i="1"/>
  <c r="X13" i="1" s="1"/>
  <c r="D12" i="1"/>
  <c r="X12" i="1" s="1"/>
  <c r="D11" i="1"/>
  <c r="D10" i="1"/>
  <c r="X10" i="1" s="1"/>
  <c r="D8" i="1"/>
  <c r="X8" i="1" s="1"/>
  <c r="D7" i="1"/>
  <c r="X7" i="1" s="1"/>
  <c r="D6" i="1"/>
  <c r="X6" i="1" s="1"/>
  <c r="D5" i="1"/>
  <c r="X5" i="1" s="1"/>
  <c r="D4" i="1"/>
  <c r="X4" i="1" s="1"/>
  <c r="P12" i="14" l="1"/>
  <c r="D10" i="14"/>
  <c r="X10" i="14" s="1"/>
  <c r="X15" i="14"/>
  <c r="Q6" i="14" s="1"/>
  <c r="T15" i="14"/>
  <c r="P2" i="14" s="1"/>
  <c r="X15" i="10"/>
  <c r="Q26" i="10" s="1"/>
  <c r="X15" i="7"/>
  <c r="T9" i="4"/>
  <c r="W9" i="4" s="1"/>
  <c r="P23" i="4"/>
  <c r="X15" i="4"/>
  <c r="Q25" i="4" s="1"/>
  <c r="T15" i="5"/>
  <c r="P2" i="5" s="1"/>
  <c r="W11" i="5"/>
  <c r="X15" i="5"/>
  <c r="Q19" i="5" s="1"/>
  <c r="W7" i="5"/>
  <c r="W14" i="8"/>
  <c r="Q26" i="8"/>
  <c r="Q20" i="8"/>
  <c r="Q15" i="8"/>
  <c r="Q6" i="8"/>
  <c r="Q2" i="8"/>
  <c r="Q10" i="8"/>
  <c r="Q25" i="8"/>
  <c r="Q19" i="8"/>
  <c r="Q11" i="8"/>
  <c r="Q24" i="8"/>
  <c r="Q18" i="8"/>
  <c r="Q12" i="8"/>
  <c r="Q7" i="8"/>
  <c r="Q4" i="8"/>
  <c r="Q3" i="8"/>
  <c r="Q23" i="8"/>
  <c r="Q17" i="8"/>
  <c r="Q14" i="8"/>
  <c r="Q16" i="8"/>
  <c r="Q13" i="8"/>
  <c r="Q8" i="8"/>
  <c r="Q22" i="8"/>
  <c r="Q9" i="8"/>
  <c r="Q21" i="8"/>
  <c r="Q5" i="8"/>
  <c r="W6" i="8"/>
  <c r="W5" i="8"/>
  <c r="W4" i="8"/>
  <c r="Q26" i="9"/>
  <c r="Q20" i="9"/>
  <c r="Q15" i="9"/>
  <c r="Q6" i="9"/>
  <c r="Q2" i="9"/>
  <c r="Q3" i="9"/>
  <c r="Q25" i="9"/>
  <c r="Q19" i="9"/>
  <c r="Q11" i="9"/>
  <c r="Q24" i="9"/>
  <c r="Q18" i="9"/>
  <c r="Q12" i="9"/>
  <c r="Q7" i="9"/>
  <c r="Q14" i="9"/>
  <c r="Q4" i="9"/>
  <c r="Q23" i="9"/>
  <c r="Q17" i="9"/>
  <c r="Q5" i="9"/>
  <c r="Q16" i="9"/>
  <c r="Q13" i="9"/>
  <c r="Q8" i="9"/>
  <c r="Q22" i="9"/>
  <c r="Q9" i="9"/>
  <c r="Q21" i="9"/>
  <c r="Q10" i="9"/>
  <c r="W6" i="9"/>
  <c r="W5" i="9"/>
  <c r="W4" i="9"/>
  <c r="W15" i="9" s="1"/>
  <c r="W13" i="10"/>
  <c r="W10" i="10"/>
  <c r="Q3" i="10"/>
  <c r="Q5" i="10"/>
  <c r="Q10" i="10"/>
  <c r="T15" i="10"/>
  <c r="P2" i="10" s="1"/>
  <c r="Q21" i="10"/>
  <c r="Q4" i="10"/>
  <c r="Q14" i="10"/>
  <c r="Q22" i="10"/>
  <c r="Q16" i="10"/>
  <c r="Q17" i="10"/>
  <c r="Q23" i="10"/>
  <c r="Q9" i="10"/>
  <c r="W4" i="10"/>
  <c r="Q7" i="10"/>
  <c r="Q12" i="10"/>
  <c r="Q18" i="10"/>
  <c r="Q24" i="10"/>
  <c r="Q11" i="10"/>
  <c r="Q19" i="10"/>
  <c r="Q25" i="10"/>
  <c r="Q8" i="10"/>
  <c r="Q13" i="10"/>
  <c r="Q2" i="10"/>
  <c r="Q6" i="10"/>
  <c r="Q15" i="10"/>
  <c r="Q20" i="10"/>
  <c r="W9" i="12"/>
  <c r="Q26" i="12"/>
  <c r="Q20" i="12"/>
  <c r="Q15" i="12"/>
  <c r="Q6" i="12"/>
  <c r="Q2" i="12"/>
  <c r="Q13" i="12"/>
  <c r="Q22" i="12"/>
  <c r="Q25" i="12"/>
  <c r="Q19" i="12"/>
  <c r="Q11" i="12"/>
  <c r="Q24" i="12"/>
  <c r="Q18" i="12"/>
  <c r="Q12" i="12"/>
  <c r="Q7" i="12"/>
  <c r="Q16" i="12"/>
  <c r="Q14" i="12"/>
  <c r="Q21" i="12"/>
  <c r="Q23" i="12"/>
  <c r="Q17" i="12"/>
  <c r="Q8" i="12"/>
  <c r="Q9" i="12"/>
  <c r="Q4" i="12"/>
  <c r="Q10" i="12"/>
  <c r="Q5" i="12"/>
  <c r="Q3" i="12"/>
  <c r="W10" i="12"/>
  <c r="T15" i="12"/>
  <c r="P2" i="12" s="1"/>
  <c r="W5" i="12"/>
  <c r="W4" i="12"/>
  <c r="W15" i="12" s="1"/>
  <c r="Q26" i="13"/>
  <c r="Q20" i="13"/>
  <c r="Q15" i="13"/>
  <c r="Q6" i="13"/>
  <c r="Q2" i="13"/>
  <c r="Q25" i="13"/>
  <c r="Q19" i="13"/>
  <c r="Q11" i="13"/>
  <c r="Q21" i="13"/>
  <c r="Q24" i="13"/>
  <c r="Q18" i="13"/>
  <c r="Q12" i="13"/>
  <c r="Q7" i="13"/>
  <c r="Q23" i="13"/>
  <c r="Q17" i="13"/>
  <c r="Q14" i="13"/>
  <c r="Q3" i="13"/>
  <c r="Q16" i="13"/>
  <c r="Q13" i="13"/>
  <c r="Q8" i="13"/>
  <c r="Q10" i="13"/>
  <c r="Q5" i="13"/>
  <c r="Q22" i="13"/>
  <c r="Q9" i="13"/>
  <c r="Q4" i="13"/>
  <c r="T15" i="13"/>
  <c r="P2" i="13" s="1"/>
  <c r="W5" i="13"/>
  <c r="W4" i="13"/>
  <c r="W15" i="13" s="1"/>
  <c r="W14" i="14"/>
  <c r="Q26" i="14"/>
  <c r="Q20" i="14"/>
  <c r="Q15" i="14"/>
  <c r="Q2" i="14"/>
  <c r="Q8" i="14"/>
  <c r="Q25" i="14"/>
  <c r="Q19" i="14"/>
  <c r="Q11" i="14"/>
  <c r="Q16" i="14"/>
  <c r="Q24" i="14"/>
  <c r="Q12" i="14"/>
  <c r="Q7" i="14"/>
  <c r="Q13" i="14"/>
  <c r="Q23" i="14"/>
  <c r="Q17" i="14"/>
  <c r="Q22" i="14"/>
  <c r="Q9" i="14"/>
  <c r="Q10" i="14"/>
  <c r="Q3" i="14"/>
  <c r="Q14" i="14"/>
  <c r="Q4" i="14"/>
  <c r="Q5" i="14"/>
  <c r="W4" i="14"/>
  <c r="W14" i="7"/>
  <c r="Q26" i="7"/>
  <c r="Q20" i="7"/>
  <c r="Q15" i="7"/>
  <c r="Q6" i="7"/>
  <c r="Q2" i="7"/>
  <c r="Q25" i="7"/>
  <c r="Q19" i="7"/>
  <c r="Q11" i="7"/>
  <c r="Q9" i="7"/>
  <c r="Q24" i="7"/>
  <c r="Q18" i="7"/>
  <c r="Q12" i="7"/>
  <c r="Q7" i="7"/>
  <c r="Q22" i="7"/>
  <c r="Q23" i="7"/>
  <c r="Q17" i="7"/>
  <c r="Q16" i="7"/>
  <c r="Q13" i="7"/>
  <c r="Q8" i="7"/>
  <c r="Q14" i="7"/>
  <c r="Q4" i="7"/>
  <c r="Q21" i="7"/>
  <c r="Q10" i="7"/>
  <c r="Q5" i="7"/>
  <c r="Q3" i="7"/>
  <c r="W10" i="7"/>
  <c r="T15" i="7"/>
  <c r="P2" i="7" s="1"/>
  <c r="W4" i="7"/>
  <c r="W9" i="16"/>
  <c r="W13" i="16"/>
  <c r="W10" i="16"/>
  <c r="Q3" i="16"/>
  <c r="Q5" i="16"/>
  <c r="Q10" i="16"/>
  <c r="T15" i="16"/>
  <c r="P2" i="16" s="1"/>
  <c r="Q21" i="16"/>
  <c r="Q4" i="16"/>
  <c r="Q14" i="16"/>
  <c r="Q9" i="16"/>
  <c r="Q22" i="16"/>
  <c r="Q17" i="16"/>
  <c r="Q23" i="16"/>
  <c r="Q8" i="16"/>
  <c r="Q16" i="16"/>
  <c r="W4" i="16"/>
  <c r="Q7" i="16"/>
  <c r="Q12" i="16"/>
  <c r="Q18" i="16"/>
  <c r="Q24" i="16"/>
  <c r="Q11" i="16"/>
  <c r="Q19" i="16"/>
  <c r="Q25" i="16"/>
  <c r="Q13" i="16"/>
  <c r="Q2" i="16"/>
  <c r="Q6" i="16"/>
  <c r="Q15" i="16"/>
  <c r="Q20" i="16"/>
  <c r="W9" i="15"/>
  <c r="Q26" i="15"/>
  <c r="Q20" i="15"/>
  <c r="Q15" i="15"/>
  <c r="Q6" i="15"/>
  <c r="Q2" i="15"/>
  <c r="Q25" i="15"/>
  <c r="Q19" i="15"/>
  <c r="Q11" i="15"/>
  <c r="Q24" i="15"/>
  <c r="Q18" i="15"/>
  <c r="Q12" i="15"/>
  <c r="Q7" i="15"/>
  <c r="Q9" i="15"/>
  <c r="Q23" i="15"/>
  <c r="Q17" i="15"/>
  <c r="Q16" i="15"/>
  <c r="Q13" i="15"/>
  <c r="Q8" i="15"/>
  <c r="Q22" i="15"/>
  <c r="Q14" i="15"/>
  <c r="Q4" i="15"/>
  <c r="Q21" i="15"/>
  <c r="Q10" i="15"/>
  <c r="Q5" i="15"/>
  <c r="Q3" i="15"/>
  <c r="T15" i="15"/>
  <c r="P2" i="15" s="1"/>
  <c r="W4" i="15"/>
  <c r="Q26" i="6"/>
  <c r="Q20" i="6"/>
  <c r="Q15" i="6"/>
  <c r="Q6" i="6"/>
  <c r="Q2" i="6"/>
  <c r="Q25" i="6"/>
  <c r="Q19" i="6"/>
  <c r="Q11" i="6"/>
  <c r="Q24" i="6"/>
  <c r="Q18" i="6"/>
  <c r="Q12" i="6"/>
  <c r="Q7" i="6"/>
  <c r="Q23" i="6"/>
  <c r="Q17" i="6"/>
  <c r="Q16" i="6"/>
  <c r="Q13" i="6"/>
  <c r="Q8" i="6"/>
  <c r="Q22" i="6"/>
  <c r="Q9" i="6"/>
  <c r="Q3" i="6"/>
  <c r="Q14" i="6"/>
  <c r="Q4" i="6"/>
  <c r="Q21" i="6"/>
  <c r="Q10" i="6"/>
  <c r="Q5" i="6"/>
  <c r="W5" i="6"/>
  <c r="T15" i="6"/>
  <c r="P2" i="6" s="1"/>
  <c r="W4" i="6"/>
  <c r="W15" i="6" s="1"/>
  <c r="W6" i="5"/>
  <c r="Q20" i="5"/>
  <c r="Q15" i="5"/>
  <c r="Q6" i="5"/>
  <c r="Q2" i="5"/>
  <c r="Q23" i="5"/>
  <c r="Q25" i="5"/>
  <c r="Q24" i="5"/>
  <c r="Q18" i="5"/>
  <c r="Q12" i="5"/>
  <c r="Q7" i="5"/>
  <c r="Q17" i="5"/>
  <c r="Q21" i="5"/>
  <c r="Q10" i="5"/>
  <c r="Q5" i="5"/>
  <c r="Q16" i="5"/>
  <c r="Q13" i="5"/>
  <c r="Q8" i="5"/>
  <c r="Q4" i="5"/>
  <c r="Q3" i="5"/>
  <c r="Q22" i="5"/>
  <c r="Q9" i="5"/>
  <c r="Q14" i="5"/>
  <c r="W9" i="5"/>
  <c r="W5" i="5"/>
  <c r="W4" i="5"/>
  <c r="W14" i="4"/>
  <c r="Q26" i="4"/>
  <c r="Q20" i="4"/>
  <c r="Q15" i="4"/>
  <c r="Q6" i="4"/>
  <c r="Q2" i="4"/>
  <c r="Q21" i="4"/>
  <c r="Q19" i="4"/>
  <c r="Q11" i="4"/>
  <c r="Q3" i="4"/>
  <c r="Q24" i="4"/>
  <c r="Q18" i="4"/>
  <c r="Q12" i="4"/>
  <c r="Q7" i="4"/>
  <c r="Q14" i="4"/>
  <c r="Q23" i="4"/>
  <c r="Q17" i="4"/>
  <c r="Q5" i="4"/>
  <c r="Q16" i="4"/>
  <c r="Q13" i="4"/>
  <c r="Q8" i="4"/>
  <c r="Q22" i="4"/>
  <c r="Q9" i="4"/>
  <c r="Q4" i="4"/>
  <c r="Q10" i="4"/>
  <c r="W10" i="4"/>
  <c r="W6" i="4"/>
  <c r="W5" i="4"/>
  <c r="W4" i="4"/>
  <c r="Q26" i="3"/>
  <c r="Q20" i="3"/>
  <c r="Q15" i="3"/>
  <c r="Q6" i="3"/>
  <c r="Q2" i="3"/>
  <c r="Q25" i="3"/>
  <c r="Q19" i="3"/>
  <c r="Q11" i="3"/>
  <c r="Q17" i="3"/>
  <c r="Q21" i="3"/>
  <c r="Q5" i="3"/>
  <c r="Q24" i="3"/>
  <c r="Q18" i="3"/>
  <c r="Q12" i="3"/>
  <c r="Q7" i="3"/>
  <c r="Q23" i="3"/>
  <c r="Q10" i="3"/>
  <c r="Q16" i="3"/>
  <c r="Q13" i="3"/>
  <c r="Q8" i="3"/>
  <c r="Q3" i="3"/>
  <c r="Q22" i="3"/>
  <c r="Q9" i="3"/>
  <c r="Q14" i="3"/>
  <c r="Q4" i="3"/>
  <c r="W6" i="3"/>
  <c r="T15" i="3"/>
  <c r="P2" i="3" s="1"/>
  <c r="W4" i="3"/>
  <c r="W15" i="3" s="1"/>
  <c r="W5" i="3"/>
  <c r="W8" i="1"/>
  <c r="W5" i="1"/>
  <c r="W6" i="1"/>
  <c r="W13" i="1"/>
  <c r="T9" i="1"/>
  <c r="W9" i="1" s="1"/>
  <c r="W11" i="1"/>
  <c r="X15" i="1"/>
  <c r="Q4" i="1" s="1"/>
  <c r="W4" i="1"/>
  <c r="W12" i="1"/>
  <c r="W14" i="1"/>
  <c r="W10" i="1"/>
  <c r="Q6" i="1"/>
  <c r="Q5" i="1"/>
  <c r="Q16" i="1"/>
  <c r="Q12" i="1"/>
  <c r="Q15" i="1"/>
  <c r="Q21" i="14" l="1"/>
  <c r="Q18" i="14"/>
  <c r="W15" i="10"/>
  <c r="T15" i="4"/>
  <c r="P2" i="4" s="1"/>
  <c r="W15" i="4"/>
  <c r="Q26" i="5"/>
  <c r="Q11" i="5"/>
  <c r="W15" i="8"/>
  <c r="W15" i="14"/>
  <c r="W15" i="7"/>
  <c r="W15" i="16"/>
  <c r="W15" i="15"/>
  <c r="W15" i="5"/>
  <c r="Q3" i="1"/>
  <c r="Q23" i="1"/>
  <c r="Q25" i="1"/>
  <c r="Q7" i="1"/>
  <c r="Q8" i="1"/>
  <c r="Q11" i="1"/>
  <c r="Q14" i="1"/>
  <c r="Q21" i="1"/>
  <c r="Q24" i="1"/>
  <c r="Q10" i="1"/>
  <c r="Q19" i="1"/>
  <c r="Q9" i="1"/>
  <c r="T15" i="1"/>
  <c r="P2" i="1" s="1"/>
  <c r="Q20" i="1"/>
  <c r="Q22" i="1"/>
  <c r="Q17" i="1"/>
  <c r="Q13" i="1"/>
  <c r="Q18" i="1"/>
  <c r="W15" i="1"/>
  <c r="Q26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tc={FC5177F0-FCA9-4223-A3DD-97CA858CF736}</author>
    <author>tc={6ADBB634-B4D7-4E79-938A-91D14A40EEF3}</author>
  </authors>
  <commentList>
    <comment ref="W8" authorId="0" shapeId="0" xr:uid="{FC5177F0-FCA9-4223-A3DD-97CA858CF7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6ADBB634-B4D7-4E79-938A-91D14A40EE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tc={DC7BE314-8640-4372-B5C4-E560E692826E}</author>
    <author>tc={E669ABDA-0FAF-4051-93A8-AF1D6F200FE1}</author>
  </authors>
  <commentList>
    <comment ref="W8" authorId="0" shapeId="0" xr:uid="{DC7BE314-8640-4372-B5C4-E560E69282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E669ABDA-0FAF-4051-93A8-AF1D6F200F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tc={C09C5A52-E63C-4B07-BEB1-70D5F644FB5F}</author>
    <author>tc={D77D1799-16D2-4FB0-9736-52B8DC22C4EF}</author>
  </authors>
  <commentList>
    <comment ref="W8" authorId="0" shapeId="0" xr:uid="{C09C5A52-E63C-4B07-BEB1-70D5F644FB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D77D1799-16D2-4FB0-9736-52B8DC22C4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tc={BF40D0E4-EE9C-4B2E-8F61-C3F6BF4E6686}</author>
    <author>tc={4536F3F2-CA1D-40D1-B118-A6ED229737F8}</author>
  </authors>
  <commentList>
    <comment ref="W8" authorId="0" shapeId="0" xr:uid="{BF40D0E4-EE9C-4B2E-8F61-C3F6BF4E66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4536F3F2-CA1D-40D1-B118-A6ED229737F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tc={CDB0543B-A8CD-4FF1-895A-89B45F993BE7}</author>
    <author>tc={F751255F-6803-4F73-9BE3-CCD0E91D3FE7}</author>
  </authors>
  <commentList>
    <comment ref="W8" authorId="0" shapeId="0" xr:uid="{CDB0543B-A8CD-4FF1-895A-89B45F993B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F751255F-6803-4F73-9BE3-CCD0E91D3F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tc={DB3FAB1C-3113-4DAB-898B-E68B4EE8F73F}</author>
    <author>tc={1B127044-E151-441D-B17B-380C6DFBD201}</author>
  </authors>
  <commentList>
    <comment ref="W8" authorId="0" shapeId="0" xr:uid="{DB3FAB1C-3113-4DAB-898B-E68B4EE8F7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1B127044-E151-441D-B17B-380C6DFBD2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tc={DA3A46E1-C9F5-404E-8491-1E607F6961ED}</author>
    <author>tc={97898752-A7BC-44E4-84BC-604D9D8738F3}</author>
  </authors>
  <commentList>
    <comment ref="W8" authorId="0" shapeId="0" xr:uid="{DA3A46E1-C9F5-404E-8491-1E607F6961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97898752-A7BC-44E4-84BC-604D9D8738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tc={9CB9097B-144E-4A6A-B319-B4F7B765F813}</author>
    <author>tc={23E022A4-36F2-4BAF-83DB-92891A7C5C01}</author>
  </authors>
  <commentList>
    <comment ref="W8" authorId="0" shapeId="0" xr:uid="{9CB9097B-144E-4A6A-B319-B4F7B765F8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23E022A4-36F2-4BAF-83DB-92891A7C5C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tc={8CD7DF43-A41F-4A90-B3FF-2C9B919F9B30}</author>
    <author>tc={3EA2CCA9-40AE-48A1-8412-D648D3B13EBD}</author>
  </authors>
  <commentList>
    <comment ref="W8" authorId="0" shapeId="0" xr:uid="{8CD7DF43-A41F-4A90-B3FF-2C9B919F9B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3EA2CCA9-40AE-48A1-8412-D648D3B13E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tc={2BDC3BB0-810F-4864-B366-6843DD127078}</author>
    <author>tc={D310D9A4-A412-499A-BAC5-4AADB3A524EF}</author>
  </authors>
  <commentList>
    <comment ref="W8" authorId="0" shapeId="0" xr:uid="{2BDC3BB0-810F-4864-B366-6843DD1270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D310D9A4-A412-499A-BAC5-4AADB3A524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tc={9817F1C5-9195-44FD-904A-6E92A51C8DA7}</author>
    <author>tc={501359C0-7D48-4A66-AA42-EF74C4A9D76E}</author>
  </authors>
  <commentList>
    <comment ref="W8" authorId="0" shapeId="0" xr:uid="{9817F1C5-9195-44FD-904A-6E92A51C8D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501359C0-7D48-4A66-AA42-EF74C4A9D7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tc={F0461F5C-A90B-4915-9073-4090DC881E96}</author>
    <author>tc={68952851-2A78-4825-95A8-DCA7B231997A}</author>
  </authors>
  <commentList>
    <comment ref="W8" authorId="0" shapeId="0" xr:uid="{F0461F5C-A90B-4915-9073-4090DC881E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68952851-2A78-4825-95A8-DCA7B231997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tc={354904E2-3B7B-4667-9CBB-7DFEC54B845B}</author>
    <author>tc={0C741C35-932D-4FAD-9DA6-AB14077E12B9}</author>
  </authors>
  <commentList>
    <comment ref="W8" authorId="0" shapeId="0" xr:uid="{354904E2-3B7B-4667-9CBB-7DFEC54B84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0C741C35-932D-4FAD-9DA6-AB14077E12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tc={40C28EF7-3690-4BDC-A32E-C615BBB379C6}</author>
    <author>tc={90318063-BA51-4CC1-A7A2-E9957E70033C}</author>
  </authors>
  <commentList>
    <comment ref="W8" authorId="0" shapeId="0" xr:uid="{40C28EF7-3690-4BDC-A32E-C615BBB379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90318063-BA51-4CC1-A7A2-E9957E7003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sharedStrings.xml><?xml version="1.0" encoding="utf-8"?>
<sst xmlns="http://schemas.openxmlformats.org/spreadsheetml/2006/main" count="938" uniqueCount="40">
  <si>
    <t>Component</t>
  </si>
  <si>
    <t>Lifetime</t>
  </si>
  <si>
    <t>€</t>
  </si>
  <si>
    <t>Initial CAPEX</t>
  </si>
  <si>
    <t>years</t>
  </si>
  <si>
    <t>Fixed OPEX</t>
  </si>
  <si>
    <t>€/year</t>
  </si>
  <si>
    <t>Variable OPEX</t>
  </si>
  <si>
    <t>specific cost</t>
  </si>
  <si>
    <t>€/MWh</t>
  </si>
  <si>
    <t>MWh/year</t>
  </si>
  <si>
    <t>Production</t>
  </si>
  <si>
    <t>Ammonia</t>
  </si>
  <si>
    <t>Excess electricity</t>
  </si>
  <si>
    <t>t/year</t>
  </si>
  <si>
    <t>Wind</t>
  </si>
  <si>
    <t>PV</t>
  </si>
  <si>
    <t>Grid electricity</t>
  </si>
  <si>
    <t>Power Line</t>
  </si>
  <si>
    <t>Electrical infrastructure</t>
  </si>
  <si>
    <t>Battery</t>
  </si>
  <si>
    <t>Water treatment</t>
  </si>
  <si>
    <t>H2 Storage</t>
  </si>
  <si>
    <t>Ammonia synthesis</t>
  </si>
  <si>
    <t>Air separation</t>
  </si>
  <si>
    <t>Electrolysis system</t>
  </si>
  <si>
    <t>Electrolysis stack</t>
  </si>
  <si>
    <t>Year</t>
  </si>
  <si>
    <t>CAPEX_Array [€/year]</t>
  </si>
  <si>
    <t>OPEX_Array [€/year]</t>
  </si>
  <si>
    <t>Remaining Lifetime</t>
  </si>
  <si>
    <t>Terminal Value</t>
  </si>
  <si>
    <t>TOTAL</t>
  </si>
  <si>
    <t>Tech Replacement</t>
  </si>
  <si>
    <t>Global Inflation</t>
  </si>
  <si>
    <t>Domestic Inflation</t>
  </si>
  <si>
    <t>Capacity</t>
  </si>
  <si>
    <t>Specific Capex</t>
  </si>
  <si>
    <t>Unit Capacity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</si>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</sst>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n Reul" id="{37560FEC-5AF6-4A01-B74A-9090C7841FB2}" userId="S::julian.reul@h2-global.org::1fb33bd7-136c-4315-9a27-9a9a0efd519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FC5177F0-FCA9-4223-A3DD-97CA858CF736}">
    <text>Take the investment costs of the last replacement (in year 21)</text>
  </threadedComment>
  <threadedComment ref="W10" dT="2024-11-11T16:04:14.89" personId="{37560FEC-5AF6-4A01-B74A-9090C7841FB2}" id="{6ADBB634-B4D7-4E79-938A-91D14A40EEF3}">
    <text>Take the investment costs of the last replacement (in year 22)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DC7BE314-8640-4372-B5C4-E560E692826E}">
    <text>Take the investment costs of the last replacement (in year 21)</text>
  </threadedComment>
  <threadedComment ref="W10" dT="2024-11-11T16:04:14.89" personId="{37560FEC-5AF6-4A01-B74A-9090C7841FB2}" id="{E669ABDA-0FAF-4051-93A8-AF1D6F200FE1}">
    <text>Take the investment costs of the last replacement (in year 22)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C09C5A52-E63C-4B07-BEB1-70D5F644FB5F}">
    <text>Take the investment costs of the last replacement (in year 21)</text>
  </threadedComment>
  <threadedComment ref="W10" dT="2024-11-11T16:04:14.89" personId="{37560FEC-5AF6-4A01-B74A-9090C7841FB2}" id="{D77D1799-16D2-4FB0-9736-52B8DC22C4EF}">
    <text>Take the investment costs of the last replacement (in year 22)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BF40D0E4-EE9C-4B2E-8F61-C3F6BF4E6686}">
    <text>Take the investment costs of the last replacement (in year 21)</text>
  </threadedComment>
  <threadedComment ref="W10" dT="2024-11-11T16:04:14.89" personId="{37560FEC-5AF6-4A01-B74A-9090C7841FB2}" id="{4536F3F2-CA1D-40D1-B118-A6ED229737F8}">
    <text>Take the investment costs of the last replacement (in year 22)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CDB0543B-A8CD-4FF1-895A-89B45F993BE7}">
    <text>Take the investment costs of the last replacement (in year 21)</text>
  </threadedComment>
  <threadedComment ref="W10" dT="2024-11-11T16:04:14.89" personId="{37560FEC-5AF6-4A01-B74A-9090C7841FB2}" id="{F751255F-6803-4F73-9BE3-CCD0E91D3FE7}">
    <text>Take the investment costs of the last replacement (in year 22)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DB3FAB1C-3113-4DAB-898B-E68B4EE8F73F}">
    <text>Take the investment costs of the last replacement (in year 21)</text>
  </threadedComment>
  <threadedComment ref="W10" dT="2024-11-11T16:04:14.89" personId="{37560FEC-5AF6-4A01-B74A-9090C7841FB2}" id="{1B127044-E151-441D-B17B-380C6DFBD201}">
    <text>Take the investment costs of the last replacement (in year 22)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DA3A46E1-C9F5-404E-8491-1E607F6961ED}">
    <text>Take the investment costs of the last replacement (in year 21)</text>
  </threadedComment>
  <threadedComment ref="W10" dT="2024-11-11T16:04:14.89" personId="{37560FEC-5AF6-4A01-B74A-9090C7841FB2}" id="{97898752-A7BC-44E4-84BC-604D9D8738F3}">
    <text>Take the investment costs of the last replacement (in year 22)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9CB9097B-144E-4A6A-B319-B4F7B765F813}">
    <text>Take the investment costs of the last replacement (in year 21)</text>
  </threadedComment>
  <threadedComment ref="W10" dT="2024-11-11T16:04:14.89" personId="{37560FEC-5AF6-4A01-B74A-9090C7841FB2}" id="{23E022A4-36F2-4BAF-83DB-92891A7C5C01}">
    <text>Take the investment costs of the last replacement (in year 22)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8CD7DF43-A41F-4A90-B3FF-2C9B919F9B30}">
    <text>Take the investment costs of the last replacement (in year 21)</text>
  </threadedComment>
  <threadedComment ref="W10" dT="2024-11-11T16:04:14.89" personId="{37560FEC-5AF6-4A01-B74A-9090C7841FB2}" id="{3EA2CCA9-40AE-48A1-8412-D648D3B13EBD}">
    <text>Take the investment costs of the last replacement (in year 22)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2BDC3BB0-810F-4864-B366-6843DD127078}">
    <text>Take the investment costs of the last replacement (in year 21)</text>
  </threadedComment>
  <threadedComment ref="W10" dT="2024-11-11T16:04:14.89" personId="{37560FEC-5AF6-4A01-B74A-9090C7841FB2}" id="{D310D9A4-A412-499A-BAC5-4AADB3A524EF}">
    <text>Take the investment costs of the last replacement (in year 22)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9817F1C5-9195-44FD-904A-6E92A51C8DA7}">
    <text>Take the investment costs of the last replacement (in year 21)</text>
  </threadedComment>
  <threadedComment ref="W10" dT="2024-11-11T16:04:14.89" personId="{37560FEC-5AF6-4A01-B74A-9090C7841FB2}" id="{501359C0-7D48-4A66-AA42-EF74C4A9D76E}">
    <text>Take the investment costs of the last replacement (in year 22)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F0461F5C-A90B-4915-9073-4090DC881E96}">
    <text>Take the investment costs of the last replacement (in year 21)</text>
  </threadedComment>
  <threadedComment ref="W10" dT="2024-11-11T16:04:14.89" personId="{37560FEC-5AF6-4A01-B74A-9090C7841FB2}" id="{68952851-2A78-4825-95A8-DCA7B231997A}">
    <text>Take the investment costs of the last replacement (in year 22)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354904E2-3B7B-4667-9CBB-7DFEC54B845B}">
    <text>Take the investment costs of the last replacement (in year 21)</text>
  </threadedComment>
  <threadedComment ref="W10" dT="2024-11-11T16:04:14.89" personId="{37560FEC-5AF6-4A01-B74A-9090C7841FB2}" id="{0C741C35-932D-4FAD-9DA6-AB14077E12B9}">
    <text>Take the investment costs of the last replacement (in year 22)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W8" dT="2024-11-11T16:04:32.66" personId="{37560FEC-5AF6-4A01-B74A-9090C7841FB2}" id="{40C28EF7-3690-4BDC-A32E-C615BBB379C6}">
    <text>Take the investment costs of the last replacement (in year 21)</text>
  </threadedComment>
  <threadedComment ref="W10" dT="2024-11-11T16:04:14.89" personId="{37560FEC-5AF6-4A01-B74A-9090C7841FB2}" id="{90318063-BA51-4CC1-A7A2-E9957E70033C}">
    <text>Take the investment costs of the last replacement (in year 22)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3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E2F4-3A70-4E3D-8592-EE5EA85F1B72}">
  <sheetPr>
    <tabColor rgb="FFFFFF00"/>
  </sheetPr>
  <dimension ref="A1:AD26"/>
  <sheetViews>
    <sheetView zoomScale="110" zoomScaleNormal="110" workbookViewId="0">
      <selection activeCell="I30" sqref="I30"/>
    </sheetView>
  </sheetViews>
  <sheetFormatPr baseColWidth="10" defaultRowHeight="14.5" x14ac:dyDescent="0.35"/>
  <cols>
    <col min="1" max="1" width="21.81640625" bestFit="1" customWidth="1"/>
    <col min="2" max="2" width="12.453125" bestFit="1" customWidth="1"/>
    <col min="6" max="6" width="13.54296875" bestFit="1" customWidth="1"/>
    <col min="10" max="10" width="15.7265625" bestFit="1" customWidth="1"/>
    <col min="14" max="14" width="16.453125" bestFit="1" customWidth="1"/>
    <col min="16" max="16" width="18.453125" bestFit="1" customWidth="1"/>
    <col min="17" max="17" width="17.36328125" bestFit="1" customWidth="1"/>
    <col min="18" max="18" width="17.36328125" customWidth="1"/>
    <col min="19" max="19" width="20.7265625" bestFit="1" customWidth="1"/>
    <col min="20" max="20" width="12.453125" bestFit="1" customWidth="1"/>
    <col min="22" max="22" width="17.1796875" bestFit="1" customWidth="1"/>
    <col min="23" max="23" width="17.1796875" customWidth="1"/>
    <col min="25" max="25" width="8.26953125" bestFit="1" customWidth="1"/>
    <col min="26" max="26" width="8.26953125" customWidth="1"/>
    <col min="27" max="27" width="13.36328125" bestFit="1" customWidth="1"/>
    <col min="28" max="28" width="13.36328125" customWidth="1"/>
  </cols>
  <sheetData>
    <row r="1" spans="1:30" s="4" customFormat="1" x14ac:dyDescent="0.35">
      <c r="A1" s="4" t="s">
        <v>0</v>
      </c>
      <c r="B1" s="4" t="s">
        <v>3</v>
      </c>
      <c r="C1" s="4" t="s">
        <v>1</v>
      </c>
      <c r="D1" s="4" t="s">
        <v>5</v>
      </c>
      <c r="F1" s="4" t="s">
        <v>7</v>
      </c>
      <c r="J1" s="4" t="s">
        <v>11</v>
      </c>
      <c r="N1" s="4" t="s">
        <v>33</v>
      </c>
      <c r="O1" s="4" t="s">
        <v>27</v>
      </c>
      <c r="P1" s="4" t="s">
        <v>28</v>
      </c>
      <c r="Q1" s="4" t="s">
        <v>29</v>
      </c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308885</v>
      </c>
      <c r="O2">
        <v>1</v>
      </c>
      <c r="P2" s="1">
        <f>T15</f>
        <v>2059870203.7501476</v>
      </c>
      <c r="Q2" s="1">
        <f>$X$15*(1+$AD$2)^(O2-1)</f>
        <v>44077127.142162807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1596935.45</v>
      </c>
      <c r="O3">
        <v>2</v>
      </c>
      <c r="P3">
        <v>0</v>
      </c>
      <c r="Q3" s="1">
        <f t="shared" ref="Q3:Q26" si="0">$X$15*(1+$AD$2)^(O3-1)</f>
        <v>46280983.499270953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773807500</v>
      </c>
      <c r="C4">
        <v>25</v>
      </c>
      <c r="D4" s="1">
        <f>B4*0.028</f>
        <v>21666610</v>
      </c>
      <c r="E4" s="1"/>
      <c r="J4" s="4" t="s">
        <v>13</v>
      </c>
      <c r="K4" s="5" t="s">
        <v>10</v>
      </c>
      <c r="L4">
        <v>366278</v>
      </c>
      <c r="O4">
        <v>3</v>
      </c>
      <c r="P4">
        <v>0</v>
      </c>
      <c r="Q4" s="1">
        <f t="shared" si="0"/>
        <v>48595032.674234495</v>
      </c>
      <c r="S4" s="4" t="s">
        <v>15</v>
      </c>
      <c r="T4" s="1">
        <f>B4</f>
        <v>773807500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21666610</v>
      </c>
      <c r="Y4">
        <f>T4/AA4</f>
        <v>625</v>
      </c>
      <c r="Z4" t="s">
        <v>39</v>
      </c>
      <c r="AA4">
        <v>1238092</v>
      </c>
    </row>
    <row r="5" spans="1:30" x14ac:dyDescent="0.35">
      <c r="A5" s="4" t="s">
        <v>16</v>
      </c>
      <c r="B5" s="1">
        <v>406774300</v>
      </c>
      <c r="C5">
        <v>25</v>
      </c>
      <c r="D5" s="1">
        <f>B5*0.017</f>
        <v>6915163.1000000006</v>
      </c>
      <c r="E5" s="1"/>
      <c r="O5">
        <v>4</v>
      </c>
      <c r="P5">
        <v>0</v>
      </c>
      <c r="Q5" s="1">
        <f t="shared" si="0"/>
        <v>51024784.307946227</v>
      </c>
      <c r="S5" s="4" t="s">
        <v>16</v>
      </c>
      <c r="T5" s="1">
        <f t="shared" ref="T5:T14" si="3">B5</f>
        <v>406774300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6915163.1000000006</v>
      </c>
      <c r="Y5">
        <f>T5/AA5</f>
        <v>725</v>
      </c>
      <c r="Z5" t="s">
        <v>39</v>
      </c>
      <c r="AA5">
        <v>561068</v>
      </c>
    </row>
    <row r="6" spans="1:30" x14ac:dyDescent="0.35">
      <c r="A6" s="4" t="s">
        <v>18</v>
      </c>
      <c r="B6" s="1">
        <v>153900000</v>
      </c>
      <c r="C6">
        <v>40</v>
      </c>
      <c r="D6" s="1">
        <f>B6*0.007</f>
        <v>1077300</v>
      </c>
      <c r="E6" s="1"/>
      <c r="O6">
        <v>5</v>
      </c>
      <c r="P6">
        <v>0</v>
      </c>
      <c r="Q6" s="1">
        <f t="shared" si="0"/>
        <v>53576023.523343533</v>
      </c>
      <c r="S6" s="4" t="s">
        <v>18</v>
      </c>
      <c r="T6" s="1">
        <f t="shared" si="3"/>
        <v>153900000</v>
      </c>
      <c r="U6" s="1">
        <f t="shared" si="1"/>
        <v>40</v>
      </c>
      <c r="V6" s="1">
        <f t="shared" si="4"/>
        <v>15</v>
      </c>
      <c r="W6" s="1">
        <f t="shared" si="5"/>
        <v>57712500</v>
      </c>
      <c r="X6" s="1">
        <f t="shared" si="2"/>
        <v>1077300</v>
      </c>
    </row>
    <row r="7" spans="1:30" x14ac:dyDescent="0.35">
      <c r="A7" s="4" t="s">
        <v>19</v>
      </c>
      <c r="B7" s="1">
        <v>93637700</v>
      </c>
      <c r="C7">
        <v>40</v>
      </c>
      <c r="D7" s="1">
        <f>B7*0.02</f>
        <v>1872754</v>
      </c>
      <c r="E7" s="1"/>
      <c r="O7">
        <v>6</v>
      </c>
      <c r="P7">
        <v>0</v>
      </c>
      <c r="Q7" s="1">
        <f t="shared" si="0"/>
        <v>56254824.699510716</v>
      </c>
      <c r="S7" s="4" t="s">
        <v>19</v>
      </c>
      <c r="T7" s="1">
        <f t="shared" si="3"/>
        <v>93637700</v>
      </c>
      <c r="U7" s="1">
        <f t="shared" si="1"/>
        <v>40</v>
      </c>
      <c r="V7" s="1">
        <f t="shared" si="4"/>
        <v>15</v>
      </c>
      <c r="W7" s="1">
        <f t="shared" si="5"/>
        <v>35114137.5</v>
      </c>
      <c r="X7" s="1">
        <f t="shared" si="2"/>
        <v>1872754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59067565.93448624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62020944.231210567</v>
      </c>
      <c r="S9" s="4" t="s">
        <v>25</v>
      </c>
      <c r="T9" s="1">
        <f t="shared" si="3"/>
        <v>108749999.99999999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2174999.9999999995</v>
      </c>
    </row>
    <row r="10" spans="1:30" x14ac:dyDescent="0.35">
      <c r="A10" s="4" t="s">
        <v>26</v>
      </c>
      <c r="B10" s="1">
        <f>0.71*375000000</f>
        <v>266250000</v>
      </c>
      <c r="C10">
        <v>10.46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65121991.442771085</v>
      </c>
      <c r="S10" s="4" t="s">
        <v>26</v>
      </c>
      <c r="T10" s="1">
        <f t="shared" si="3"/>
        <v>266250000</v>
      </c>
      <c r="U10" s="1">
        <f t="shared" si="1"/>
        <v>10.46</v>
      </c>
      <c r="V10" s="1">
        <f t="shared" si="4"/>
        <v>4.0799999999999983</v>
      </c>
      <c r="W10" s="1">
        <f>P23*(V10/U10)</f>
        <v>193196748.87648413</v>
      </c>
      <c r="X10" s="1">
        <f t="shared" si="2"/>
        <v>5325000</v>
      </c>
    </row>
    <row r="11" spans="1:30" x14ac:dyDescent="0.35">
      <c r="A11" s="4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68378091.01490964</v>
      </c>
      <c r="S11" s="4" t="s">
        <v>21</v>
      </c>
      <c r="T11" s="1">
        <f t="shared" si="3"/>
        <v>16728892.88928893</v>
      </c>
      <c r="U11" s="1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4" t="s">
        <v>22</v>
      </c>
      <c r="B12" s="1">
        <v>42429189.062592924</v>
      </c>
      <c r="C12">
        <v>30</v>
      </c>
      <c r="D12" s="1">
        <f>B12*0.01</f>
        <v>424291.89062592923</v>
      </c>
      <c r="E12" s="1"/>
      <c r="N12" t="s">
        <v>26</v>
      </c>
      <c r="O12">
        <v>11</v>
      </c>
      <c r="P12" s="1">
        <f>$B$10*(1+$AC$2)^(O12-1)</f>
        <v>357817736.00037241</v>
      </c>
      <c r="Q12" s="1">
        <f t="shared" si="0"/>
        <v>71796995.565655127</v>
      </c>
      <c r="S12" s="4" t="s">
        <v>22</v>
      </c>
      <c r="T12" s="1">
        <f t="shared" si="3"/>
        <v>42429189.062592924</v>
      </c>
      <c r="U12" s="1">
        <f t="shared" si="1"/>
        <v>30</v>
      </c>
      <c r="V12" s="1">
        <f t="shared" si="4"/>
        <v>5</v>
      </c>
      <c r="W12" s="1">
        <f t="shared" si="5"/>
        <v>7071531.5104321539</v>
      </c>
      <c r="X12" s="1">
        <f t="shared" si="2"/>
        <v>424291.89062592923</v>
      </c>
    </row>
    <row r="13" spans="1:30" x14ac:dyDescent="0.35">
      <c r="A13" s="4" t="s">
        <v>23</v>
      </c>
      <c r="B13" s="1">
        <v>133462148.8551382</v>
      </c>
      <c r="C13">
        <v>30</v>
      </c>
      <c r="D13" s="1">
        <f>B13*0.02</f>
        <v>2669242.977102764</v>
      </c>
      <c r="E13" s="1"/>
      <c r="O13">
        <v>12</v>
      </c>
      <c r="P13">
        <v>0</v>
      </c>
      <c r="Q13" s="1">
        <f t="shared" si="0"/>
        <v>75386845.343937889</v>
      </c>
      <c r="S13" s="4" t="s">
        <v>23</v>
      </c>
      <c r="T13" s="1">
        <f t="shared" si="3"/>
        <v>133462148.8551382</v>
      </c>
      <c r="U13" s="1">
        <f t="shared" si="1"/>
        <v>30</v>
      </c>
      <c r="V13" s="1">
        <f t="shared" si="4"/>
        <v>5</v>
      </c>
      <c r="W13" s="1">
        <f t="shared" si="5"/>
        <v>22243691.475856364</v>
      </c>
      <c r="X13" s="1">
        <f t="shared" si="2"/>
        <v>2669242.977102764</v>
      </c>
    </row>
    <row r="14" spans="1:30" x14ac:dyDescent="0.35">
      <c r="A14" s="4" t="s">
        <v>24</v>
      </c>
      <c r="B14" s="1">
        <v>64130472.943127461</v>
      </c>
      <c r="C14">
        <v>30</v>
      </c>
      <c r="D14" s="1">
        <f>B14*0.02</f>
        <v>1282609.4588625492</v>
      </c>
      <c r="E14" s="1"/>
      <c r="O14">
        <v>13</v>
      </c>
      <c r="P14">
        <v>0</v>
      </c>
      <c r="Q14" s="1">
        <f t="shared" si="0"/>
        <v>79156187.611134768</v>
      </c>
      <c r="S14" s="4" t="s">
        <v>24</v>
      </c>
      <c r="T14" s="1">
        <f t="shared" si="3"/>
        <v>64130472.943127461</v>
      </c>
      <c r="U14" s="1">
        <f t="shared" si="1"/>
        <v>30</v>
      </c>
      <c r="V14" s="1">
        <f t="shared" si="4"/>
        <v>5</v>
      </c>
      <c r="W14" s="1">
        <f t="shared" si="5"/>
        <v>10688412.157187909</v>
      </c>
      <c r="X14" s="1">
        <f t="shared" si="2"/>
        <v>1282609.4588625492</v>
      </c>
    </row>
    <row r="15" spans="1:30" x14ac:dyDescent="0.35">
      <c r="O15">
        <v>14</v>
      </c>
      <c r="P15">
        <v>0</v>
      </c>
      <c r="Q15" s="1">
        <f t="shared" si="0"/>
        <v>83113996.99169153</v>
      </c>
      <c r="S15" s="4" t="s">
        <v>32</v>
      </c>
      <c r="T15" s="1">
        <f>SUM(T4:T14)</f>
        <v>2059870203.7501476</v>
      </c>
      <c r="W15" s="1">
        <f>SUM(W4:W14)</f>
        <v>328815170.33484209</v>
      </c>
      <c r="X15" s="1">
        <f>SUM(X4:X14)</f>
        <v>44077127.142162807</v>
      </c>
    </row>
    <row r="16" spans="1:30" x14ac:dyDescent="0.35">
      <c r="B16" s="1"/>
      <c r="O16">
        <v>15</v>
      </c>
      <c r="P16">
        <v>0</v>
      </c>
      <c r="Q16" s="1">
        <f t="shared" si="0"/>
        <v>87269696.841276079</v>
      </c>
    </row>
    <row r="17" spans="14:17" x14ac:dyDescent="0.35">
      <c r="O17">
        <v>16</v>
      </c>
      <c r="P17">
        <v>0</v>
      </c>
      <c r="Q17" s="1">
        <f t="shared" si="0"/>
        <v>91633181.683339909</v>
      </c>
    </row>
    <row r="18" spans="14:17" x14ac:dyDescent="0.35">
      <c r="O18">
        <v>17</v>
      </c>
      <c r="P18">
        <v>0</v>
      </c>
      <c r="Q18" s="1">
        <f t="shared" si="0"/>
        <v>96214840.767506897</v>
      </c>
    </row>
    <row r="19" spans="14:17" x14ac:dyDescent="0.35">
      <c r="O19">
        <v>18</v>
      </c>
      <c r="P19">
        <v>0</v>
      </c>
      <c r="Q19" s="1">
        <f t="shared" si="0"/>
        <v>101025582.80588226</v>
      </c>
    </row>
    <row r="20" spans="14:17" x14ac:dyDescent="0.35">
      <c r="O20">
        <v>19</v>
      </c>
      <c r="P20">
        <v>0</v>
      </c>
      <c r="Q20" s="1">
        <f t="shared" si="0"/>
        <v>106076861.94617637</v>
      </c>
    </row>
    <row r="21" spans="14:17" x14ac:dyDescent="0.35">
      <c r="O21">
        <v>20</v>
      </c>
      <c r="P21">
        <v>0</v>
      </c>
      <c r="Q21" s="1">
        <f t="shared" si="0"/>
        <v>111380705.04348519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116949740.29565944</v>
      </c>
    </row>
    <row r="23" spans="14:17" x14ac:dyDescent="0.35">
      <c r="N23" t="s">
        <v>26</v>
      </c>
      <c r="O23">
        <v>22</v>
      </c>
      <c r="P23" s="1">
        <f>$B$10*(1+$AC$2)^(O23-1)</f>
        <v>495303429.71765316</v>
      </c>
      <c r="Q23" s="1">
        <f t="shared" si="0"/>
        <v>122797227.31044242</v>
      </c>
    </row>
    <row r="24" spans="14:17" x14ac:dyDescent="0.35">
      <c r="O24">
        <v>23</v>
      </c>
      <c r="P24">
        <v>0</v>
      </c>
      <c r="Q24" s="1">
        <f t="shared" si="0"/>
        <v>128937088.67596452</v>
      </c>
    </row>
    <row r="25" spans="14:17" x14ac:dyDescent="0.35">
      <c r="O25">
        <v>24</v>
      </c>
      <c r="P25">
        <v>0</v>
      </c>
      <c r="Q25" s="1">
        <f t="shared" si="0"/>
        <v>135383943.10976279</v>
      </c>
    </row>
    <row r="26" spans="14:17" x14ac:dyDescent="0.35">
      <c r="O26">
        <v>25</v>
      </c>
      <c r="P26">
        <v>0</v>
      </c>
      <c r="Q26" s="1">
        <f t="shared" si="0"/>
        <v>142153140.26525089</v>
      </c>
    </row>
  </sheetData>
  <mergeCells count="1">
    <mergeCell ref="J2:J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988-2977-485D-9954-F2FA746601A8}">
  <dimension ref="A1:AD26"/>
  <sheetViews>
    <sheetView workbookViewId="0">
      <selection activeCell="B9" sqref="B9"/>
    </sheetView>
  </sheetViews>
  <sheetFormatPr baseColWidth="10" defaultRowHeight="14.5" x14ac:dyDescent="0.35"/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59708</v>
      </c>
      <c r="O2">
        <v>1</v>
      </c>
      <c r="P2" s="1">
        <f>T15</f>
        <v>430038255.27468812</v>
      </c>
      <c r="Q2" s="1">
        <f>$X$15*(1+$AD$2)^(O2-1)</f>
        <v>9429813.9345204886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308690.36</v>
      </c>
      <c r="O3">
        <v>2</v>
      </c>
      <c r="P3">
        <v>0</v>
      </c>
      <c r="Q3" s="1">
        <f t="shared" ref="Q3:Q26" si="0">$X$15*(1+$AD$2)^(O3-1)</f>
        <v>9901304.6312465128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154761500</v>
      </c>
      <c r="C4">
        <v>25</v>
      </c>
      <c r="D4" s="1">
        <f>B4*0.028</f>
        <v>4333322</v>
      </c>
      <c r="E4" s="1"/>
      <c r="J4" s="4" t="s">
        <v>13</v>
      </c>
      <c r="K4" s="5" t="s">
        <v>10</v>
      </c>
      <c r="L4">
        <v>57009</v>
      </c>
      <c r="O4">
        <v>3</v>
      </c>
      <c r="P4">
        <v>0</v>
      </c>
      <c r="Q4" s="1">
        <f t="shared" si="0"/>
        <v>10396369.862808838</v>
      </c>
      <c r="S4" s="4" t="s">
        <v>15</v>
      </c>
      <c r="T4" s="1">
        <f>B4</f>
        <v>154761500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4333322</v>
      </c>
      <c r="Y4">
        <f>T4/AA4</f>
        <v>125</v>
      </c>
      <c r="Z4" t="s">
        <v>39</v>
      </c>
      <c r="AA4">
        <v>1238092</v>
      </c>
    </row>
    <row r="5" spans="1:30" x14ac:dyDescent="0.35">
      <c r="A5" s="4" t="s">
        <v>16</v>
      </c>
      <c r="B5" s="1">
        <v>75744180</v>
      </c>
      <c r="C5">
        <v>25</v>
      </c>
      <c r="D5" s="1">
        <f>B5*0.017</f>
        <v>1287651.06</v>
      </c>
      <c r="E5" s="1"/>
      <c r="O5">
        <v>4</v>
      </c>
      <c r="P5">
        <v>0</v>
      </c>
      <c r="Q5" s="1">
        <f t="shared" si="0"/>
        <v>10916188.355949283</v>
      </c>
      <c r="S5" s="4" t="s">
        <v>16</v>
      </c>
      <c r="T5" s="1">
        <f t="shared" ref="T5:T14" si="3">B5</f>
        <v>75744180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1287651.06</v>
      </c>
      <c r="Y5">
        <f>T5/AA5</f>
        <v>135</v>
      </c>
      <c r="Z5" t="s">
        <v>39</v>
      </c>
      <c r="AA5">
        <v>561068</v>
      </c>
    </row>
    <row r="6" spans="1:30" x14ac:dyDescent="0.35">
      <c r="A6" s="4" t="s">
        <v>18</v>
      </c>
      <c r="B6" s="1">
        <v>7400000</v>
      </c>
      <c r="C6">
        <v>40</v>
      </c>
      <c r="D6" s="1">
        <f>B6*0.007</f>
        <v>51800</v>
      </c>
      <c r="E6" s="1"/>
      <c r="O6">
        <v>5</v>
      </c>
      <c r="P6">
        <v>0</v>
      </c>
      <c r="Q6" s="1">
        <f t="shared" si="0"/>
        <v>11461997.773746746</v>
      </c>
      <c r="S6" s="4" t="s">
        <v>18</v>
      </c>
      <c r="T6" s="1">
        <f t="shared" si="3"/>
        <v>7400000</v>
      </c>
      <c r="U6" s="1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4" t="s">
        <v>19</v>
      </c>
      <c r="B7" s="1">
        <v>18234710</v>
      </c>
      <c r="C7">
        <v>40</v>
      </c>
      <c r="D7" s="1">
        <f>B7*0.02</f>
        <v>364694.2</v>
      </c>
      <c r="E7" s="1"/>
      <c r="O7">
        <v>6</v>
      </c>
      <c r="P7">
        <v>0</v>
      </c>
      <c r="Q7" s="1">
        <f t="shared" si="0"/>
        <v>12035097.662434082</v>
      </c>
      <c r="S7" s="4" t="s">
        <v>19</v>
      </c>
      <c r="T7" s="1">
        <f t="shared" si="3"/>
        <v>18234710</v>
      </c>
      <c r="U7" s="1">
        <f t="shared" si="1"/>
        <v>40</v>
      </c>
      <c r="V7" s="1">
        <f t="shared" si="4"/>
        <v>15</v>
      </c>
      <c r="W7" s="1">
        <f t="shared" si="5"/>
        <v>6838016.25</v>
      </c>
      <c r="X7" s="1">
        <f t="shared" si="2"/>
        <v>364694.2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12636852.545555785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3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13268695.172833577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3">
        <f>0.65*100000000</f>
        <v>65000000</v>
      </c>
      <c r="C10" s="2">
        <v>10.44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13932129.931475256</v>
      </c>
      <c r="S10" s="4" t="s">
        <v>26</v>
      </c>
      <c r="T10" s="1">
        <f t="shared" si="3"/>
        <v>65000000</v>
      </c>
      <c r="U10" s="1">
        <f t="shared" si="1"/>
        <v>10.44</v>
      </c>
      <c r="V10" s="1">
        <f t="shared" si="4"/>
        <v>4.120000000000001</v>
      </c>
      <c r="W10" s="1">
        <f>P23*(V10/U10)</f>
        <v>47719050.412241668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14628736.428049019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87354564.657367915</v>
      </c>
      <c r="Q12" s="1">
        <f t="shared" si="0"/>
        <v>15360173.24945147</v>
      </c>
      <c r="S12" s="4" t="s">
        <v>22</v>
      </c>
      <c r="T12" s="1">
        <f t="shared" si="3"/>
        <v>15252620.253043231</v>
      </c>
      <c r="U12" s="1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4" t="s">
        <v>23</v>
      </c>
      <c r="B13" s="1">
        <v>43148429.465089269</v>
      </c>
      <c r="C13">
        <v>30</v>
      </c>
      <c r="D13" s="1">
        <f>B13*0.02</f>
        <v>862968.58930178545</v>
      </c>
      <c r="E13" s="1"/>
      <c r="O13">
        <v>12</v>
      </c>
      <c r="P13">
        <v>0</v>
      </c>
      <c r="Q13" s="1">
        <f t="shared" si="0"/>
        <v>16128181.911924044</v>
      </c>
      <c r="S13" s="4" t="s">
        <v>23</v>
      </c>
      <c r="T13" s="1">
        <f t="shared" si="3"/>
        <v>43148429.465089269</v>
      </c>
      <c r="U13" s="1">
        <f t="shared" si="1"/>
        <v>30</v>
      </c>
      <c r="V13" s="1">
        <f t="shared" si="4"/>
        <v>5</v>
      </c>
      <c r="W13" s="1">
        <f t="shared" si="5"/>
        <v>7191404.9108482115</v>
      </c>
      <c r="X13" s="1">
        <f t="shared" si="2"/>
        <v>862968.58930178545</v>
      </c>
    </row>
    <row r="14" spans="1:30" x14ac:dyDescent="0.35">
      <c r="A14" s="4" t="s">
        <v>24</v>
      </c>
      <c r="B14" s="1">
        <v>12151036.978697831</v>
      </c>
      <c r="C14">
        <v>30</v>
      </c>
      <c r="D14" s="1">
        <f>B14*0.02</f>
        <v>243020.73957395661</v>
      </c>
      <c r="E14" s="1"/>
      <c r="O14">
        <v>13</v>
      </c>
      <c r="P14">
        <v>0</v>
      </c>
      <c r="Q14" s="1">
        <f t="shared" si="0"/>
        <v>16934591.007520244</v>
      </c>
      <c r="S14" s="4" t="s">
        <v>24</v>
      </c>
      <c r="T14" s="1">
        <f t="shared" si="3"/>
        <v>12151036.978697831</v>
      </c>
      <c r="U14" s="1">
        <f t="shared" si="1"/>
        <v>30</v>
      </c>
      <c r="V14" s="1">
        <f t="shared" si="4"/>
        <v>5</v>
      </c>
      <c r="W14" s="1">
        <f t="shared" si="5"/>
        <v>2025172.8297829716</v>
      </c>
      <c r="X14" s="1">
        <f t="shared" si="2"/>
        <v>243020.73957395661</v>
      </c>
    </row>
    <row r="15" spans="1:30" x14ac:dyDescent="0.35">
      <c r="O15">
        <v>14</v>
      </c>
      <c r="P15">
        <v>0</v>
      </c>
      <c r="Q15" s="1">
        <f t="shared" si="0"/>
        <v>17781320.55789626</v>
      </c>
      <c r="S15" s="4" t="s">
        <v>32</v>
      </c>
      <c r="T15" s="1">
        <f>SUM(T4:T14)</f>
        <v>430038255.27468812</v>
      </c>
      <c r="W15" s="1">
        <f>SUM(W4:W14)</f>
        <v>69648377.541356355</v>
      </c>
      <c r="X15" s="1">
        <f>SUM(X4:X14)</f>
        <v>9429813.9345204886</v>
      </c>
    </row>
    <row r="16" spans="1:30" x14ac:dyDescent="0.35">
      <c r="O16">
        <v>15</v>
      </c>
      <c r="P16">
        <v>0</v>
      </c>
      <c r="Q16" s="1">
        <f t="shared" si="0"/>
        <v>18670386.585791066</v>
      </c>
    </row>
    <row r="17" spans="14:17" x14ac:dyDescent="0.35">
      <c r="O17">
        <v>16</v>
      </c>
      <c r="P17">
        <v>0</v>
      </c>
      <c r="Q17" s="1">
        <f t="shared" si="0"/>
        <v>19603905.915080626</v>
      </c>
    </row>
    <row r="18" spans="14:17" x14ac:dyDescent="0.35">
      <c r="O18">
        <v>17</v>
      </c>
      <c r="P18">
        <v>0</v>
      </c>
      <c r="Q18" s="1">
        <f t="shared" si="0"/>
        <v>20584101.210834656</v>
      </c>
    </row>
    <row r="19" spans="14:17" x14ac:dyDescent="0.35">
      <c r="O19">
        <v>18</v>
      </c>
      <c r="P19">
        <v>0</v>
      </c>
      <c r="Q19" s="1">
        <f t="shared" si="0"/>
        <v>21613306.271376394</v>
      </c>
    </row>
    <row r="20" spans="14:17" x14ac:dyDescent="0.35">
      <c r="O20">
        <v>19</v>
      </c>
      <c r="P20">
        <v>0</v>
      </c>
      <c r="Q20" s="1">
        <f t="shared" si="0"/>
        <v>22693971.584945213</v>
      </c>
    </row>
    <row r="21" spans="14:17" x14ac:dyDescent="0.35">
      <c r="O21">
        <v>20</v>
      </c>
      <c r="P21">
        <v>0</v>
      </c>
      <c r="Q21" s="1">
        <f t="shared" si="0"/>
        <v>23828670.164192472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25020103.672402095</v>
      </c>
    </row>
    <row r="23" spans="14:17" x14ac:dyDescent="0.35">
      <c r="N23" t="s">
        <v>26</v>
      </c>
      <c r="O23">
        <v>22</v>
      </c>
      <c r="P23" s="1">
        <f>$B$10*(1+$AC$2)^(O23-1)</f>
        <v>120919147.1611172</v>
      </c>
      <c r="Q23" s="1">
        <f t="shared" si="0"/>
        <v>26271108.856022198</v>
      </c>
    </row>
    <row r="24" spans="14:17" x14ac:dyDescent="0.35">
      <c r="O24">
        <v>23</v>
      </c>
      <c r="P24">
        <v>0</v>
      </c>
      <c r="Q24" s="1">
        <f t="shared" si="0"/>
        <v>27584664.298823308</v>
      </c>
    </row>
    <row r="25" spans="14:17" x14ac:dyDescent="0.35">
      <c r="O25">
        <v>24</v>
      </c>
      <c r="P25">
        <v>0</v>
      </c>
      <c r="Q25" s="1">
        <f t="shared" si="0"/>
        <v>28963897.513764478</v>
      </c>
    </row>
    <row r="26" spans="14:17" x14ac:dyDescent="0.35">
      <c r="O26">
        <v>25</v>
      </c>
      <c r="P26">
        <v>0</v>
      </c>
      <c r="Q26" s="1">
        <f t="shared" si="0"/>
        <v>30412092.3894527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7833-9637-4DAD-9FC7-17432E271BAD}">
  <dimension ref="A1:AD26"/>
  <sheetViews>
    <sheetView workbookViewId="0">
      <selection activeCell="B11" sqref="B11"/>
    </sheetView>
  </sheetViews>
  <sheetFormatPr baseColWidth="10" defaultRowHeight="14.5" x14ac:dyDescent="0.35"/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6336</v>
      </c>
      <c r="O2">
        <v>1</v>
      </c>
      <c r="P2" s="1">
        <f>T15</f>
        <v>62943681.709693804</v>
      </c>
      <c r="Q2" s="1">
        <f>$X$15*(1+$AD$2)^(O2-1)</f>
        <v>1326156.6183783878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32757.119999999999</v>
      </c>
      <c r="O3">
        <v>2</v>
      </c>
      <c r="P3">
        <v>0</v>
      </c>
      <c r="Q3" s="1">
        <f t="shared" ref="Q3:Q26" si="0">$X$15*(1+$AD$2)^(O3-1)</f>
        <v>1392464.4492973073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16714242</v>
      </c>
      <c r="C4">
        <v>25</v>
      </c>
      <c r="D4" s="1">
        <f>B4*0.028</f>
        <v>467998.77600000001</v>
      </c>
      <c r="E4" s="1"/>
      <c r="J4" s="4" t="s">
        <v>13</v>
      </c>
      <c r="K4" s="5" t="s">
        <v>10</v>
      </c>
      <c r="L4">
        <v>10285</v>
      </c>
      <c r="O4">
        <v>3</v>
      </c>
      <c r="P4">
        <v>0</v>
      </c>
      <c r="Q4" s="1">
        <f t="shared" si="0"/>
        <v>1462087.6717621726</v>
      </c>
      <c r="S4" s="4" t="s">
        <v>15</v>
      </c>
      <c r="T4" s="1">
        <f>B4</f>
        <v>16714242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467998.77600000001</v>
      </c>
      <c r="Y4">
        <f>T4/AA4</f>
        <v>13.5</v>
      </c>
      <c r="Z4" t="s">
        <v>39</v>
      </c>
      <c r="AA4">
        <v>1238092</v>
      </c>
    </row>
    <row r="5" spans="1:30" x14ac:dyDescent="0.35">
      <c r="A5" s="4" t="s">
        <v>16</v>
      </c>
      <c r="B5" s="1">
        <v>9257622</v>
      </c>
      <c r="C5">
        <v>25</v>
      </c>
      <c r="D5" s="1">
        <f>B5*0.017</f>
        <v>157379.57400000002</v>
      </c>
      <c r="E5" s="1"/>
      <c r="O5">
        <v>4</v>
      </c>
      <c r="P5">
        <v>0</v>
      </c>
      <c r="Q5" s="1">
        <f t="shared" si="0"/>
        <v>1535192.0553502813</v>
      </c>
      <c r="S5" s="4" t="s">
        <v>16</v>
      </c>
      <c r="T5" s="1">
        <f t="shared" ref="T5:T14" si="3">B5</f>
        <v>9257622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157379.57400000002</v>
      </c>
      <c r="Y5">
        <f>T5/AA5</f>
        <v>16.5</v>
      </c>
      <c r="Z5" t="s">
        <v>39</v>
      </c>
      <c r="AA5">
        <v>561068</v>
      </c>
    </row>
    <row r="6" spans="1:30" x14ac:dyDescent="0.35">
      <c r="A6" s="4" t="s">
        <v>18</v>
      </c>
      <c r="B6" s="1">
        <v>1600000</v>
      </c>
      <c r="C6">
        <v>40</v>
      </c>
      <c r="D6" s="1">
        <f>B6*0.007</f>
        <v>11200</v>
      </c>
      <c r="E6" s="1"/>
      <c r="O6">
        <v>5</v>
      </c>
      <c r="P6">
        <v>0</v>
      </c>
      <c r="Q6" s="1">
        <f t="shared" si="0"/>
        <v>1611951.6581177951</v>
      </c>
      <c r="S6" s="4" t="s">
        <v>18</v>
      </c>
      <c r="T6" s="1">
        <f t="shared" si="3"/>
        <v>1600000</v>
      </c>
      <c r="U6" s="1">
        <f t="shared" si="1"/>
        <v>40</v>
      </c>
      <c r="V6" s="1">
        <f t="shared" si="4"/>
        <v>15</v>
      </c>
      <c r="W6" s="1">
        <f t="shared" si="5"/>
        <v>600000</v>
      </c>
      <c r="X6" s="1">
        <f t="shared" si="2"/>
        <v>11200</v>
      </c>
    </row>
    <row r="7" spans="1:30" x14ac:dyDescent="0.35">
      <c r="A7" s="4" t="s">
        <v>19</v>
      </c>
      <c r="B7" s="1">
        <v>6899620</v>
      </c>
      <c r="C7">
        <v>40</v>
      </c>
      <c r="D7" s="1">
        <f>B7*0.02</f>
        <v>137992.4</v>
      </c>
      <c r="E7" s="1"/>
      <c r="O7">
        <v>6</v>
      </c>
      <c r="P7">
        <v>0</v>
      </c>
      <c r="Q7" s="1">
        <f t="shared" si="0"/>
        <v>1692549.2410236851</v>
      </c>
      <c r="S7" s="4" t="s">
        <v>19</v>
      </c>
      <c r="T7" s="1">
        <f t="shared" si="3"/>
        <v>6899620</v>
      </c>
      <c r="U7" s="1">
        <f t="shared" si="1"/>
        <v>40</v>
      </c>
      <c r="V7" s="1">
        <f t="shared" si="4"/>
        <v>15</v>
      </c>
      <c r="W7" s="1">
        <f t="shared" si="5"/>
        <v>2587357.5</v>
      </c>
      <c r="X7" s="1">
        <f t="shared" si="2"/>
        <v>137992.4</v>
      </c>
    </row>
    <row r="8" spans="1:30" x14ac:dyDescent="0.35">
      <c r="A8" s="4" t="s">
        <v>20</v>
      </c>
      <c r="B8" s="1">
        <v>400000</v>
      </c>
      <c r="C8">
        <v>20</v>
      </c>
      <c r="D8" s="1">
        <f>B8*0.015</f>
        <v>6000</v>
      </c>
      <c r="E8" s="1"/>
      <c r="O8">
        <v>7</v>
      </c>
      <c r="P8">
        <v>0</v>
      </c>
      <c r="Q8" s="1">
        <f t="shared" si="0"/>
        <v>1777176.7030748692</v>
      </c>
      <c r="S8" s="4" t="s">
        <v>20</v>
      </c>
      <c r="T8" s="1">
        <f t="shared" si="3"/>
        <v>400000</v>
      </c>
      <c r="U8" s="1">
        <f t="shared" si="1"/>
        <v>20</v>
      </c>
      <c r="V8" s="1">
        <f t="shared" si="4"/>
        <v>5</v>
      </c>
      <c r="W8" s="1">
        <f>P22*(V8/U8)</f>
        <v>100000</v>
      </c>
      <c r="X8" s="1">
        <f t="shared" si="2"/>
        <v>6000</v>
      </c>
      <c r="Y8">
        <f>T8/AA8</f>
        <v>1.3333333333333333</v>
      </c>
      <c r="Z8" t="s">
        <v>39</v>
      </c>
      <c r="AA8">
        <v>300000</v>
      </c>
    </row>
    <row r="9" spans="1:30" x14ac:dyDescent="0.35">
      <c r="A9" s="4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1866035.5382286129</v>
      </c>
      <c r="S9" s="4" t="s">
        <v>25</v>
      </c>
      <c r="T9" s="1">
        <f t="shared" si="3"/>
        <v>6750000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135000</v>
      </c>
    </row>
    <row r="10" spans="1:30" x14ac:dyDescent="0.35">
      <c r="A10" s="4" t="s">
        <v>26</v>
      </c>
      <c r="B10" s="1">
        <f>0.55*15000000</f>
        <v>8250000.0000000009</v>
      </c>
      <c r="C10">
        <v>10.64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1959337.3151400434</v>
      </c>
      <c r="S10" s="4" t="s">
        <v>26</v>
      </c>
      <c r="T10" s="1">
        <f t="shared" si="3"/>
        <v>8250000.0000000009</v>
      </c>
      <c r="U10" s="1">
        <f t="shared" si="1"/>
        <v>10.64</v>
      </c>
      <c r="V10" s="1">
        <f t="shared" si="4"/>
        <v>3.7199999999999989</v>
      </c>
      <c r="W10" s="1">
        <f>P23*(V10/U10)</f>
        <v>5365830.8652034216</v>
      </c>
      <c r="X10" s="1">
        <f t="shared" si="2"/>
        <v>165000.00000000003</v>
      </c>
    </row>
    <row r="11" spans="1:30" x14ac:dyDescent="0.35">
      <c r="A11" s="4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2057304.1808970456</v>
      </c>
      <c r="S11" s="4" t="s">
        <v>21</v>
      </c>
      <c r="T11" s="1">
        <f t="shared" si="3"/>
        <v>334577.85778577859</v>
      </c>
      <c r="U11" s="1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4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11087310.129589006</v>
      </c>
      <c r="Q12" s="1">
        <f t="shared" si="0"/>
        <v>2160169.3899418982</v>
      </c>
      <c r="S12" s="4" t="s">
        <v>22</v>
      </c>
      <c r="T12" s="1">
        <f t="shared" si="3"/>
        <v>2254964.297120431</v>
      </c>
      <c r="U12" s="1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4" t="s">
        <v>23</v>
      </c>
      <c r="B13" s="1">
        <v>9267551.8569178134</v>
      </c>
      <c r="C13">
        <v>30</v>
      </c>
      <c r="D13" s="1">
        <f>B13*0.02</f>
        <v>185351.03713835627</v>
      </c>
      <c r="E13" s="1"/>
      <c r="O13">
        <v>12</v>
      </c>
      <c r="P13">
        <v>0</v>
      </c>
      <c r="Q13" s="1">
        <f t="shared" si="0"/>
        <v>2268177.859438993</v>
      </c>
      <c r="S13" s="4" t="s">
        <v>23</v>
      </c>
      <c r="T13" s="1">
        <f t="shared" si="3"/>
        <v>9267551.8569178134</v>
      </c>
      <c r="U13" s="1">
        <f t="shared" si="1"/>
        <v>30</v>
      </c>
      <c r="V13" s="1">
        <f t="shared" si="4"/>
        <v>5</v>
      </c>
      <c r="W13" s="1">
        <f t="shared" si="5"/>
        <v>1544591.9761529688</v>
      </c>
      <c r="X13" s="1">
        <f t="shared" si="2"/>
        <v>185351.03713835627</v>
      </c>
    </row>
    <row r="14" spans="1:30" x14ac:dyDescent="0.35">
      <c r="A14" s="4" t="s">
        <v>24</v>
      </c>
      <c r="B14" s="1">
        <v>1215103.697869783</v>
      </c>
      <c r="C14">
        <v>30</v>
      </c>
      <c r="D14" s="1">
        <f>B14*0.02</f>
        <v>24302.07395739566</v>
      </c>
      <c r="E14" s="1"/>
      <c r="O14">
        <v>13</v>
      </c>
      <c r="P14">
        <v>0</v>
      </c>
      <c r="Q14" s="1">
        <f t="shared" si="0"/>
        <v>2381586.7524109422</v>
      </c>
      <c r="S14" s="4" t="s">
        <v>24</v>
      </c>
      <c r="T14" s="1">
        <f t="shared" si="3"/>
        <v>1215103.697869783</v>
      </c>
      <c r="U14" s="1">
        <f t="shared" si="1"/>
        <v>30</v>
      </c>
      <c r="V14" s="1">
        <f t="shared" si="4"/>
        <v>5</v>
      </c>
      <c r="W14" s="1">
        <f t="shared" si="5"/>
        <v>202517.28297829715</v>
      </c>
      <c r="X14" s="1">
        <f t="shared" si="2"/>
        <v>24302.07395739566</v>
      </c>
    </row>
    <row r="15" spans="1:30" x14ac:dyDescent="0.35">
      <c r="O15">
        <v>14</v>
      </c>
      <c r="P15">
        <v>0</v>
      </c>
      <c r="Q15" s="1">
        <f t="shared" si="0"/>
        <v>2500666.0900314897</v>
      </c>
      <c r="S15" s="4" t="s">
        <v>32</v>
      </c>
      <c r="T15" s="1">
        <f>SUM(T4:T14)</f>
        <v>62943681.709693804</v>
      </c>
      <c r="W15" s="1">
        <f>SUM(W4:W14)</f>
        <v>10831887.983485723</v>
      </c>
      <c r="X15" s="1">
        <f>SUM(X4:X14)</f>
        <v>1326156.6183783878</v>
      </c>
    </row>
    <row r="16" spans="1:30" x14ac:dyDescent="0.35">
      <c r="O16">
        <v>15</v>
      </c>
      <c r="P16">
        <v>0</v>
      </c>
      <c r="Q16" s="1">
        <f t="shared" si="0"/>
        <v>2625699.3945330638</v>
      </c>
    </row>
    <row r="17" spans="14:17" x14ac:dyDescent="0.35">
      <c r="O17">
        <v>16</v>
      </c>
      <c r="P17">
        <v>0</v>
      </c>
      <c r="Q17" s="1">
        <f t="shared" si="0"/>
        <v>2756984.364259718</v>
      </c>
    </row>
    <row r="18" spans="14:17" x14ac:dyDescent="0.35">
      <c r="O18">
        <v>17</v>
      </c>
      <c r="P18">
        <v>0</v>
      </c>
      <c r="Q18" s="1">
        <f t="shared" si="0"/>
        <v>2894833.5824727034</v>
      </c>
    </row>
    <row r="19" spans="14:17" x14ac:dyDescent="0.35">
      <c r="O19">
        <v>18</v>
      </c>
      <c r="P19">
        <v>0</v>
      </c>
      <c r="Q19" s="1">
        <f t="shared" si="0"/>
        <v>3039575.2615963388</v>
      </c>
    </row>
    <row r="20" spans="14:17" x14ac:dyDescent="0.35">
      <c r="O20">
        <v>19</v>
      </c>
      <c r="P20">
        <v>0</v>
      </c>
      <c r="Q20" s="1">
        <f t="shared" si="0"/>
        <v>3191554.0246761558</v>
      </c>
    </row>
    <row r="21" spans="14:17" x14ac:dyDescent="0.35">
      <c r="O21">
        <v>20</v>
      </c>
      <c r="P21">
        <v>0</v>
      </c>
      <c r="Q21" s="1">
        <f t="shared" si="0"/>
        <v>3351131.7259099637</v>
      </c>
    </row>
    <row r="22" spans="14:17" x14ac:dyDescent="0.35">
      <c r="N22" t="s">
        <v>20</v>
      </c>
      <c r="O22">
        <v>21</v>
      </c>
      <c r="P22" s="1">
        <f>B8</f>
        <v>400000</v>
      </c>
      <c r="Q22" s="1">
        <f t="shared" si="0"/>
        <v>3518688.3122054618</v>
      </c>
    </row>
    <row r="23" spans="14:17" x14ac:dyDescent="0.35">
      <c r="N23" t="s">
        <v>26</v>
      </c>
      <c r="O23">
        <v>22</v>
      </c>
      <c r="P23" s="1">
        <f>$B$10*(1+$AC$2)^(O23-1)</f>
        <v>15347430.216603339</v>
      </c>
      <c r="Q23" s="1">
        <f t="shared" si="0"/>
        <v>3694622.7278157347</v>
      </c>
    </row>
    <row r="24" spans="14:17" x14ac:dyDescent="0.35">
      <c r="O24">
        <v>23</v>
      </c>
      <c r="P24">
        <v>0</v>
      </c>
      <c r="Q24" s="1">
        <f t="shared" si="0"/>
        <v>3879353.8642065213</v>
      </c>
    </row>
    <row r="25" spans="14:17" x14ac:dyDescent="0.35">
      <c r="O25">
        <v>24</v>
      </c>
      <c r="P25">
        <v>0</v>
      </c>
      <c r="Q25" s="1">
        <f t="shared" si="0"/>
        <v>4073321.5574168484</v>
      </c>
    </row>
    <row r="26" spans="14:17" x14ac:dyDescent="0.35">
      <c r="O26">
        <v>25</v>
      </c>
      <c r="P26">
        <v>0</v>
      </c>
      <c r="Q26" s="1">
        <f t="shared" si="0"/>
        <v>4276987.63528769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A78D-3CE7-4598-BDEF-0B160B46E8AB}">
  <dimension ref="A1:AD26"/>
  <sheetViews>
    <sheetView workbookViewId="0">
      <selection activeCell="B10" sqref="B10"/>
    </sheetView>
  </sheetViews>
  <sheetFormatPr baseColWidth="10" defaultRowHeight="14.5" x14ac:dyDescent="0.35"/>
  <cols>
    <col min="20" max="20" width="12.4531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157398</v>
      </c>
      <c r="O2">
        <v>1</v>
      </c>
      <c r="P2" s="1">
        <f>T15</f>
        <v>1372286785.3614042</v>
      </c>
      <c r="Q2" s="1">
        <f>$X$15*(1+$AD$2)^(O2-1)</f>
        <v>24520077.374387931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813747.66</v>
      </c>
      <c r="O3">
        <v>2</v>
      </c>
      <c r="P3">
        <v>0</v>
      </c>
      <c r="Q3" s="1">
        <f t="shared" ref="Q3:Q26" si="0">$X$15*(1+$AD$2)^(O3-1)</f>
        <v>25746081.24310733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0</v>
      </c>
      <c r="C4">
        <v>25</v>
      </c>
      <c r="D4" s="1">
        <f>B4*0.028</f>
        <v>0</v>
      </c>
      <c r="E4" s="1"/>
      <c r="J4" s="4" t="s">
        <v>13</v>
      </c>
      <c r="K4" s="5" t="s">
        <v>10</v>
      </c>
      <c r="L4">
        <v>271324</v>
      </c>
      <c r="O4">
        <v>3</v>
      </c>
      <c r="P4">
        <v>0</v>
      </c>
      <c r="Q4" s="1">
        <f t="shared" si="0"/>
        <v>27033385.305262696</v>
      </c>
      <c r="S4" s="4" t="s">
        <v>15</v>
      </c>
      <c r="T4" s="1">
        <f>B4</f>
        <v>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39</v>
      </c>
      <c r="AA4">
        <v>1238092</v>
      </c>
    </row>
    <row r="5" spans="1:30" x14ac:dyDescent="0.35">
      <c r="A5" s="4" t="s">
        <v>16</v>
      </c>
      <c r="B5" s="1">
        <v>603148100</v>
      </c>
      <c r="C5">
        <v>25</v>
      </c>
      <c r="D5" s="1">
        <f>B5*0.017</f>
        <v>10253517.700000001</v>
      </c>
      <c r="E5" s="1"/>
      <c r="O5">
        <v>4</v>
      </c>
      <c r="P5">
        <v>0</v>
      </c>
      <c r="Q5" s="1">
        <f t="shared" si="0"/>
        <v>28385054.570525832</v>
      </c>
      <c r="S5" s="4" t="s">
        <v>16</v>
      </c>
      <c r="T5" s="1">
        <f t="shared" ref="T5:T14" si="3">B5</f>
        <v>603148100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10253517.700000001</v>
      </c>
      <c r="Y5">
        <f>T5/AA5</f>
        <v>1075</v>
      </c>
      <c r="Z5" t="s">
        <v>39</v>
      </c>
      <c r="AA5">
        <v>561068</v>
      </c>
    </row>
    <row r="6" spans="1:30" x14ac:dyDescent="0.35">
      <c r="A6" s="4" t="s">
        <v>18</v>
      </c>
      <c r="B6" s="1">
        <v>40500000</v>
      </c>
      <c r="C6">
        <v>40</v>
      </c>
      <c r="D6" s="1">
        <f>B6*0.007</f>
        <v>283500</v>
      </c>
      <c r="E6" s="1"/>
      <c r="O6">
        <v>5</v>
      </c>
      <c r="P6">
        <v>0</v>
      </c>
      <c r="Q6" s="1">
        <f t="shared" si="0"/>
        <v>29804307.299052119</v>
      </c>
      <c r="S6" s="4" t="s">
        <v>18</v>
      </c>
      <c r="T6" s="1">
        <f t="shared" si="3"/>
        <v>40500000</v>
      </c>
      <c r="U6" s="1">
        <f t="shared" si="1"/>
        <v>40</v>
      </c>
      <c r="V6" s="1">
        <f t="shared" si="4"/>
        <v>15</v>
      </c>
      <c r="W6" s="1">
        <f t="shared" si="5"/>
        <v>15187500</v>
      </c>
      <c r="X6" s="1">
        <f t="shared" si="2"/>
        <v>283500</v>
      </c>
    </row>
    <row r="7" spans="1:30" x14ac:dyDescent="0.35">
      <c r="A7" s="4" t="s">
        <v>19</v>
      </c>
      <c r="B7" s="1">
        <v>80084875</v>
      </c>
      <c r="C7">
        <v>40</v>
      </c>
      <c r="D7" s="1">
        <f>B7*0.02</f>
        <v>1601697.5</v>
      </c>
      <c r="E7" s="1"/>
      <c r="O7">
        <v>6</v>
      </c>
      <c r="P7">
        <v>0</v>
      </c>
      <c r="Q7" s="1">
        <f t="shared" si="0"/>
        <v>31294522.664004728</v>
      </c>
      <c r="S7" s="4" t="s">
        <v>19</v>
      </c>
      <c r="T7" s="1">
        <f t="shared" si="3"/>
        <v>80084875</v>
      </c>
      <c r="U7" s="1">
        <f t="shared" si="1"/>
        <v>40</v>
      </c>
      <c r="V7" s="1">
        <f t="shared" si="4"/>
        <v>15</v>
      </c>
      <c r="W7" s="1">
        <f t="shared" si="5"/>
        <v>30031828.125</v>
      </c>
      <c r="X7" s="1">
        <f t="shared" si="2"/>
        <v>1601697.5</v>
      </c>
    </row>
    <row r="8" spans="1:30" x14ac:dyDescent="0.35">
      <c r="A8" s="4" t="s">
        <v>20</v>
      </c>
      <c r="B8" s="1">
        <v>100000000</v>
      </c>
      <c r="C8">
        <v>20</v>
      </c>
      <c r="D8" s="1">
        <f>B8*0.015</f>
        <v>1500000</v>
      </c>
      <c r="E8" s="1"/>
      <c r="O8">
        <v>7</v>
      </c>
      <c r="P8">
        <v>0</v>
      </c>
      <c r="Q8" s="1">
        <f t="shared" si="0"/>
        <v>32859248.79720496</v>
      </c>
      <c r="S8" s="4" t="s">
        <v>20</v>
      </c>
      <c r="T8" s="1">
        <f t="shared" si="3"/>
        <v>100000000</v>
      </c>
      <c r="U8" s="1">
        <f t="shared" si="1"/>
        <v>20</v>
      </c>
      <c r="V8" s="1">
        <f t="shared" si="4"/>
        <v>5</v>
      </c>
      <c r="W8" s="1">
        <f>P22*(V8/U8)</f>
        <v>25000000</v>
      </c>
      <c r="X8" s="1">
        <f t="shared" si="2"/>
        <v>1500000</v>
      </c>
      <c r="Y8">
        <f>T8/AA8</f>
        <v>333.33333333333331</v>
      </c>
      <c r="Z8" t="s">
        <v>39</v>
      </c>
      <c r="AA8">
        <v>300000</v>
      </c>
    </row>
    <row r="9" spans="1:30" x14ac:dyDescent="0.35">
      <c r="A9" s="4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34502211.237065218</v>
      </c>
      <c r="S9" s="4" t="s">
        <v>25</v>
      </c>
      <c r="T9" s="1">
        <f t="shared" si="3"/>
        <v>108749999.99999999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2174999.9999999995</v>
      </c>
    </row>
    <row r="10" spans="1:30" x14ac:dyDescent="0.35">
      <c r="A10" s="4" t="s">
        <v>26</v>
      </c>
      <c r="B10" s="1">
        <f>0.71*375000000</f>
        <v>266250000</v>
      </c>
      <c r="C10">
        <v>21.81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36227321.798918471</v>
      </c>
      <c r="S10" s="4" t="s">
        <v>26</v>
      </c>
      <c r="T10" s="1">
        <f t="shared" si="3"/>
        <v>266250000</v>
      </c>
      <c r="U10" s="1">
        <f t="shared" si="1"/>
        <v>21.81</v>
      </c>
      <c r="V10" s="1">
        <f t="shared" si="4"/>
        <v>3.1900000000000013</v>
      </c>
      <c r="W10" s="1">
        <f>P23*(V10/U10)</f>
        <v>72444655.699189112</v>
      </c>
      <c r="X10" s="1">
        <f t="shared" si="2"/>
        <v>5325000</v>
      </c>
    </row>
    <row r="11" spans="1:30" x14ac:dyDescent="0.35">
      <c r="A11" s="4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38038687.888864398</v>
      </c>
      <c r="S11" s="4" t="s">
        <v>21</v>
      </c>
      <c r="T11" s="1">
        <f t="shared" si="3"/>
        <v>16728892.88928893</v>
      </c>
      <c r="U11" s="1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4" t="s">
        <v>22</v>
      </c>
      <c r="B12" s="1">
        <v>42429189.062592924</v>
      </c>
      <c r="C12">
        <v>30</v>
      </c>
      <c r="D12" s="1">
        <f>B12*0.01</f>
        <v>424291.89062592923</v>
      </c>
      <c r="E12" s="1"/>
      <c r="N12" t="s">
        <v>26</v>
      </c>
      <c r="O12">
        <v>11</v>
      </c>
      <c r="P12" s="1">
        <f>$B$10*(1+$AC$2)^(O12-1)</f>
        <v>357817736.00037241</v>
      </c>
      <c r="Q12" s="1">
        <f t="shared" si="0"/>
        <v>39940622.283307619</v>
      </c>
      <c r="S12" s="4" t="s">
        <v>22</v>
      </c>
      <c r="T12" s="1">
        <f t="shared" si="3"/>
        <v>42429189.062592924</v>
      </c>
      <c r="U12" s="1">
        <f t="shared" si="1"/>
        <v>30</v>
      </c>
      <c r="V12" s="1">
        <f t="shared" si="4"/>
        <v>5</v>
      </c>
      <c r="W12" s="1">
        <f t="shared" si="5"/>
        <v>7071531.5104321539</v>
      </c>
      <c r="X12" s="1">
        <f t="shared" si="2"/>
        <v>424291.89062592923</v>
      </c>
    </row>
    <row r="13" spans="1:30" x14ac:dyDescent="0.35">
      <c r="A13" s="4" t="s">
        <v>23</v>
      </c>
      <c r="B13" s="1">
        <v>77267559.863501057</v>
      </c>
      <c r="C13">
        <v>30</v>
      </c>
      <c r="D13" s="1">
        <f>B13*0.02</f>
        <v>1545351.1972700211</v>
      </c>
      <c r="E13" s="1"/>
      <c r="O13">
        <v>12</v>
      </c>
      <c r="P13">
        <v>0</v>
      </c>
      <c r="Q13" s="1">
        <f t="shared" si="0"/>
        <v>41937653.397473</v>
      </c>
      <c r="S13" s="4" t="s">
        <v>23</v>
      </c>
      <c r="T13" s="1">
        <f t="shared" si="3"/>
        <v>77267559.863501057</v>
      </c>
      <c r="U13" s="1">
        <f t="shared" si="1"/>
        <v>30</v>
      </c>
      <c r="V13" s="1">
        <f t="shared" si="4"/>
        <v>5</v>
      </c>
      <c r="W13" s="1">
        <f t="shared" si="5"/>
        <v>12877926.643916842</v>
      </c>
      <c r="X13" s="1">
        <f t="shared" si="2"/>
        <v>1545351.1972700211</v>
      </c>
    </row>
    <row r="14" spans="1:30" x14ac:dyDescent="0.35">
      <c r="A14" s="4" t="s">
        <v>24</v>
      </c>
      <c r="B14" s="1">
        <v>37128168.546021163</v>
      </c>
      <c r="C14">
        <v>30</v>
      </c>
      <c r="D14" s="1">
        <f>B14*0.02</f>
        <v>742563.3709204233</v>
      </c>
      <c r="E14" s="1"/>
      <c r="O14">
        <v>13</v>
      </c>
      <c r="P14">
        <v>0</v>
      </c>
      <c r="Q14" s="1">
        <f t="shared" si="0"/>
        <v>44034536.067346647</v>
      </c>
      <c r="S14" s="4" t="s">
        <v>24</v>
      </c>
      <c r="T14" s="1">
        <f t="shared" si="3"/>
        <v>37128168.546021163</v>
      </c>
      <c r="U14" s="1">
        <f t="shared" si="1"/>
        <v>30</v>
      </c>
      <c r="V14" s="1">
        <f t="shared" si="4"/>
        <v>5</v>
      </c>
      <c r="W14" s="1">
        <f t="shared" si="5"/>
        <v>6188028.0910035269</v>
      </c>
      <c r="X14" s="1">
        <f t="shared" si="2"/>
        <v>742563.3709204233</v>
      </c>
    </row>
    <row r="15" spans="1:30" x14ac:dyDescent="0.35">
      <c r="O15">
        <v>14</v>
      </c>
      <c r="P15">
        <v>0</v>
      </c>
      <c r="Q15" s="1">
        <f t="shared" si="0"/>
        <v>46236262.870713986</v>
      </c>
      <c r="S15" s="4" t="s">
        <v>32</v>
      </c>
      <c r="T15" s="1">
        <f>SUM(T4:T14)</f>
        <v>1372286785.3614042</v>
      </c>
      <c r="W15" s="1">
        <f>SUM(W4:W14)</f>
        <v>171589618.88442314</v>
      </c>
      <c r="X15" s="1">
        <f>SUM(X4:X14)</f>
        <v>24520077.374387931</v>
      </c>
    </row>
    <row r="16" spans="1:30" x14ac:dyDescent="0.35">
      <c r="O16">
        <v>15</v>
      </c>
      <c r="P16">
        <v>0</v>
      </c>
      <c r="Q16" s="1">
        <f t="shared" si="0"/>
        <v>48548076.014249675</v>
      </c>
    </row>
    <row r="17" spans="14:17" x14ac:dyDescent="0.35">
      <c r="O17">
        <v>16</v>
      </c>
      <c r="P17">
        <v>0</v>
      </c>
      <c r="Q17" s="1">
        <f t="shared" si="0"/>
        <v>50975479.814962178</v>
      </c>
    </row>
    <row r="18" spans="14:17" x14ac:dyDescent="0.35">
      <c r="O18">
        <v>17</v>
      </c>
      <c r="P18">
        <v>0</v>
      </c>
      <c r="Q18" s="1">
        <f t="shared" si="0"/>
        <v>53524253.805710278</v>
      </c>
    </row>
    <row r="19" spans="14:17" x14ac:dyDescent="0.35">
      <c r="O19">
        <v>18</v>
      </c>
      <c r="P19">
        <v>0</v>
      </c>
      <c r="Q19" s="1">
        <f t="shared" si="0"/>
        <v>56200466.495995797</v>
      </c>
    </row>
    <row r="20" spans="14:17" x14ac:dyDescent="0.35">
      <c r="O20">
        <v>19</v>
      </c>
      <c r="P20">
        <v>0</v>
      </c>
      <c r="Q20" s="1">
        <f t="shared" si="0"/>
        <v>59010489.820795588</v>
      </c>
    </row>
    <row r="21" spans="14:17" x14ac:dyDescent="0.35">
      <c r="O21">
        <v>20</v>
      </c>
      <c r="P21">
        <v>0</v>
      </c>
      <c r="Q21" s="1">
        <f t="shared" si="0"/>
        <v>61961014.311835371</v>
      </c>
    </row>
    <row r="22" spans="14:17" x14ac:dyDescent="0.35">
      <c r="N22" t="s">
        <v>20</v>
      </c>
      <c r="O22">
        <v>21</v>
      </c>
      <c r="P22" s="1">
        <f>B8</f>
        <v>100000000</v>
      </c>
      <c r="Q22" s="1">
        <f t="shared" si="0"/>
        <v>65059065.027427137</v>
      </c>
    </row>
    <row r="23" spans="14:17" x14ac:dyDescent="0.35">
      <c r="N23" t="s">
        <v>26</v>
      </c>
      <c r="O23">
        <v>22</v>
      </c>
      <c r="P23" s="1">
        <f>$B$10*(1+$AC$2)^(O23-1)</f>
        <v>495303429.71765316</v>
      </c>
      <c r="Q23" s="1">
        <f t="shared" si="0"/>
        <v>68312018.278798491</v>
      </c>
    </row>
    <row r="24" spans="14:17" x14ac:dyDescent="0.35">
      <c r="O24">
        <v>23</v>
      </c>
      <c r="P24">
        <v>0</v>
      </c>
      <c r="Q24" s="1">
        <f t="shared" si="0"/>
        <v>71727619.192738414</v>
      </c>
    </row>
    <row r="25" spans="14:17" x14ac:dyDescent="0.35">
      <c r="O25">
        <v>24</v>
      </c>
      <c r="P25">
        <v>0</v>
      </c>
      <c r="Q25" s="1">
        <f t="shared" si="0"/>
        <v>75314000.15237534</v>
      </c>
    </row>
    <row r="26" spans="14:17" x14ac:dyDescent="0.35">
      <c r="O26">
        <v>25</v>
      </c>
      <c r="P26">
        <v>0</v>
      </c>
      <c r="Q26" s="1">
        <f t="shared" si="0"/>
        <v>79079700.159994096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B904-192D-4522-ABA0-D77A46583A09}">
  <dimension ref="A1:AD26"/>
  <sheetViews>
    <sheetView workbookViewId="0">
      <selection activeCell="S29" sqref="S29"/>
    </sheetView>
  </sheetViews>
  <sheetFormatPr baseColWidth="10" defaultRowHeight="14.5" x14ac:dyDescent="0.35"/>
  <cols>
    <col min="19" max="19" width="20.72656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32260</v>
      </c>
      <c r="O2">
        <v>1</v>
      </c>
      <c r="P2" s="1">
        <f>T15</f>
        <v>342872184.63300502</v>
      </c>
      <c r="Q2" s="1">
        <f>$X$15*(1+$AD$2)^(O2-1)</f>
        <v>5923946.1416868232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166784.20000000001</v>
      </c>
      <c r="O3">
        <v>2</v>
      </c>
      <c r="P3">
        <v>0</v>
      </c>
      <c r="Q3" s="1">
        <f t="shared" ref="Q3:Q26" si="0">$X$15*(1+$AD$2)^(O3-1)</f>
        <v>6220143.4487711648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0</v>
      </c>
      <c r="C4">
        <v>25</v>
      </c>
      <c r="D4" s="1">
        <f>B4*0.028</f>
        <v>0</v>
      </c>
      <c r="E4" s="1"/>
      <c r="J4" s="4" t="s">
        <v>13</v>
      </c>
      <c r="K4" s="5" t="s">
        <v>10</v>
      </c>
      <c r="L4">
        <v>73529</v>
      </c>
      <c r="O4">
        <v>3</v>
      </c>
      <c r="P4">
        <v>0</v>
      </c>
      <c r="Q4" s="1">
        <f t="shared" si="0"/>
        <v>6531150.6212097229</v>
      </c>
      <c r="S4" s="4" t="s">
        <v>15</v>
      </c>
      <c r="T4" s="1">
        <f>B4</f>
        <v>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39</v>
      </c>
      <c r="AA4">
        <v>1238092</v>
      </c>
    </row>
    <row r="5" spans="1:30" x14ac:dyDescent="0.35">
      <c r="A5" s="4" t="s">
        <v>16</v>
      </c>
      <c r="B5" s="1">
        <v>129045640</v>
      </c>
      <c r="C5">
        <v>25</v>
      </c>
      <c r="D5" s="1">
        <f>B5*0.017</f>
        <v>2193775.8800000004</v>
      </c>
      <c r="E5" s="1"/>
      <c r="O5">
        <v>4</v>
      </c>
      <c r="P5">
        <v>0</v>
      </c>
      <c r="Q5" s="1">
        <f t="shared" si="0"/>
        <v>6857708.152270209</v>
      </c>
      <c r="S5" s="4" t="s">
        <v>16</v>
      </c>
      <c r="T5" s="1">
        <f t="shared" ref="T5:T14" si="3">B5</f>
        <v>129045640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2193775.8800000004</v>
      </c>
      <c r="Y5">
        <f>T5/AA5</f>
        <v>230</v>
      </c>
      <c r="Z5" t="s">
        <v>39</v>
      </c>
      <c r="AA5">
        <v>561068</v>
      </c>
    </row>
    <row r="6" spans="1:30" x14ac:dyDescent="0.35">
      <c r="A6" s="4" t="s">
        <v>18</v>
      </c>
      <c r="B6" s="1">
        <v>27750000</v>
      </c>
      <c r="C6">
        <v>40</v>
      </c>
      <c r="D6" s="1">
        <f>B6*0.007</f>
        <v>194250</v>
      </c>
      <c r="E6" s="1"/>
      <c r="O6">
        <v>5</v>
      </c>
      <c r="P6">
        <v>0</v>
      </c>
      <c r="Q6" s="1">
        <f t="shared" si="0"/>
        <v>7200593.5598837193</v>
      </c>
      <c r="S6" s="4" t="s">
        <v>18</v>
      </c>
      <c r="T6" s="1">
        <f t="shared" si="3"/>
        <v>27750000</v>
      </c>
      <c r="U6" s="1">
        <f t="shared" si="1"/>
        <v>40</v>
      </c>
      <c r="V6" s="1">
        <f t="shared" si="4"/>
        <v>15</v>
      </c>
      <c r="W6" s="1">
        <f t="shared" si="5"/>
        <v>10406250</v>
      </c>
      <c r="X6" s="1">
        <f t="shared" si="2"/>
        <v>194250</v>
      </c>
    </row>
    <row r="7" spans="1:30" x14ac:dyDescent="0.35">
      <c r="A7" s="4" t="s">
        <v>19</v>
      </c>
      <c r="B7" s="1">
        <v>16756220</v>
      </c>
      <c r="C7">
        <v>40</v>
      </c>
      <c r="D7" s="1">
        <f>B7*0.02</f>
        <v>335124.40000000002</v>
      </c>
      <c r="E7" s="1"/>
      <c r="O7">
        <v>6</v>
      </c>
      <c r="P7">
        <v>0</v>
      </c>
      <c r="Q7" s="1">
        <f t="shared" si="0"/>
        <v>7560623.2378779063</v>
      </c>
      <c r="S7" s="4" t="s">
        <v>19</v>
      </c>
      <c r="T7" s="1">
        <f t="shared" si="3"/>
        <v>16756220</v>
      </c>
      <c r="U7" s="1">
        <f t="shared" si="1"/>
        <v>40</v>
      </c>
      <c r="V7" s="1">
        <f t="shared" si="4"/>
        <v>15</v>
      </c>
      <c r="W7" s="1">
        <f t="shared" si="5"/>
        <v>6283582.5</v>
      </c>
      <c r="X7" s="1">
        <f t="shared" si="2"/>
        <v>335124.40000000002</v>
      </c>
    </row>
    <row r="8" spans="1:30" x14ac:dyDescent="0.35">
      <c r="A8" s="4" t="s">
        <v>20</v>
      </c>
      <c r="B8" s="1">
        <v>20000000</v>
      </c>
      <c r="C8">
        <v>20</v>
      </c>
      <c r="D8" s="1">
        <f>B8*0.015</f>
        <v>300000</v>
      </c>
      <c r="E8" s="1"/>
      <c r="O8">
        <v>7</v>
      </c>
      <c r="P8">
        <v>0</v>
      </c>
      <c r="Q8" s="1">
        <f t="shared" si="0"/>
        <v>7938654.3997718003</v>
      </c>
      <c r="S8" s="4" t="s">
        <v>20</v>
      </c>
      <c r="T8" s="1">
        <f t="shared" si="3"/>
        <v>20000000</v>
      </c>
      <c r="U8" s="1">
        <f t="shared" si="1"/>
        <v>20</v>
      </c>
      <c r="V8" s="1">
        <f t="shared" si="4"/>
        <v>5</v>
      </c>
      <c r="W8" s="1">
        <f>P22*(V8/U8)</f>
        <v>5000000</v>
      </c>
      <c r="X8" s="1">
        <f t="shared" si="2"/>
        <v>300000</v>
      </c>
      <c r="Y8">
        <f>T8/AA8</f>
        <v>66.666666666666671</v>
      </c>
      <c r="Z8" t="s">
        <v>39</v>
      </c>
      <c r="AA8">
        <v>300000</v>
      </c>
    </row>
    <row r="9" spans="1:30" x14ac:dyDescent="0.35">
      <c r="A9" s="4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8335587.1197603922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1">
        <f>0.65*100000000</f>
        <v>65000000</v>
      </c>
      <c r="C10">
        <v>21.67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8752366.4757484104</v>
      </c>
      <c r="S10" s="4" t="s">
        <v>26</v>
      </c>
      <c r="T10" s="1">
        <f t="shared" si="3"/>
        <v>65000000</v>
      </c>
      <c r="U10" s="1">
        <f t="shared" si="1"/>
        <v>21.67</v>
      </c>
      <c r="V10" s="1">
        <f t="shared" si="4"/>
        <v>3.3299999999999983</v>
      </c>
      <c r="W10" s="1">
        <f>P23*(V10/U10)</f>
        <v>18581484.081519153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9189984.7995358314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87354564.657367915</v>
      </c>
      <c r="Q12" s="1">
        <f t="shared" si="0"/>
        <v>9649484.0395126231</v>
      </c>
      <c r="S12" s="4" t="s">
        <v>22</v>
      </c>
      <c r="T12" s="1">
        <f t="shared" si="3"/>
        <v>15252620.253043231</v>
      </c>
      <c r="U12" s="1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4" t="s">
        <v>23</v>
      </c>
      <c r="B13" s="1">
        <v>23971349.702827372</v>
      </c>
      <c r="C13">
        <v>30</v>
      </c>
      <c r="D13" s="1">
        <f>B13*0.02</f>
        <v>479426.99405654747</v>
      </c>
      <c r="E13" s="1"/>
      <c r="O13">
        <v>12</v>
      </c>
      <c r="P13">
        <v>0</v>
      </c>
      <c r="Q13" s="1">
        <f t="shared" si="0"/>
        <v>10131958.241488256</v>
      </c>
      <c r="S13" s="4" t="s">
        <v>23</v>
      </c>
      <c r="T13" s="1">
        <f t="shared" si="3"/>
        <v>23971349.702827372</v>
      </c>
      <c r="U13" s="1">
        <f t="shared" si="1"/>
        <v>30</v>
      </c>
      <c r="V13" s="1">
        <f t="shared" si="4"/>
        <v>5</v>
      </c>
      <c r="W13" s="1">
        <f t="shared" si="5"/>
        <v>3995224.9504712285</v>
      </c>
      <c r="X13" s="1">
        <f t="shared" si="2"/>
        <v>479426.99405654747</v>
      </c>
    </row>
    <row r="14" spans="1:30" x14ac:dyDescent="0.35">
      <c r="A14" s="4" t="s">
        <v>24</v>
      </c>
      <c r="B14" s="1">
        <v>6750576.0992765762</v>
      </c>
      <c r="C14">
        <v>30</v>
      </c>
      <c r="D14" s="1">
        <f>B14*0.02</f>
        <v>135011.52198553152</v>
      </c>
      <c r="E14" s="1"/>
      <c r="O14">
        <v>13</v>
      </c>
      <c r="P14">
        <v>0</v>
      </c>
      <c r="Q14" s="1">
        <f t="shared" si="0"/>
        <v>10638556.153562667</v>
      </c>
      <c r="S14" s="4" t="s">
        <v>24</v>
      </c>
      <c r="T14" s="1">
        <f t="shared" si="3"/>
        <v>6750576.0992765762</v>
      </c>
      <c r="U14" s="1">
        <f t="shared" si="1"/>
        <v>30</v>
      </c>
      <c r="V14" s="1">
        <f t="shared" si="4"/>
        <v>5</v>
      </c>
      <c r="W14" s="1">
        <f t="shared" si="5"/>
        <v>1125096.016546096</v>
      </c>
      <c r="X14" s="1">
        <f t="shared" si="2"/>
        <v>135011.52198553152</v>
      </c>
    </row>
    <row r="15" spans="1:30" x14ac:dyDescent="0.35">
      <c r="O15">
        <v>14</v>
      </c>
      <c r="P15">
        <v>0</v>
      </c>
      <c r="Q15" s="1">
        <f t="shared" si="0"/>
        <v>11170483.961240802</v>
      </c>
      <c r="S15" s="4" t="s">
        <v>32</v>
      </c>
      <c r="T15" s="1">
        <f>SUM(T4:T14)</f>
        <v>342872184.63300502</v>
      </c>
      <c r="W15" s="1">
        <f>SUM(W4:W14)</f>
        <v>48491370.687019981</v>
      </c>
      <c r="X15" s="1">
        <f>SUM(X4:X14)</f>
        <v>5923946.1416868232</v>
      </c>
    </row>
    <row r="16" spans="1:30" x14ac:dyDescent="0.35">
      <c r="O16">
        <v>15</v>
      </c>
      <c r="P16">
        <v>0</v>
      </c>
      <c r="Q16" s="1">
        <f t="shared" si="0"/>
        <v>11729008.159302838</v>
      </c>
    </row>
    <row r="17" spans="14:17" x14ac:dyDescent="0.35">
      <c r="O17">
        <v>16</v>
      </c>
      <c r="P17">
        <v>0</v>
      </c>
      <c r="Q17" s="1">
        <f t="shared" si="0"/>
        <v>12315458.567267984</v>
      </c>
    </row>
    <row r="18" spans="14:17" x14ac:dyDescent="0.35">
      <c r="O18">
        <v>17</v>
      </c>
      <c r="P18">
        <v>0</v>
      </c>
      <c r="Q18" s="1">
        <f t="shared" si="0"/>
        <v>12931231.495631382</v>
      </c>
    </row>
    <row r="19" spans="14:17" x14ac:dyDescent="0.35">
      <c r="O19">
        <v>18</v>
      </c>
      <c r="P19">
        <v>0</v>
      </c>
      <c r="Q19" s="1">
        <f t="shared" si="0"/>
        <v>13577793.070412952</v>
      </c>
    </row>
    <row r="20" spans="14:17" x14ac:dyDescent="0.35">
      <c r="O20">
        <v>19</v>
      </c>
      <c r="P20">
        <v>0</v>
      </c>
      <c r="Q20" s="1">
        <f t="shared" si="0"/>
        <v>14256682.7239336</v>
      </c>
    </row>
    <row r="21" spans="14:17" x14ac:dyDescent="0.35">
      <c r="O21">
        <v>20</v>
      </c>
      <c r="P21">
        <v>0</v>
      </c>
      <c r="Q21" s="1">
        <f t="shared" si="0"/>
        <v>14969516.86013028</v>
      </c>
    </row>
    <row r="22" spans="14:17" x14ac:dyDescent="0.35">
      <c r="N22" t="s">
        <v>20</v>
      </c>
      <c r="O22">
        <v>21</v>
      </c>
      <c r="P22" s="1">
        <f>B8</f>
        <v>20000000</v>
      </c>
      <c r="Q22" s="1">
        <f t="shared" si="0"/>
        <v>15717992.703136794</v>
      </c>
    </row>
    <row r="23" spans="14:17" x14ac:dyDescent="0.35">
      <c r="N23" t="s">
        <v>26</v>
      </c>
      <c r="O23">
        <v>22</v>
      </c>
      <c r="P23" s="1">
        <f>$B$10*(1+$AC$2)^(O23-1)</f>
        <v>120919147.1611172</v>
      </c>
      <c r="Q23" s="1">
        <f t="shared" si="0"/>
        <v>16503892.338293634</v>
      </c>
    </row>
    <row r="24" spans="14:17" x14ac:dyDescent="0.35">
      <c r="O24">
        <v>23</v>
      </c>
      <c r="P24">
        <v>0</v>
      </c>
      <c r="Q24" s="1">
        <f t="shared" si="0"/>
        <v>17329086.955208313</v>
      </c>
    </row>
    <row r="25" spans="14:17" x14ac:dyDescent="0.35">
      <c r="O25">
        <v>24</v>
      </c>
      <c r="P25">
        <v>0</v>
      </c>
      <c r="Q25" s="1">
        <f t="shared" si="0"/>
        <v>18195541.302968733</v>
      </c>
    </row>
    <row r="26" spans="14:17" x14ac:dyDescent="0.35">
      <c r="O26">
        <v>25</v>
      </c>
      <c r="P26">
        <v>0</v>
      </c>
      <c r="Q26" s="1">
        <f t="shared" si="0"/>
        <v>19105318.368117169</v>
      </c>
    </row>
  </sheetData>
  <mergeCells count="1">
    <mergeCell ref="J2:J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DBB-B817-476F-B067-D16C5E085AF5}">
  <dimension ref="A1:AD26"/>
  <sheetViews>
    <sheetView workbookViewId="0">
      <selection activeCell="B11" sqref="B11"/>
    </sheetView>
  </sheetViews>
  <sheetFormatPr baseColWidth="10" defaultRowHeight="14.5" x14ac:dyDescent="0.35"/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3463</v>
      </c>
      <c r="O2">
        <v>1</v>
      </c>
      <c r="P2" s="1">
        <f>T15</f>
        <v>54296216.438387513</v>
      </c>
      <c r="Q2" s="1">
        <f>$X$15*(1+$AD$2)^(O2-1)</f>
        <v>934619.73495226179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17903.71</v>
      </c>
      <c r="O3">
        <v>2</v>
      </c>
      <c r="P3">
        <v>0</v>
      </c>
      <c r="Q3" s="1">
        <f t="shared" ref="Q3:Q26" si="0">$X$15*(1+$AD$2)^(O3-1)</f>
        <v>981350.72169987496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0</v>
      </c>
      <c r="C4">
        <v>25</v>
      </c>
      <c r="D4" s="1">
        <f>B4*0.028</f>
        <v>0</v>
      </c>
      <c r="E4" s="1"/>
      <c r="J4" s="4" t="s">
        <v>13</v>
      </c>
      <c r="K4" s="5" t="s">
        <v>10</v>
      </c>
      <c r="L4">
        <v>11789</v>
      </c>
      <c r="O4">
        <v>3</v>
      </c>
      <c r="P4">
        <v>0</v>
      </c>
      <c r="Q4" s="1">
        <f t="shared" si="0"/>
        <v>1030418.2577848687</v>
      </c>
      <c r="S4" s="4" t="s">
        <v>15</v>
      </c>
      <c r="T4" s="1">
        <f>B4</f>
        <v>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39</v>
      </c>
      <c r="AA4">
        <v>1238092</v>
      </c>
    </row>
    <row r="5" spans="1:30" x14ac:dyDescent="0.35">
      <c r="A5" s="4" t="s">
        <v>16</v>
      </c>
      <c r="B5" s="1">
        <v>15148836</v>
      </c>
      <c r="C5">
        <v>25</v>
      </c>
      <c r="D5" s="1">
        <f>B5*0.017</f>
        <v>257530.21200000003</v>
      </c>
      <c r="E5" s="1"/>
      <c r="O5">
        <v>4</v>
      </c>
      <c r="P5">
        <v>0</v>
      </c>
      <c r="Q5" s="1">
        <f t="shared" si="0"/>
        <v>1081939.1706741122</v>
      </c>
      <c r="S5" s="4" t="s">
        <v>16</v>
      </c>
      <c r="T5" s="1">
        <f t="shared" ref="T5:T14" si="3">B5</f>
        <v>15148836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257530.21200000003</v>
      </c>
      <c r="Y5">
        <f>T5/AA5</f>
        <v>27</v>
      </c>
      <c r="Z5" t="s">
        <v>39</v>
      </c>
      <c r="AA5">
        <v>561068</v>
      </c>
    </row>
    <row r="6" spans="1:30" x14ac:dyDescent="0.35">
      <c r="A6" s="4" t="s">
        <v>18</v>
      </c>
      <c r="B6" s="1">
        <v>6000000</v>
      </c>
      <c r="C6">
        <v>40</v>
      </c>
      <c r="D6" s="1">
        <f>B6*0.007</f>
        <v>42000</v>
      </c>
      <c r="E6" s="1"/>
      <c r="O6">
        <v>5</v>
      </c>
      <c r="P6">
        <v>0</v>
      </c>
      <c r="Q6" s="1">
        <f t="shared" si="0"/>
        <v>1136036.1292078176</v>
      </c>
      <c r="S6" s="4" t="s">
        <v>18</v>
      </c>
      <c r="T6" s="1">
        <f t="shared" si="3"/>
        <v>6000000</v>
      </c>
      <c r="U6" s="1">
        <f t="shared" si="1"/>
        <v>40</v>
      </c>
      <c r="V6" s="1">
        <f t="shared" si="4"/>
        <v>15</v>
      </c>
      <c r="W6" s="1">
        <f t="shared" si="5"/>
        <v>2250000</v>
      </c>
      <c r="X6" s="1">
        <f t="shared" si="2"/>
        <v>42000</v>
      </c>
    </row>
    <row r="7" spans="1:30" x14ac:dyDescent="0.35">
      <c r="A7" s="4" t="s">
        <v>19</v>
      </c>
      <c r="B7" s="1">
        <v>6751771</v>
      </c>
      <c r="C7">
        <v>40</v>
      </c>
      <c r="D7" s="1">
        <f>B7*0.02</f>
        <v>135035.42000000001</v>
      </c>
      <c r="E7" s="1"/>
      <c r="O7">
        <v>6</v>
      </c>
      <c r="P7">
        <v>0</v>
      </c>
      <c r="Q7" s="1">
        <f t="shared" si="0"/>
        <v>1192837.9356682086</v>
      </c>
      <c r="S7" s="4" t="s">
        <v>19</v>
      </c>
      <c r="T7" s="1">
        <f t="shared" si="3"/>
        <v>6751771</v>
      </c>
      <c r="U7" s="1">
        <f t="shared" si="1"/>
        <v>40</v>
      </c>
      <c r="V7" s="1">
        <f t="shared" si="4"/>
        <v>15</v>
      </c>
      <c r="W7" s="1">
        <f t="shared" si="5"/>
        <v>2531914.125</v>
      </c>
      <c r="X7" s="1">
        <f t="shared" si="2"/>
        <v>135035.42000000001</v>
      </c>
    </row>
    <row r="8" spans="1:30" x14ac:dyDescent="0.35">
      <c r="A8" s="4" t="s">
        <v>20</v>
      </c>
      <c r="B8" s="1">
        <v>2400000</v>
      </c>
      <c r="C8">
        <v>20</v>
      </c>
      <c r="D8" s="1">
        <f>B8*0.015</f>
        <v>36000</v>
      </c>
      <c r="E8" s="1"/>
      <c r="O8">
        <v>7</v>
      </c>
      <c r="P8">
        <v>0</v>
      </c>
      <c r="Q8" s="1">
        <f t="shared" si="0"/>
        <v>1252479.832451619</v>
      </c>
      <c r="S8" s="4" t="s">
        <v>20</v>
      </c>
      <c r="T8" s="1">
        <f t="shared" si="3"/>
        <v>2400000</v>
      </c>
      <c r="U8" s="1">
        <f t="shared" si="1"/>
        <v>20</v>
      </c>
      <c r="V8" s="1">
        <f t="shared" si="4"/>
        <v>5</v>
      </c>
      <c r="W8" s="1">
        <f>P22*(V8/U8)</f>
        <v>600000</v>
      </c>
      <c r="X8" s="1">
        <f t="shared" si="2"/>
        <v>36000</v>
      </c>
      <c r="Y8">
        <f>T8/AA8</f>
        <v>8</v>
      </c>
      <c r="Z8" t="s">
        <v>39</v>
      </c>
      <c r="AA8">
        <v>300000</v>
      </c>
    </row>
    <row r="9" spans="1:30" x14ac:dyDescent="0.35">
      <c r="A9" s="4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1315103.8240742001</v>
      </c>
      <c r="S9" s="4" t="s">
        <v>25</v>
      </c>
      <c r="T9" s="1">
        <f t="shared" si="3"/>
        <v>6750000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135000</v>
      </c>
    </row>
    <row r="10" spans="1:30" x14ac:dyDescent="0.35">
      <c r="A10" s="4" t="s">
        <v>26</v>
      </c>
      <c r="B10" s="1">
        <f>0.55*15000000</f>
        <v>8250000.0000000009</v>
      </c>
      <c r="C10">
        <v>21.32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1380859.01527791</v>
      </c>
      <c r="S10" s="4" t="s">
        <v>26</v>
      </c>
      <c r="T10" s="1">
        <f t="shared" si="3"/>
        <v>8250000.0000000009</v>
      </c>
      <c r="U10" s="1">
        <f t="shared" si="1"/>
        <v>21.32</v>
      </c>
      <c r="V10" s="1">
        <f t="shared" si="4"/>
        <v>3.6799999999999997</v>
      </c>
      <c r="W10" s="1">
        <f>P23*(V10/U10)</f>
        <v>2649087.3919840655</v>
      </c>
      <c r="X10" s="1">
        <f t="shared" si="2"/>
        <v>165000.00000000003</v>
      </c>
    </row>
    <row r="11" spans="1:30" x14ac:dyDescent="0.35">
      <c r="A11" s="4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1449901.9660418055</v>
      </c>
      <c r="S11" s="4" t="s">
        <v>21</v>
      </c>
      <c r="T11" s="1">
        <f t="shared" si="3"/>
        <v>334577.85778577859</v>
      </c>
      <c r="U11" s="1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4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11087310.129589006</v>
      </c>
      <c r="Q12" s="1">
        <f t="shared" si="0"/>
        <v>1522397.0643438958</v>
      </c>
      <c r="S12" s="4" t="s">
        <v>22</v>
      </c>
      <c r="T12" s="1">
        <f t="shared" si="3"/>
        <v>2254964.297120431</v>
      </c>
      <c r="U12" s="1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4" t="s">
        <v>23</v>
      </c>
      <c r="B13" s="1">
        <v>5663503.9125608867</v>
      </c>
      <c r="C13">
        <v>30</v>
      </c>
      <c r="D13" s="1">
        <f>B13*0.02</f>
        <v>113270.07825121774</v>
      </c>
      <c r="E13" s="1"/>
      <c r="O13">
        <v>12</v>
      </c>
      <c r="P13">
        <v>0</v>
      </c>
      <c r="Q13" s="1">
        <f t="shared" si="0"/>
        <v>1598516.9175610908</v>
      </c>
      <c r="S13" s="4" t="s">
        <v>23</v>
      </c>
      <c r="T13" s="1">
        <f t="shared" si="3"/>
        <v>5663503.9125608867</v>
      </c>
      <c r="U13" s="1">
        <f t="shared" si="1"/>
        <v>30</v>
      </c>
      <c r="V13" s="1">
        <f t="shared" si="4"/>
        <v>5</v>
      </c>
      <c r="W13" s="1">
        <f t="shared" si="5"/>
        <v>943917.31876014778</v>
      </c>
      <c r="X13" s="1">
        <f t="shared" si="2"/>
        <v>113270.07825121774</v>
      </c>
    </row>
    <row r="14" spans="1:30" x14ac:dyDescent="0.35">
      <c r="A14" s="4" t="s">
        <v>24</v>
      </c>
      <c r="B14" s="1">
        <v>742563.37092042319</v>
      </c>
      <c r="C14">
        <v>30</v>
      </c>
      <c r="D14" s="1">
        <f>B14*0.02</f>
        <v>14851.267418408464</v>
      </c>
      <c r="E14" s="1"/>
      <c r="O14">
        <v>13</v>
      </c>
      <c r="P14">
        <v>0</v>
      </c>
      <c r="Q14" s="1">
        <f t="shared" si="0"/>
        <v>1678442.7634391449</v>
      </c>
      <c r="S14" s="4" t="s">
        <v>24</v>
      </c>
      <c r="T14" s="1">
        <f t="shared" si="3"/>
        <v>742563.37092042319</v>
      </c>
      <c r="U14" s="1">
        <f t="shared" si="1"/>
        <v>30</v>
      </c>
      <c r="V14" s="1">
        <f t="shared" si="4"/>
        <v>5</v>
      </c>
      <c r="W14" s="1">
        <f t="shared" si="5"/>
        <v>123760.56182007052</v>
      </c>
      <c r="X14" s="1">
        <f t="shared" si="2"/>
        <v>14851.267418408464</v>
      </c>
    </row>
    <row r="15" spans="1:30" x14ac:dyDescent="0.35">
      <c r="O15">
        <v>14</v>
      </c>
      <c r="P15">
        <v>0</v>
      </c>
      <c r="Q15" s="1">
        <f t="shared" si="0"/>
        <v>1762364.9016111025</v>
      </c>
      <c r="S15" s="4" t="s">
        <v>32</v>
      </c>
      <c r="T15" s="1">
        <f>SUM(T4:T14)</f>
        <v>54296216.438387513</v>
      </c>
      <c r="W15" s="1">
        <f>SUM(W4:W14)</f>
        <v>9530269.7567153201</v>
      </c>
      <c r="X15" s="1">
        <f>SUM(X4:X14)</f>
        <v>934619.73495226179</v>
      </c>
    </row>
    <row r="16" spans="1:30" x14ac:dyDescent="0.35">
      <c r="O16">
        <v>15</v>
      </c>
      <c r="P16">
        <v>0</v>
      </c>
      <c r="Q16" s="1">
        <f t="shared" si="0"/>
        <v>1850483.1466916574</v>
      </c>
    </row>
    <row r="17" spans="14:17" x14ac:dyDescent="0.35">
      <c r="O17">
        <v>16</v>
      </c>
      <c r="P17">
        <v>0</v>
      </c>
      <c r="Q17" s="1">
        <f t="shared" si="0"/>
        <v>1943007.3040262407</v>
      </c>
    </row>
    <row r="18" spans="14:17" x14ac:dyDescent="0.35">
      <c r="O18">
        <v>17</v>
      </c>
      <c r="P18">
        <v>0</v>
      </c>
      <c r="Q18" s="1">
        <f t="shared" si="0"/>
        <v>2040157.6692275526</v>
      </c>
    </row>
    <row r="19" spans="14:17" x14ac:dyDescent="0.35">
      <c r="O19">
        <v>18</v>
      </c>
      <c r="P19">
        <v>0</v>
      </c>
      <c r="Q19" s="1">
        <f t="shared" si="0"/>
        <v>2142165.5526889306</v>
      </c>
    </row>
    <row r="20" spans="14:17" x14ac:dyDescent="0.35">
      <c r="O20">
        <v>19</v>
      </c>
      <c r="P20">
        <v>0</v>
      </c>
      <c r="Q20" s="1">
        <f t="shared" si="0"/>
        <v>2249273.8303233772</v>
      </c>
    </row>
    <row r="21" spans="14:17" x14ac:dyDescent="0.35">
      <c r="O21">
        <v>20</v>
      </c>
      <c r="P21">
        <v>0</v>
      </c>
      <c r="Q21" s="1">
        <f t="shared" si="0"/>
        <v>2361737.521839546</v>
      </c>
    </row>
    <row r="22" spans="14:17" x14ac:dyDescent="0.35">
      <c r="N22" t="s">
        <v>20</v>
      </c>
      <c r="O22">
        <v>21</v>
      </c>
      <c r="P22" s="1">
        <f>B8</f>
        <v>2400000</v>
      </c>
      <c r="Q22" s="1">
        <f t="shared" si="0"/>
        <v>2479824.3979315232</v>
      </c>
    </row>
    <row r="23" spans="14:17" x14ac:dyDescent="0.35">
      <c r="N23" t="s">
        <v>26</v>
      </c>
      <c r="O23">
        <v>22</v>
      </c>
      <c r="P23" s="1">
        <f>$B$10*(1+$AC$2)^(O23-1)</f>
        <v>15347430.216603339</v>
      </c>
      <c r="Q23" s="1">
        <f t="shared" si="0"/>
        <v>2603815.6178280991</v>
      </c>
    </row>
    <row r="24" spans="14:17" x14ac:dyDescent="0.35">
      <c r="O24">
        <v>23</v>
      </c>
      <c r="P24">
        <v>0</v>
      </c>
      <c r="Q24" s="1">
        <f t="shared" si="0"/>
        <v>2734006.398719504</v>
      </c>
    </row>
    <row r="25" spans="14:17" x14ac:dyDescent="0.35">
      <c r="O25">
        <v>24</v>
      </c>
      <c r="P25">
        <v>0</v>
      </c>
      <c r="Q25" s="1">
        <f t="shared" si="0"/>
        <v>2870706.7186554796</v>
      </c>
    </row>
    <row r="26" spans="14:17" x14ac:dyDescent="0.35">
      <c r="O26">
        <v>25</v>
      </c>
      <c r="P26">
        <v>0</v>
      </c>
      <c r="Q26" s="1">
        <f t="shared" si="0"/>
        <v>3014242.0545882531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277C-45AE-4B3A-A37F-1972173678B2}">
  <dimension ref="A1:AD26"/>
  <sheetViews>
    <sheetView workbookViewId="0">
      <selection activeCell="B10" sqref="B10"/>
    </sheetView>
  </sheetViews>
  <sheetFormatPr baseColWidth="10" defaultRowHeight="14.5" x14ac:dyDescent="0.35"/>
  <cols>
    <col min="1" max="1" width="22.54296875" bestFit="1" customWidth="1"/>
    <col min="6" max="6" width="14.453125" bestFit="1" customWidth="1"/>
    <col min="19" max="19" width="20.72656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61414</v>
      </c>
      <c r="O2">
        <v>1</v>
      </c>
      <c r="P2" s="1">
        <f>T15</f>
        <v>460806645.27468812</v>
      </c>
      <c r="Q2" s="1">
        <f>$X$15*(1+$AD$2)^(O2-1)</f>
        <v>9637759.9945204873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317510.38</v>
      </c>
      <c r="O3">
        <v>2</v>
      </c>
      <c r="P3">
        <v>0</v>
      </c>
      <c r="Q3" s="1">
        <f t="shared" ref="Q3:Q26" si="0">$X$15*(1+$AD$2)^(O3-1)</f>
        <v>10119647.994246513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148571040</v>
      </c>
      <c r="C4">
        <v>25</v>
      </c>
      <c r="D4" s="1">
        <f>B4*0.028</f>
        <v>4159989.12</v>
      </c>
      <c r="E4" s="1"/>
      <c r="J4" s="4" t="s">
        <v>13</v>
      </c>
      <c r="K4" s="5" t="s">
        <v>10</v>
      </c>
      <c r="L4">
        <v>69533</v>
      </c>
      <c r="O4">
        <v>3</v>
      </c>
      <c r="P4">
        <v>0</v>
      </c>
      <c r="Q4" s="1">
        <f t="shared" si="0"/>
        <v>10625630.393958837</v>
      </c>
      <c r="S4" s="4" t="s">
        <v>15</v>
      </c>
      <c r="T4" s="1">
        <f>B4</f>
        <v>148571040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4159989.12</v>
      </c>
      <c r="Y4">
        <f>T4/AA4</f>
        <v>120</v>
      </c>
      <c r="Z4" t="s">
        <v>39</v>
      </c>
      <c r="AA4">
        <v>1238092</v>
      </c>
    </row>
    <row r="5" spans="1:30" x14ac:dyDescent="0.35">
      <c r="A5" s="4" t="s">
        <v>16</v>
      </c>
      <c r="B5" s="1">
        <v>84160200</v>
      </c>
      <c r="C5">
        <v>25</v>
      </c>
      <c r="D5" s="1">
        <f>B5*0.017</f>
        <v>1430723.4000000001</v>
      </c>
      <c r="E5" s="1"/>
      <c r="O5">
        <v>4</v>
      </c>
      <c r="P5">
        <v>0</v>
      </c>
      <c r="Q5" s="1">
        <f t="shared" si="0"/>
        <v>11156911.91365678</v>
      </c>
      <c r="S5" s="4" t="s">
        <v>16</v>
      </c>
      <c r="T5" s="1">
        <f t="shared" ref="T5:T14" si="3">B5</f>
        <v>84160200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1430723.4000000001</v>
      </c>
      <c r="Y5">
        <f>T5/AA5</f>
        <v>150</v>
      </c>
      <c r="Z5" t="s">
        <v>39</v>
      </c>
      <c r="AA5">
        <v>561068</v>
      </c>
    </row>
    <row r="6" spans="1:30" x14ac:dyDescent="0.35">
      <c r="A6" s="4" t="s">
        <v>18</v>
      </c>
      <c r="B6" s="1">
        <v>31450000</v>
      </c>
      <c r="C6">
        <v>40</v>
      </c>
      <c r="D6" s="1">
        <f>B6*0.007</f>
        <v>220150</v>
      </c>
      <c r="E6" s="1"/>
      <c r="O6">
        <v>5</v>
      </c>
      <c r="P6">
        <v>0</v>
      </c>
      <c r="Q6" s="1">
        <f t="shared" si="0"/>
        <v>11714757.509339618</v>
      </c>
      <c r="S6" s="4" t="s">
        <v>18</v>
      </c>
      <c r="T6" s="1">
        <f t="shared" si="3"/>
        <v>31450000</v>
      </c>
      <c r="U6" s="1">
        <f t="shared" si="1"/>
        <v>40</v>
      </c>
      <c r="V6" s="1">
        <f t="shared" si="4"/>
        <v>15</v>
      </c>
      <c r="W6" s="1">
        <f t="shared" si="5"/>
        <v>11793750</v>
      </c>
      <c r="X6" s="1">
        <f t="shared" si="2"/>
        <v>220150</v>
      </c>
    </row>
    <row r="7" spans="1:30" x14ac:dyDescent="0.35">
      <c r="A7" s="4" t="s">
        <v>19</v>
      </c>
      <c r="B7" s="1">
        <v>18727540</v>
      </c>
      <c r="C7">
        <v>40</v>
      </c>
      <c r="D7" s="1">
        <f>B7*0.02</f>
        <v>374550.8</v>
      </c>
      <c r="E7" s="1"/>
      <c r="O7">
        <v>6</v>
      </c>
      <c r="P7">
        <v>0</v>
      </c>
      <c r="Q7" s="1">
        <f t="shared" si="0"/>
        <v>12300495.384806599</v>
      </c>
      <c r="S7" s="4" t="s">
        <v>19</v>
      </c>
      <c r="T7" s="1">
        <f t="shared" si="3"/>
        <v>18727540</v>
      </c>
      <c r="U7" s="1">
        <f t="shared" si="1"/>
        <v>40</v>
      </c>
      <c r="V7" s="1">
        <f t="shared" si="4"/>
        <v>15</v>
      </c>
      <c r="W7" s="1">
        <f t="shared" si="5"/>
        <v>7022827.5</v>
      </c>
      <c r="X7" s="1">
        <f t="shared" si="2"/>
        <v>374550.8</v>
      </c>
    </row>
    <row r="8" spans="1:30" x14ac:dyDescent="0.35">
      <c r="A8" s="4" t="s">
        <v>20</v>
      </c>
      <c r="B8" s="1">
        <v>4000000</v>
      </c>
      <c r="C8">
        <v>20</v>
      </c>
      <c r="D8" s="1">
        <f>B8*0.015</f>
        <v>60000</v>
      </c>
      <c r="E8" s="1"/>
      <c r="O8">
        <v>7</v>
      </c>
      <c r="P8">
        <v>0</v>
      </c>
      <c r="Q8" s="1">
        <f t="shared" si="0"/>
        <v>12915520.154046929</v>
      </c>
      <c r="S8" s="4" t="s">
        <v>20</v>
      </c>
      <c r="T8" s="1">
        <f t="shared" si="3"/>
        <v>4000000</v>
      </c>
      <c r="U8" s="1">
        <f t="shared" si="1"/>
        <v>20</v>
      </c>
      <c r="V8" s="1">
        <f t="shared" si="4"/>
        <v>5</v>
      </c>
      <c r="W8" s="1">
        <f>P22*(V8/U8)</f>
        <v>1000000</v>
      </c>
      <c r="X8" s="1">
        <f t="shared" si="2"/>
        <v>60000</v>
      </c>
      <c r="Y8">
        <f>T8/AA8</f>
        <v>13.333333333333334</v>
      </c>
      <c r="Z8" t="s">
        <v>39</v>
      </c>
      <c r="AA8">
        <v>300000</v>
      </c>
    </row>
    <row r="9" spans="1:30" x14ac:dyDescent="0.35">
      <c r="A9" s="4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13561296.161749277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1">
        <f>0.65*100000000</f>
        <v>65000000</v>
      </c>
      <c r="C10">
        <v>10.71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14239360.96983674</v>
      </c>
      <c r="S10" s="4" t="s">
        <v>26</v>
      </c>
      <c r="T10" s="1">
        <f t="shared" si="3"/>
        <v>65000000</v>
      </c>
      <c r="U10" s="1">
        <f t="shared" si="1"/>
        <v>10.71</v>
      </c>
      <c r="V10" s="1">
        <f t="shared" si="4"/>
        <v>3.5799999999999983</v>
      </c>
      <c r="W10" s="1">
        <f>P23*(V10/U10)</f>
        <v>40419285.418935508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14951329.018328577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87354564.657367915</v>
      </c>
      <c r="Q12" s="1">
        <f t="shared" si="0"/>
        <v>15698895.469245007</v>
      </c>
      <c r="S12" s="4" t="s">
        <v>22</v>
      </c>
      <c r="T12" s="1">
        <f t="shared" si="3"/>
        <v>15252620.253043231</v>
      </c>
      <c r="U12" s="1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4" t="s">
        <v>23</v>
      </c>
      <c r="B13" s="1">
        <v>43148429.465089269</v>
      </c>
      <c r="C13">
        <v>30</v>
      </c>
      <c r="D13" s="1">
        <f>B13*0.02</f>
        <v>862968.58930178545</v>
      </c>
      <c r="E13" s="1"/>
      <c r="O13">
        <v>12</v>
      </c>
      <c r="P13">
        <v>0</v>
      </c>
      <c r="Q13" s="1">
        <f t="shared" si="0"/>
        <v>16483840.242707258</v>
      </c>
      <c r="S13" s="4" t="s">
        <v>23</v>
      </c>
      <c r="T13" s="1">
        <f t="shared" si="3"/>
        <v>43148429.465089269</v>
      </c>
      <c r="U13" s="1">
        <f t="shared" si="1"/>
        <v>30</v>
      </c>
      <c r="V13" s="1">
        <f t="shared" si="4"/>
        <v>5</v>
      </c>
      <c r="W13" s="1">
        <f t="shared" si="5"/>
        <v>7191404.9108482115</v>
      </c>
      <c r="X13" s="1">
        <f t="shared" si="2"/>
        <v>862968.58930178545</v>
      </c>
    </row>
    <row r="14" spans="1:30" x14ac:dyDescent="0.35">
      <c r="A14" s="4" t="s">
        <v>24</v>
      </c>
      <c r="B14" s="1">
        <v>12151036.978697831</v>
      </c>
      <c r="C14">
        <v>30</v>
      </c>
      <c r="D14" s="1">
        <f>B14*0.02</f>
        <v>243020.73957395661</v>
      </c>
      <c r="E14" s="1"/>
      <c r="O14">
        <v>13</v>
      </c>
      <c r="P14">
        <v>0</v>
      </c>
      <c r="Q14" s="1">
        <f t="shared" si="0"/>
        <v>17308032.254842617</v>
      </c>
      <c r="S14" s="4" t="s">
        <v>24</v>
      </c>
      <c r="T14" s="1">
        <f t="shared" si="3"/>
        <v>12151036.978697831</v>
      </c>
      <c r="U14" s="1">
        <f t="shared" si="1"/>
        <v>30</v>
      </c>
      <c r="V14" s="1">
        <f t="shared" si="4"/>
        <v>5</v>
      </c>
      <c r="W14" s="1">
        <f t="shared" si="5"/>
        <v>2025172.8297829716</v>
      </c>
      <c r="X14" s="1">
        <f t="shared" si="2"/>
        <v>243020.73957395661</v>
      </c>
    </row>
    <row r="15" spans="1:30" x14ac:dyDescent="0.35">
      <c r="O15">
        <v>14</v>
      </c>
      <c r="P15">
        <v>0</v>
      </c>
      <c r="Q15" s="1">
        <f t="shared" si="0"/>
        <v>18173433.867584754</v>
      </c>
      <c r="S15" s="4" t="s">
        <v>32</v>
      </c>
      <c r="T15" s="1">
        <f>SUM(T4:T14)</f>
        <v>460806645.27468812</v>
      </c>
      <c r="W15" s="1">
        <f>SUM(W4:W14)</f>
        <v>72552173.798050195</v>
      </c>
      <c r="X15" s="1">
        <f>SUM(X4:X14)</f>
        <v>9637759.9945204873</v>
      </c>
    </row>
    <row r="16" spans="1:30" x14ac:dyDescent="0.35">
      <c r="O16">
        <v>15</v>
      </c>
      <c r="P16">
        <v>0</v>
      </c>
      <c r="Q16" s="1">
        <f t="shared" si="0"/>
        <v>19082105.560963985</v>
      </c>
    </row>
    <row r="17" spans="14:17" x14ac:dyDescent="0.35">
      <c r="O17">
        <v>16</v>
      </c>
      <c r="P17">
        <v>0</v>
      </c>
      <c r="Q17" s="1">
        <f t="shared" si="0"/>
        <v>20036210.839012191</v>
      </c>
    </row>
    <row r="18" spans="14:17" x14ac:dyDescent="0.35">
      <c r="O18">
        <v>17</v>
      </c>
      <c r="P18">
        <v>0</v>
      </c>
      <c r="Q18" s="1">
        <f t="shared" si="0"/>
        <v>21038021.3809628</v>
      </c>
    </row>
    <row r="19" spans="14:17" x14ac:dyDescent="0.35">
      <c r="O19">
        <v>18</v>
      </c>
      <c r="P19">
        <v>0</v>
      </c>
      <c r="Q19" s="1">
        <f t="shared" si="0"/>
        <v>22089922.45001094</v>
      </c>
    </row>
    <row r="20" spans="14:17" x14ac:dyDescent="0.35">
      <c r="O20">
        <v>19</v>
      </c>
      <c r="P20">
        <v>0</v>
      </c>
      <c r="Q20" s="1">
        <f t="shared" si="0"/>
        <v>23194418.572511487</v>
      </c>
    </row>
    <row r="21" spans="14:17" x14ac:dyDescent="0.35">
      <c r="O21">
        <v>20</v>
      </c>
      <c r="P21">
        <v>0</v>
      </c>
      <c r="Q21" s="1">
        <f t="shared" si="0"/>
        <v>24354139.501137063</v>
      </c>
    </row>
    <row r="22" spans="14:17" x14ac:dyDescent="0.35">
      <c r="N22" t="s">
        <v>20</v>
      </c>
      <c r="O22">
        <v>21</v>
      </c>
      <c r="P22" s="1">
        <f>B8</f>
        <v>4000000</v>
      </c>
      <c r="Q22" s="1">
        <f t="shared" si="0"/>
        <v>25571846.476193916</v>
      </c>
    </row>
    <row r="23" spans="14:17" x14ac:dyDescent="0.35">
      <c r="N23" t="s">
        <v>26</v>
      </c>
      <c r="O23">
        <v>22</v>
      </c>
      <c r="P23" s="1">
        <f>$B$10*(1+$AC$2)^(O23-1)</f>
        <v>120919147.1611172</v>
      </c>
      <c r="Q23" s="1">
        <f t="shared" si="0"/>
        <v>26850438.800003611</v>
      </c>
    </row>
    <row r="24" spans="14:17" x14ac:dyDescent="0.35">
      <c r="O24">
        <v>23</v>
      </c>
      <c r="P24">
        <v>0</v>
      </c>
      <c r="Q24" s="1">
        <f t="shared" si="0"/>
        <v>28192960.740003791</v>
      </c>
    </row>
    <row r="25" spans="14:17" x14ac:dyDescent="0.35">
      <c r="O25">
        <v>24</v>
      </c>
      <c r="P25">
        <v>0</v>
      </c>
      <c r="Q25" s="1">
        <f t="shared" si="0"/>
        <v>29602608.777003985</v>
      </c>
    </row>
    <row r="26" spans="14:17" x14ac:dyDescent="0.35">
      <c r="O26">
        <v>25</v>
      </c>
      <c r="P26">
        <v>0</v>
      </c>
      <c r="Q26" s="1">
        <f t="shared" si="0"/>
        <v>31082739.215854179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8089-08D9-4575-9B2C-DEDAB389D427}">
  <dimension ref="A1:AD26"/>
  <sheetViews>
    <sheetView topLeftCell="B7" workbookViewId="0">
      <selection activeCell="P23" sqref="P23"/>
    </sheetView>
  </sheetViews>
  <sheetFormatPr baseColWidth="10" defaultRowHeight="14.5" x14ac:dyDescent="0.35"/>
  <cols>
    <col min="1" max="1" width="20.7265625" bestFit="1" customWidth="1"/>
    <col min="19" max="19" width="20.72656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6495</v>
      </c>
      <c r="O2">
        <v>1</v>
      </c>
      <c r="P2" s="1">
        <f>T15</f>
        <v>68726051.46273756</v>
      </c>
      <c r="Q2" s="1">
        <f>$X$15*(1+$AD$2)^(O2-1)</f>
        <v>1374204.0134392628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33579.15</v>
      </c>
      <c r="O3">
        <v>2</v>
      </c>
      <c r="P3">
        <v>0</v>
      </c>
      <c r="Q3" s="1">
        <f t="shared" ref="Q3:Q26" si="0">$X$15*(1+$AD$2)^(O3-1)</f>
        <v>1442914.2141112259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>
        <v>16714242</v>
      </c>
      <c r="C4">
        <v>25</v>
      </c>
      <c r="D4" s="1">
        <f>B4*0.028</f>
        <v>467998.77600000001</v>
      </c>
      <c r="E4" s="1"/>
      <c r="J4" s="4" t="s">
        <v>13</v>
      </c>
      <c r="K4" s="5" t="s">
        <v>10</v>
      </c>
      <c r="L4">
        <v>11235</v>
      </c>
      <c r="O4">
        <v>3</v>
      </c>
      <c r="P4">
        <v>0</v>
      </c>
      <c r="Q4" s="1">
        <f t="shared" si="0"/>
        <v>1515059.9248167872</v>
      </c>
      <c r="S4" s="4" t="s">
        <v>15</v>
      </c>
      <c r="T4" s="1">
        <f>B4</f>
        <v>16714242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467998.77600000001</v>
      </c>
      <c r="Y4">
        <f>T4/AA4</f>
        <v>13.5</v>
      </c>
      <c r="Z4" t="s">
        <v>39</v>
      </c>
      <c r="AA4">
        <v>1238092</v>
      </c>
    </row>
    <row r="5" spans="1:30" x14ac:dyDescent="0.35">
      <c r="A5" s="4" t="s">
        <v>16</v>
      </c>
      <c r="B5">
        <v>9257622</v>
      </c>
      <c r="C5">
        <v>25</v>
      </c>
      <c r="D5" s="1">
        <f>B5*0.017</f>
        <v>157379.57400000002</v>
      </c>
      <c r="E5" s="1"/>
      <c r="O5">
        <v>4</v>
      </c>
      <c r="P5">
        <v>0</v>
      </c>
      <c r="Q5" s="1">
        <f t="shared" si="0"/>
        <v>1590812.9210576266</v>
      </c>
      <c r="S5" s="4" t="s">
        <v>16</v>
      </c>
      <c r="T5" s="1">
        <f t="shared" ref="T5:T14" si="3">B5</f>
        <v>9257622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157379.57400000002</v>
      </c>
      <c r="Y5">
        <f>T5/AA5</f>
        <v>16.5</v>
      </c>
      <c r="Z5" t="s">
        <v>39</v>
      </c>
      <c r="AA5">
        <v>561068</v>
      </c>
    </row>
    <row r="6" spans="1:30" x14ac:dyDescent="0.35">
      <c r="A6" s="4" t="s">
        <v>18</v>
      </c>
      <c r="B6">
        <v>6800000</v>
      </c>
      <c r="C6">
        <v>40</v>
      </c>
      <c r="D6" s="1">
        <f>B6*0.007</f>
        <v>47600</v>
      </c>
      <c r="E6" s="1"/>
      <c r="O6">
        <v>5</v>
      </c>
      <c r="P6">
        <v>0</v>
      </c>
      <c r="Q6" s="1">
        <f t="shared" si="0"/>
        <v>1670353.567110508</v>
      </c>
      <c r="S6" s="4" t="s">
        <v>18</v>
      </c>
      <c r="T6" s="1">
        <f t="shared" si="3"/>
        <v>6800000</v>
      </c>
      <c r="U6" s="1">
        <f t="shared" si="1"/>
        <v>40</v>
      </c>
      <c r="V6" s="1">
        <f t="shared" si="4"/>
        <v>15</v>
      </c>
      <c r="W6" s="1">
        <f t="shared" si="5"/>
        <v>2550000</v>
      </c>
      <c r="X6" s="1">
        <f t="shared" si="2"/>
        <v>47600</v>
      </c>
    </row>
    <row r="7" spans="1:30" x14ac:dyDescent="0.35">
      <c r="A7" s="4" t="s">
        <v>19</v>
      </c>
      <c r="B7">
        <v>6899620</v>
      </c>
      <c r="C7">
        <v>40</v>
      </c>
      <c r="D7" s="1">
        <f>B7*0.02</f>
        <v>137992.4</v>
      </c>
      <c r="E7" s="1"/>
      <c r="O7">
        <v>6</v>
      </c>
      <c r="P7">
        <v>0</v>
      </c>
      <c r="Q7" s="1">
        <f t="shared" si="0"/>
        <v>1753871.2454660335</v>
      </c>
      <c r="S7" s="4" t="s">
        <v>19</v>
      </c>
      <c r="T7" s="1">
        <f t="shared" si="3"/>
        <v>6899620</v>
      </c>
      <c r="U7" s="1">
        <f t="shared" si="1"/>
        <v>40</v>
      </c>
      <c r="V7" s="1">
        <f t="shared" si="4"/>
        <v>15</v>
      </c>
      <c r="W7" s="1">
        <f t="shared" si="5"/>
        <v>2587357.5</v>
      </c>
      <c r="X7" s="1">
        <f t="shared" si="2"/>
        <v>137992.4</v>
      </c>
    </row>
    <row r="8" spans="1:30" x14ac:dyDescent="0.35">
      <c r="A8" s="4" t="s">
        <v>20</v>
      </c>
      <c r="B8">
        <v>400000</v>
      </c>
      <c r="C8">
        <v>20</v>
      </c>
      <c r="D8" s="1">
        <f>B8*0.015</f>
        <v>6000</v>
      </c>
      <c r="E8" s="1"/>
      <c r="O8">
        <v>7</v>
      </c>
      <c r="P8">
        <v>0</v>
      </c>
      <c r="Q8" s="1">
        <f t="shared" si="0"/>
        <v>1841564.8077393349</v>
      </c>
      <c r="S8" s="4" t="s">
        <v>20</v>
      </c>
      <c r="T8" s="1">
        <f t="shared" si="3"/>
        <v>400000</v>
      </c>
      <c r="U8" s="1">
        <f t="shared" si="1"/>
        <v>20</v>
      </c>
      <c r="V8" s="1">
        <f t="shared" si="4"/>
        <v>5</v>
      </c>
      <c r="W8" s="1">
        <f>P22*(V8/U8)</f>
        <v>100000</v>
      </c>
      <c r="X8" s="1">
        <f t="shared" si="2"/>
        <v>6000</v>
      </c>
      <c r="Y8">
        <f>T8/AA8</f>
        <v>1.3333333333333333</v>
      </c>
      <c r="Z8" t="s">
        <v>39</v>
      </c>
      <c r="AA8">
        <v>300000</v>
      </c>
    </row>
    <row r="9" spans="1:30" x14ac:dyDescent="0.35">
      <c r="A9" s="4" t="s">
        <v>25</v>
      </c>
      <c r="B9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1933643.048126302</v>
      </c>
      <c r="S9" s="4" t="s">
        <v>25</v>
      </c>
      <c r="T9" s="1">
        <f t="shared" si="3"/>
        <v>6750000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135000</v>
      </c>
    </row>
    <row r="10" spans="1:30" x14ac:dyDescent="0.35">
      <c r="A10" s="4" t="s">
        <v>26</v>
      </c>
      <c r="B10">
        <f>0.55*15000000</f>
        <v>8250000.0000000009</v>
      </c>
      <c r="C10">
        <v>10.71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2030325.2005326168</v>
      </c>
      <c r="S10" s="4" t="s">
        <v>26</v>
      </c>
      <c r="T10" s="1">
        <f t="shared" si="3"/>
        <v>8250000.0000000009</v>
      </c>
      <c r="U10" s="1">
        <f t="shared" si="1"/>
        <v>10.71</v>
      </c>
      <c r="V10" s="1">
        <f t="shared" si="4"/>
        <v>3.5799999999999983</v>
      </c>
      <c r="W10" s="1">
        <f>P23*(V10/U10)</f>
        <v>5130140.0724033536</v>
      </c>
      <c r="X10" s="1">
        <f t="shared" si="2"/>
        <v>165000.00000000003</v>
      </c>
    </row>
    <row r="11" spans="1:30" x14ac:dyDescent="0.35">
      <c r="A11" s="4" t="s">
        <v>21</v>
      </c>
      <c r="B1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2131841.460559248</v>
      </c>
      <c r="S11" s="4" t="s">
        <v>21</v>
      </c>
      <c r="T11" s="1">
        <f t="shared" si="3"/>
        <v>334577.85778577859</v>
      </c>
      <c r="U11" s="1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4" t="s">
        <v>22</v>
      </c>
      <c r="B12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11087310.129589006</v>
      </c>
      <c r="Q12" s="1">
        <f t="shared" si="0"/>
        <v>2238433.5335872103</v>
      </c>
      <c r="S12" s="4" t="s">
        <v>22</v>
      </c>
      <c r="T12" s="1">
        <f t="shared" si="3"/>
        <v>2254964.297120431</v>
      </c>
      <c r="U12" s="1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4" t="s">
        <v>23</v>
      </c>
      <c r="B13">
        <v>9782415.8489688039</v>
      </c>
      <c r="C13">
        <v>30</v>
      </c>
      <c r="D13" s="1">
        <f>B13*0.02</f>
        <v>195648.31697937608</v>
      </c>
      <c r="E13" s="1"/>
      <c r="O13">
        <v>12</v>
      </c>
      <c r="P13">
        <v>0</v>
      </c>
      <c r="Q13" s="1">
        <f t="shared" si="0"/>
        <v>2350355.210266571</v>
      </c>
      <c r="S13" s="4" t="s">
        <v>23</v>
      </c>
      <c r="T13" s="1">
        <f t="shared" si="3"/>
        <v>9782415.8489688039</v>
      </c>
      <c r="U13" s="1">
        <f t="shared" si="1"/>
        <v>30</v>
      </c>
      <c r="V13" s="1">
        <f t="shared" si="4"/>
        <v>5</v>
      </c>
      <c r="W13" s="1">
        <f t="shared" si="5"/>
        <v>1630402.6414948006</v>
      </c>
      <c r="X13" s="1">
        <f t="shared" si="2"/>
        <v>195648.31697937608</v>
      </c>
    </row>
    <row r="14" spans="1:30" x14ac:dyDescent="0.35">
      <c r="A14" s="4" t="s">
        <v>24</v>
      </c>
      <c r="B14">
        <v>1282609.4588625489</v>
      </c>
      <c r="C14">
        <v>30</v>
      </c>
      <c r="D14" s="1">
        <f>B14*0.02</f>
        <v>25652.189177250981</v>
      </c>
      <c r="E14" s="1"/>
      <c r="O14">
        <v>13</v>
      </c>
      <c r="P14">
        <v>0</v>
      </c>
      <c r="Q14" s="1">
        <f t="shared" si="0"/>
        <v>2467872.970779899</v>
      </c>
      <c r="S14" s="4" t="s">
        <v>24</v>
      </c>
      <c r="T14" s="1">
        <f t="shared" si="3"/>
        <v>1282609.4588625489</v>
      </c>
      <c r="U14" s="1">
        <f t="shared" si="1"/>
        <v>30</v>
      </c>
      <c r="V14" s="1">
        <f t="shared" si="4"/>
        <v>5</v>
      </c>
      <c r="W14" s="1">
        <f t="shared" si="5"/>
        <v>213768.24314375815</v>
      </c>
      <c r="X14" s="1">
        <f t="shared" si="2"/>
        <v>25652.189177250981</v>
      </c>
    </row>
    <row r="15" spans="1:30" x14ac:dyDescent="0.35">
      <c r="O15">
        <v>14</v>
      </c>
      <c r="P15">
        <v>0</v>
      </c>
      <c r="Q15" s="1">
        <f t="shared" si="0"/>
        <v>2591266.6193188946</v>
      </c>
      <c r="S15" s="4" t="s">
        <v>32</v>
      </c>
      <c r="T15" s="1">
        <f>SUM(T4:T14)</f>
        <v>68726051.46273756</v>
      </c>
      <c r="W15" s="1">
        <f>SUM(W4:W14)</f>
        <v>12643258.816192947</v>
      </c>
      <c r="X15" s="1">
        <f>SUM(X4:X14)</f>
        <v>1374204.0134392628</v>
      </c>
    </row>
    <row r="16" spans="1:30" x14ac:dyDescent="0.35">
      <c r="O16">
        <v>15</v>
      </c>
      <c r="P16">
        <v>0</v>
      </c>
      <c r="Q16" s="1">
        <f t="shared" si="0"/>
        <v>2720829.9502848387</v>
      </c>
    </row>
    <row r="17" spans="14:17" x14ac:dyDescent="0.35">
      <c r="O17">
        <v>16</v>
      </c>
      <c r="P17">
        <v>0</v>
      </c>
      <c r="Q17" s="1">
        <f t="shared" si="0"/>
        <v>2856871.4477990814</v>
      </c>
    </row>
    <row r="18" spans="14:17" x14ac:dyDescent="0.35">
      <c r="O18">
        <v>17</v>
      </c>
      <c r="P18">
        <v>0</v>
      </c>
      <c r="Q18" s="1">
        <f t="shared" si="0"/>
        <v>2999715.0201890352</v>
      </c>
    </row>
    <row r="19" spans="14:17" x14ac:dyDescent="0.35">
      <c r="O19">
        <v>18</v>
      </c>
      <c r="P19">
        <v>0</v>
      </c>
      <c r="Q19" s="1">
        <f t="shared" si="0"/>
        <v>3149700.7711984874</v>
      </c>
    </row>
    <row r="20" spans="14:17" x14ac:dyDescent="0.35">
      <c r="O20">
        <v>19</v>
      </c>
      <c r="P20">
        <v>0</v>
      </c>
      <c r="Q20" s="1">
        <f t="shared" si="0"/>
        <v>3307185.8097584117</v>
      </c>
    </row>
    <row r="21" spans="14:17" x14ac:dyDescent="0.35">
      <c r="O21">
        <v>20</v>
      </c>
      <c r="P21">
        <v>0</v>
      </c>
      <c r="Q21" s="1">
        <f t="shared" si="0"/>
        <v>3472545.1002463321</v>
      </c>
    </row>
    <row r="22" spans="14:17" x14ac:dyDescent="0.35">
      <c r="N22" t="s">
        <v>20</v>
      </c>
      <c r="O22">
        <v>21</v>
      </c>
      <c r="P22" s="1">
        <f>B8</f>
        <v>400000</v>
      </c>
      <c r="Q22" s="1">
        <f t="shared" si="0"/>
        <v>3646172.3552586487</v>
      </c>
    </row>
    <row r="23" spans="14:17" x14ac:dyDescent="0.35">
      <c r="N23" t="s">
        <v>26</v>
      </c>
      <c r="O23">
        <v>22</v>
      </c>
      <c r="P23" s="1">
        <f>$B$10*(1+$AC$2)^(O23-1)</f>
        <v>15347430.216603339</v>
      </c>
      <c r="Q23" s="1">
        <f t="shared" si="0"/>
        <v>3828480.9730215813</v>
      </c>
    </row>
    <row r="24" spans="14:17" x14ac:dyDescent="0.35">
      <c r="O24">
        <v>23</v>
      </c>
      <c r="P24">
        <v>0</v>
      </c>
      <c r="Q24" s="1">
        <f t="shared" si="0"/>
        <v>4019905.02167266</v>
      </c>
    </row>
    <row r="25" spans="14:17" x14ac:dyDescent="0.35">
      <c r="O25">
        <v>24</v>
      </c>
      <c r="P25">
        <v>0</v>
      </c>
      <c r="Q25" s="1">
        <f t="shared" si="0"/>
        <v>4220900.2727562934</v>
      </c>
    </row>
    <row r="26" spans="14:17" x14ac:dyDescent="0.35">
      <c r="O26">
        <v>25</v>
      </c>
      <c r="P26">
        <v>0</v>
      </c>
      <c r="Q26" s="1">
        <f t="shared" si="0"/>
        <v>4431945.2863941081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24F-CA1A-482B-81F6-E4497C23A478}">
  <dimension ref="A1:AD26"/>
  <sheetViews>
    <sheetView workbookViewId="0">
      <selection activeCell="B10" sqref="B10"/>
    </sheetView>
  </sheetViews>
  <sheetFormatPr baseColWidth="10" defaultRowHeight="14.5" x14ac:dyDescent="0.35"/>
  <cols>
    <col min="1" max="1" width="20.7265625" bestFit="1" customWidth="1"/>
    <col min="14" max="14" width="16.453125" style="7" bestFit="1" customWidth="1"/>
    <col min="15" max="15" width="10.90625" style="7"/>
    <col min="16" max="16" width="18.453125" style="7" bestFit="1" customWidth="1"/>
    <col min="17" max="17" width="17.36328125" style="7" bestFit="1" customWidth="1"/>
    <col min="19" max="19" width="20.7265625" bestFit="1" customWidth="1"/>
    <col min="20" max="20" width="12.453125" bestFit="1" customWidth="1"/>
    <col min="23" max="23" width="13.26953125" bestFit="1" customWidth="1"/>
    <col min="29" max="30" width="10.90625" style="7"/>
  </cols>
  <sheetData>
    <row r="1" spans="1:30" s="4" customFormat="1" x14ac:dyDescent="0.35">
      <c r="A1" s="4" t="s">
        <v>0</v>
      </c>
      <c r="B1" s="4" t="s">
        <v>3</v>
      </c>
      <c r="C1" s="4" t="s">
        <v>1</v>
      </c>
      <c r="D1" s="4" t="s">
        <v>5</v>
      </c>
      <c r="F1" s="4" t="s">
        <v>7</v>
      </c>
      <c r="J1" s="4" t="s">
        <v>11</v>
      </c>
      <c r="N1" s="6" t="s">
        <v>33</v>
      </c>
      <c r="O1" s="6" t="s">
        <v>27</v>
      </c>
      <c r="P1" s="6" t="s">
        <v>28</v>
      </c>
      <c r="Q1" s="6" t="s">
        <v>29</v>
      </c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C1" s="6" t="s">
        <v>34</v>
      </c>
      <c r="AD1" s="6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312474</v>
      </c>
      <c r="O2" s="7">
        <v>1</v>
      </c>
      <c r="P2" s="8">
        <f>T15</f>
        <v>1617534249.6608267</v>
      </c>
      <c r="Q2" s="8">
        <f>$X$15*(1+$AD$2)^(O2-1)</f>
        <v>36530910.318005525</v>
      </c>
      <c r="R2" s="1"/>
      <c r="AC2" s="7">
        <v>0.03</v>
      </c>
      <c r="AD2" s="7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1615490.58</v>
      </c>
      <c r="O3" s="7">
        <v>2</v>
      </c>
      <c r="P3" s="7">
        <v>0</v>
      </c>
      <c r="Q3" s="8">
        <f t="shared" ref="Q3:Q26" si="0">$X$15*(1+$AD$2)^(O3-1)</f>
        <v>38357455.833905801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742855200</v>
      </c>
      <c r="C4">
        <v>25</v>
      </c>
      <c r="D4" s="1">
        <f>B4*0.028</f>
        <v>20799945.600000001</v>
      </c>
      <c r="E4" s="1"/>
      <c r="J4" s="4" t="s">
        <v>13</v>
      </c>
      <c r="K4" s="5" t="s">
        <v>10</v>
      </c>
      <c r="L4">
        <v>366278</v>
      </c>
      <c r="O4" s="7">
        <v>3</v>
      </c>
      <c r="P4" s="7">
        <v>0</v>
      </c>
      <c r="Q4" s="8">
        <f t="shared" si="0"/>
        <v>40275328.62560109</v>
      </c>
      <c r="S4" s="4" t="s">
        <v>15</v>
      </c>
      <c r="T4" s="1">
        <f>B4</f>
        <v>742855200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20799945.600000001</v>
      </c>
      <c r="Y4">
        <f>T4/AA4</f>
        <v>600</v>
      </c>
      <c r="Z4" t="s">
        <v>39</v>
      </c>
      <c r="AA4">
        <v>1238092</v>
      </c>
    </row>
    <row r="5" spans="1:30" x14ac:dyDescent="0.35">
      <c r="A5" s="4" t="s">
        <v>16</v>
      </c>
      <c r="B5" s="1">
        <v>56106800</v>
      </c>
      <c r="C5">
        <v>25</v>
      </c>
      <c r="D5" s="1">
        <f>B5*0.017</f>
        <v>953815.60000000009</v>
      </c>
      <c r="E5" s="1"/>
      <c r="O5" s="7">
        <v>4</v>
      </c>
      <c r="P5" s="7">
        <v>0</v>
      </c>
      <c r="Q5" s="8">
        <f t="shared" si="0"/>
        <v>42289095.056881152</v>
      </c>
      <c r="S5" s="4" t="s">
        <v>16</v>
      </c>
      <c r="T5" s="1">
        <f t="shared" ref="T5:T14" si="3">B5</f>
        <v>56106800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953815.60000000009</v>
      </c>
      <c r="Y5">
        <f>T5/AA5</f>
        <v>100</v>
      </c>
      <c r="Z5" t="s">
        <v>39</v>
      </c>
      <c r="AA5">
        <v>561068</v>
      </c>
    </row>
    <row r="6" spans="1:30" x14ac:dyDescent="0.35">
      <c r="A6" s="4" t="s">
        <v>18</v>
      </c>
      <c r="B6" s="1">
        <v>118800000</v>
      </c>
      <c r="C6">
        <v>40</v>
      </c>
      <c r="D6" s="1">
        <f>B6*0.007</f>
        <v>831600</v>
      </c>
      <c r="E6" s="1"/>
      <c r="O6" s="7">
        <v>5</v>
      </c>
      <c r="P6" s="7">
        <v>0</v>
      </c>
      <c r="Q6" s="8">
        <f t="shared" si="0"/>
        <v>44403549.809725203</v>
      </c>
      <c r="S6" s="4" t="s">
        <v>18</v>
      </c>
      <c r="T6" s="1">
        <f t="shared" si="3"/>
        <v>118800000</v>
      </c>
      <c r="U6" s="1">
        <f t="shared" si="1"/>
        <v>40</v>
      </c>
      <c r="V6" s="1">
        <f t="shared" si="4"/>
        <v>15</v>
      </c>
      <c r="W6" s="1">
        <f t="shared" si="5"/>
        <v>44550000</v>
      </c>
      <c r="X6" s="1">
        <f t="shared" si="2"/>
        <v>831600</v>
      </c>
    </row>
    <row r="7" spans="1:30" x14ac:dyDescent="0.35">
      <c r="A7" s="4" t="s">
        <v>19</v>
      </c>
      <c r="B7" s="1">
        <v>61603750</v>
      </c>
      <c r="C7">
        <v>40</v>
      </c>
      <c r="D7" s="1">
        <f>B7*0.02</f>
        <v>1232075</v>
      </c>
      <c r="E7" s="1"/>
      <c r="O7" s="7">
        <v>6</v>
      </c>
      <c r="P7" s="7">
        <v>0</v>
      </c>
      <c r="Q7" s="8">
        <f t="shared" si="0"/>
        <v>46623727.300211467</v>
      </c>
      <c r="S7" s="4" t="s">
        <v>19</v>
      </c>
      <c r="T7" s="1">
        <f t="shared" si="3"/>
        <v>61603750</v>
      </c>
      <c r="U7" s="1">
        <f t="shared" si="1"/>
        <v>40</v>
      </c>
      <c r="V7" s="1">
        <f t="shared" si="4"/>
        <v>15</v>
      </c>
      <c r="W7" s="1">
        <f t="shared" si="5"/>
        <v>23101406.25</v>
      </c>
      <c r="X7" s="1">
        <f t="shared" si="2"/>
        <v>1232075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 s="7">
        <v>7</v>
      </c>
      <c r="P8" s="7">
        <v>0</v>
      </c>
      <c r="Q8" s="8">
        <f t="shared" si="0"/>
        <v>48954913.665222034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0.29*375000000</f>
        <v>108749999.99999999</v>
      </c>
      <c r="C9">
        <v>25</v>
      </c>
      <c r="D9" s="1">
        <f>B10*0.02</f>
        <v>5325000</v>
      </c>
      <c r="E9" s="1"/>
      <c r="O9" s="7">
        <v>8</v>
      </c>
      <c r="P9" s="7">
        <v>0</v>
      </c>
      <c r="Q9" s="8">
        <f t="shared" si="0"/>
        <v>51402659.348483145</v>
      </c>
      <c r="S9" s="4" t="s">
        <v>25</v>
      </c>
      <c r="T9" s="1">
        <f>B9</f>
        <v>108749999.99999999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5325000</v>
      </c>
    </row>
    <row r="10" spans="1:30" x14ac:dyDescent="0.35">
      <c r="A10" s="4" t="s">
        <v>26</v>
      </c>
      <c r="B10" s="1">
        <f>0.71*375000000</f>
        <v>266250000</v>
      </c>
      <c r="C10">
        <v>10.37</v>
      </c>
      <c r="D10" s="1">
        <f>B9*0.02</f>
        <v>2174999.9999999995</v>
      </c>
      <c r="E10" s="1"/>
      <c r="O10" s="7">
        <v>9</v>
      </c>
      <c r="P10" s="7">
        <v>0</v>
      </c>
      <c r="Q10" s="8">
        <f t="shared" si="0"/>
        <v>53972792.3159073</v>
      </c>
      <c r="S10" s="4" t="s">
        <v>26</v>
      </c>
      <c r="T10" s="1">
        <f>B10</f>
        <v>266250000</v>
      </c>
      <c r="U10" s="1">
        <f t="shared" si="1"/>
        <v>10.37</v>
      </c>
      <c r="V10" s="1">
        <f t="shared" si="4"/>
        <v>4.2600000000000016</v>
      </c>
      <c r="W10" s="1">
        <f>P23*(V10/U10)</f>
        <v>203470839.98044389</v>
      </c>
      <c r="X10" s="1">
        <f t="shared" si="2"/>
        <v>2174999.9999999995</v>
      </c>
    </row>
    <row r="11" spans="1:30" x14ac:dyDescent="0.35">
      <c r="A11" s="4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 s="7">
        <v>10</v>
      </c>
      <c r="P11" s="7">
        <v>0</v>
      </c>
      <c r="Q11" s="8">
        <f t="shared" si="0"/>
        <v>56671431.931702666</v>
      </c>
      <c r="S11" s="4" t="s">
        <v>21</v>
      </c>
      <c r="T11" s="1">
        <f t="shared" si="3"/>
        <v>16728892.88928893</v>
      </c>
      <c r="U11" s="1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4" t="s">
        <v>22</v>
      </c>
      <c r="B12" s="1">
        <v>38447373.29967919</v>
      </c>
      <c r="C12">
        <v>30</v>
      </c>
      <c r="D12" s="1">
        <f>B12*0.01</f>
        <v>384473.73299679189</v>
      </c>
      <c r="E12" s="1"/>
      <c r="N12" s="7" t="s">
        <v>26</v>
      </c>
      <c r="O12" s="7">
        <v>11</v>
      </c>
      <c r="P12" s="8">
        <f>$B$10*(1+$AC$2)^(O12-1)</f>
        <v>357817736.00037241</v>
      </c>
      <c r="Q12" s="8">
        <f t="shared" si="0"/>
        <v>59505003.528287798</v>
      </c>
      <c r="S12" s="4" t="s">
        <v>22</v>
      </c>
      <c r="T12" s="1">
        <f t="shared" si="3"/>
        <v>38447373.29967919</v>
      </c>
      <c r="U12" s="1">
        <f t="shared" si="1"/>
        <v>30</v>
      </c>
      <c r="V12" s="1">
        <f t="shared" si="4"/>
        <v>5</v>
      </c>
      <c r="W12" s="1">
        <f t="shared" si="5"/>
        <v>6407895.5499465317</v>
      </c>
      <c r="X12" s="1">
        <f t="shared" si="2"/>
        <v>384473.73299679189</v>
      </c>
    </row>
    <row r="13" spans="1:30" x14ac:dyDescent="0.35">
      <c r="A13" s="4" t="s">
        <v>23</v>
      </c>
      <c r="B13" s="1">
        <v>140486472.47909281</v>
      </c>
      <c r="C13">
        <v>30</v>
      </c>
      <c r="D13" s="1">
        <f>B13*0.02</f>
        <v>2809729.4495818564</v>
      </c>
      <c r="E13" s="1"/>
      <c r="O13" s="7">
        <v>12</v>
      </c>
      <c r="P13" s="7">
        <v>0</v>
      </c>
      <c r="Q13" s="8">
        <f t="shared" si="0"/>
        <v>62480253.704702191</v>
      </c>
      <c r="S13" s="4" t="s">
        <v>23</v>
      </c>
      <c r="T13" s="1">
        <f t="shared" si="3"/>
        <v>140486472.47909281</v>
      </c>
      <c r="U13" s="1">
        <f t="shared" si="1"/>
        <v>30</v>
      </c>
      <c r="V13" s="1">
        <f t="shared" si="4"/>
        <v>5</v>
      </c>
      <c r="W13" s="1">
        <f t="shared" si="5"/>
        <v>23414412.0798488</v>
      </c>
      <c r="X13" s="1">
        <f t="shared" si="2"/>
        <v>2809729.4495818564</v>
      </c>
    </row>
    <row r="14" spans="1:30" x14ac:dyDescent="0.35">
      <c r="A14" s="4" t="s">
        <v>24</v>
      </c>
      <c r="B14" s="1">
        <v>67505760.99276574</v>
      </c>
      <c r="C14">
        <v>30</v>
      </c>
      <c r="D14" s="1">
        <f>B14*0.02</f>
        <v>1350115.2198553148</v>
      </c>
      <c r="E14" s="1"/>
      <c r="O14" s="7">
        <v>13</v>
      </c>
      <c r="P14" s="7">
        <v>0</v>
      </c>
      <c r="Q14" s="8">
        <f t="shared" si="0"/>
        <v>65604266.389937289</v>
      </c>
      <c r="S14" s="4" t="s">
        <v>24</v>
      </c>
      <c r="T14" s="1">
        <f t="shared" si="3"/>
        <v>67505760.99276574</v>
      </c>
      <c r="U14" s="1">
        <f t="shared" si="1"/>
        <v>30</v>
      </c>
      <c r="V14" s="1">
        <f t="shared" si="4"/>
        <v>5</v>
      </c>
      <c r="W14" s="1">
        <f t="shared" si="5"/>
        <v>11250960.165460955</v>
      </c>
      <c r="X14" s="1">
        <f t="shared" si="2"/>
        <v>1350115.2198553148</v>
      </c>
    </row>
    <row r="15" spans="1:30" x14ac:dyDescent="0.35">
      <c r="O15" s="7">
        <v>14</v>
      </c>
      <c r="P15" s="7">
        <v>0</v>
      </c>
      <c r="Q15" s="8">
        <f t="shared" si="0"/>
        <v>68884479.709434167</v>
      </c>
      <c r="S15" s="4" t="s">
        <v>32</v>
      </c>
      <c r="T15" s="1">
        <f>SUM(T4:T14)</f>
        <v>1617534249.6608267</v>
      </c>
      <c r="W15" s="1">
        <f>SUM(W4:W14)</f>
        <v>314983662.84058172</v>
      </c>
      <c r="X15" s="1">
        <f>SUM(X4:X14)</f>
        <v>36530910.318005525</v>
      </c>
    </row>
    <row r="16" spans="1:30" x14ac:dyDescent="0.35">
      <c r="O16" s="7">
        <v>15</v>
      </c>
      <c r="P16" s="7">
        <v>0</v>
      </c>
      <c r="Q16" s="8">
        <f t="shared" si="0"/>
        <v>72328703.694905862</v>
      </c>
    </row>
    <row r="17" spans="14:19" x14ac:dyDescent="0.35">
      <c r="O17" s="7">
        <v>16</v>
      </c>
      <c r="P17" s="7">
        <v>0</v>
      </c>
      <c r="Q17" s="8">
        <f t="shared" si="0"/>
        <v>75945138.879651174</v>
      </c>
    </row>
    <row r="18" spans="14:19" x14ac:dyDescent="0.35">
      <c r="O18" s="7">
        <v>17</v>
      </c>
      <c r="P18" s="7">
        <v>0</v>
      </c>
      <c r="Q18" s="8">
        <f t="shared" si="0"/>
        <v>79742395.82363373</v>
      </c>
      <c r="S18" s="4"/>
    </row>
    <row r="19" spans="14:19" x14ac:dyDescent="0.35">
      <c r="O19" s="7">
        <v>18</v>
      </c>
      <c r="P19" s="7">
        <v>0</v>
      </c>
      <c r="Q19" s="8">
        <f t="shared" si="0"/>
        <v>83729515.614815429</v>
      </c>
    </row>
    <row r="20" spans="14:19" x14ac:dyDescent="0.35">
      <c r="O20" s="7">
        <v>19</v>
      </c>
      <c r="P20" s="7">
        <v>0</v>
      </c>
      <c r="Q20" s="8">
        <f t="shared" si="0"/>
        <v>87915991.395556197</v>
      </c>
    </row>
    <row r="21" spans="14:19" x14ac:dyDescent="0.35">
      <c r="O21" s="7">
        <v>20</v>
      </c>
      <c r="P21" s="7">
        <v>0</v>
      </c>
      <c r="Q21" s="8">
        <f t="shared" si="0"/>
        <v>92311790.965334013</v>
      </c>
    </row>
    <row r="22" spans="14:19" x14ac:dyDescent="0.35">
      <c r="N22" s="7" t="s">
        <v>20</v>
      </c>
      <c r="O22" s="7">
        <v>21</v>
      </c>
      <c r="P22" s="8">
        <f>B8</f>
        <v>0</v>
      </c>
      <c r="Q22" s="8">
        <f t="shared" si="0"/>
        <v>96927380.513600707</v>
      </c>
    </row>
    <row r="23" spans="14:19" x14ac:dyDescent="0.35">
      <c r="N23" s="7" t="s">
        <v>26</v>
      </c>
      <c r="O23" s="7">
        <v>22</v>
      </c>
      <c r="P23" s="8">
        <f>$B$10*(1+$AC$2)^(O23-1)</f>
        <v>495303429.71765316</v>
      </c>
      <c r="Q23" s="8">
        <f t="shared" si="0"/>
        <v>101773749.53928074</v>
      </c>
    </row>
    <row r="24" spans="14:19" x14ac:dyDescent="0.35">
      <c r="O24" s="7">
        <v>23</v>
      </c>
      <c r="P24" s="7">
        <v>0</v>
      </c>
      <c r="Q24" s="8">
        <f t="shared" si="0"/>
        <v>106862437.01624477</v>
      </c>
    </row>
    <row r="25" spans="14:19" x14ac:dyDescent="0.35">
      <c r="O25" s="7">
        <v>24</v>
      </c>
      <c r="P25" s="7">
        <v>0</v>
      </c>
      <c r="Q25" s="8">
        <f t="shared" si="0"/>
        <v>112205558.86705703</v>
      </c>
    </row>
    <row r="26" spans="14:19" x14ac:dyDescent="0.35">
      <c r="O26" s="7">
        <v>25</v>
      </c>
      <c r="P26" s="7">
        <v>0</v>
      </c>
      <c r="Q26" s="8">
        <f t="shared" si="0"/>
        <v>117815836.81040986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9828-E654-475F-9FB7-ADEAE5A2E35A}">
  <dimension ref="A1:AD26"/>
  <sheetViews>
    <sheetView tabSelected="1" workbookViewId="0">
      <selection activeCell="Q9" sqref="Q9"/>
    </sheetView>
  </sheetViews>
  <sheetFormatPr baseColWidth="10" defaultRowHeight="14.5" x14ac:dyDescent="0.35"/>
  <cols>
    <col min="23" max="23" width="13.269531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10" t="s">
        <v>7</v>
      </c>
      <c r="G1" s="10"/>
      <c r="H1" s="10"/>
      <c r="I1" s="4"/>
      <c r="J1" s="4" t="s">
        <v>11</v>
      </c>
      <c r="K1" s="4"/>
      <c r="L1" s="4"/>
      <c r="N1" s="4" t="s">
        <v>33</v>
      </c>
      <c r="O1" s="4" t="s">
        <v>27</v>
      </c>
      <c r="P1" s="10" t="s">
        <v>28</v>
      </c>
      <c r="Q1" s="10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10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10" t="s">
        <v>8</v>
      </c>
      <c r="G2" s="11" t="s">
        <v>9</v>
      </c>
      <c r="H2" s="2">
        <v>65</v>
      </c>
      <c r="J2" s="9" t="s">
        <v>12</v>
      </c>
      <c r="K2" s="5" t="s">
        <v>14</v>
      </c>
      <c r="L2">
        <v>65133</v>
      </c>
      <c r="O2">
        <v>1</v>
      </c>
      <c r="P2" s="3">
        <f>T15</f>
        <v>374476713.04972708</v>
      </c>
      <c r="Q2" s="3">
        <f>$X$15*(1+$AD$2)^(O2-1)</f>
        <v>8398436.0838750843</v>
      </c>
      <c r="R2" s="1"/>
      <c r="W2" s="2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10" t="s">
        <v>17</v>
      </c>
      <c r="G3" s="11" t="s">
        <v>10</v>
      </c>
      <c r="H3" s="2">
        <v>0</v>
      </c>
      <c r="J3" s="9"/>
      <c r="K3" s="5" t="s">
        <v>10</v>
      </c>
      <c r="L3">
        <f>L2*5.17</f>
        <v>336737.61</v>
      </c>
      <c r="O3">
        <v>2</v>
      </c>
      <c r="P3" s="2">
        <v>0</v>
      </c>
      <c r="Q3" s="3">
        <f t="shared" ref="Q3:Q26" si="0">$X$15*(1+$AD$2)^(O3-1)</f>
        <v>8818357.888068838</v>
      </c>
      <c r="T3" s="5" t="s">
        <v>2</v>
      </c>
      <c r="U3" s="5" t="s">
        <v>4</v>
      </c>
      <c r="V3" s="5" t="s">
        <v>4</v>
      </c>
      <c r="W3" s="11" t="s">
        <v>2</v>
      </c>
      <c r="X3" s="5" t="s">
        <v>6</v>
      </c>
    </row>
    <row r="4" spans="1:30" x14ac:dyDescent="0.35">
      <c r="A4" s="4" t="s">
        <v>15</v>
      </c>
      <c r="B4" s="1">
        <v>142380580</v>
      </c>
      <c r="C4">
        <v>25</v>
      </c>
      <c r="D4" s="1">
        <f>B4*0.028</f>
        <v>3986656.24</v>
      </c>
      <c r="E4" s="1"/>
      <c r="J4" s="4" t="s">
        <v>13</v>
      </c>
      <c r="K4" s="5" t="s">
        <v>10</v>
      </c>
      <c r="L4">
        <v>55776</v>
      </c>
      <c r="O4">
        <v>3</v>
      </c>
      <c r="P4" s="2">
        <v>0</v>
      </c>
      <c r="Q4" s="3">
        <f t="shared" si="0"/>
        <v>9259275.7824722808</v>
      </c>
      <c r="S4" s="4" t="s">
        <v>15</v>
      </c>
      <c r="T4" s="1">
        <f>B4</f>
        <v>142380580</v>
      </c>
      <c r="U4" s="1">
        <f t="shared" ref="U4:U14" si="1">C4</f>
        <v>25</v>
      </c>
      <c r="V4" s="1">
        <f>IF(U4&gt;=25,U4-25,MOD(25,U4))</f>
        <v>0</v>
      </c>
      <c r="W4" s="3">
        <f>T4*(V4/U4)</f>
        <v>0</v>
      </c>
      <c r="X4" s="1">
        <f t="shared" ref="X4:X14" si="2">D4</f>
        <v>3986656.24</v>
      </c>
      <c r="Y4">
        <f>T4/AA4</f>
        <v>115</v>
      </c>
      <c r="Z4" t="s">
        <v>39</v>
      </c>
      <c r="AA4">
        <v>1238092</v>
      </c>
    </row>
    <row r="5" spans="1:30" x14ac:dyDescent="0.35">
      <c r="A5" s="4" t="s">
        <v>16</v>
      </c>
      <c r="B5" s="1">
        <v>36469420</v>
      </c>
      <c r="C5">
        <v>25</v>
      </c>
      <c r="D5" s="1">
        <f>B5*0.017</f>
        <v>619980.14</v>
      </c>
      <c r="E5" s="1"/>
      <c r="O5">
        <v>4</v>
      </c>
      <c r="P5" s="2">
        <v>0</v>
      </c>
      <c r="Q5" s="3">
        <f t="shared" si="0"/>
        <v>9722239.571595896</v>
      </c>
      <c r="S5" s="4" t="s">
        <v>16</v>
      </c>
      <c r="T5" s="1">
        <f t="shared" ref="T5:T14" si="3">B5</f>
        <v>36469420</v>
      </c>
      <c r="U5" s="1">
        <f t="shared" si="1"/>
        <v>25</v>
      </c>
      <c r="V5" s="1">
        <f t="shared" ref="V5:V14" si="4">IF(U5&gt;=25,U5-25,MOD(25,U5))</f>
        <v>0</v>
      </c>
      <c r="W5" s="3">
        <f t="shared" ref="W5:W14" si="5">T5*(V5/U5)</f>
        <v>0</v>
      </c>
      <c r="X5" s="1">
        <f t="shared" si="2"/>
        <v>619980.14</v>
      </c>
      <c r="Y5">
        <f>T5/AA5</f>
        <v>65</v>
      </c>
      <c r="Z5" t="s">
        <v>39</v>
      </c>
      <c r="AA5">
        <v>561068</v>
      </c>
    </row>
    <row r="6" spans="1:30" x14ac:dyDescent="0.35">
      <c r="A6" s="4" t="s">
        <v>18</v>
      </c>
      <c r="B6" s="1">
        <v>7400000</v>
      </c>
      <c r="C6">
        <v>40</v>
      </c>
      <c r="D6" s="1">
        <f>B6*0.007</f>
        <v>51800</v>
      </c>
      <c r="E6" s="1"/>
      <c r="O6">
        <v>5</v>
      </c>
      <c r="P6" s="2">
        <v>0</v>
      </c>
      <c r="Q6" s="3">
        <f t="shared" si="0"/>
        <v>10208351.550175689</v>
      </c>
      <c r="S6" s="4" t="s">
        <v>18</v>
      </c>
      <c r="T6" s="1">
        <f t="shared" si="3"/>
        <v>7400000</v>
      </c>
      <c r="U6" s="1">
        <f t="shared" si="1"/>
        <v>40</v>
      </c>
      <c r="V6" s="1">
        <f t="shared" si="4"/>
        <v>15</v>
      </c>
      <c r="W6" s="3">
        <f t="shared" si="5"/>
        <v>2775000</v>
      </c>
      <c r="X6" s="1">
        <f t="shared" si="2"/>
        <v>51800</v>
      </c>
    </row>
    <row r="7" spans="1:30" x14ac:dyDescent="0.35">
      <c r="A7" s="4" t="s">
        <v>19</v>
      </c>
      <c r="B7" s="1">
        <v>14292070</v>
      </c>
      <c r="C7">
        <v>40</v>
      </c>
      <c r="D7" s="1">
        <f>B7*0.02</f>
        <v>285841.40000000002</v>
      </c>
      <c r="E7" s="1"/>
      <c r="O7">
        <v>6</v>
      </c>
      <c r="P7" s="2">
        <v>0</v>
      </c>
      <c r="Q7" s="3">
        <f t="shared" si="0"/>
        <v>10718769.127684474</v>
      </c>
      <c r="S7" s="4" t="s">
        <v>19</v>
      </c>
      <c r="T7" s="1">
        <f t="shared" si="3"/>
        <v>14292070</v>
      </c>
      <c r="U7" s="1">
        <f t="shared" si="1"/>
        <v>40</v>
      </c>
      <c r="V7" s="1">
        <f t="shared" si="4"/>
        <v>15</v>
      </c>
      <c r="W7" s="3">
        <f t="shared" si="5"/>
        <v>5359526.25</v>
      </c>
      <c r="X7" s="1">
        <f t="shared" si="2"/>
        <v>285841.40000000002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 s="2">
        <v>0</v>
      </c>
      <c r="Q8" s="3">
        <f t="shared" si="0"/>
        <v>11254707.584068697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3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 s="2">
        <v>0</v>
      </c>
      <c r="Q9" s="3">
        <f t="shared" si="0"/>
        <v>11817442.963272134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3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1">
        <f>0.65*100000000</f>
        <v>65000000</v>
      </c>
      <c r="C10">
        <v>10.42</v>
      </c>
      <c r="D10" s="1">
        <f>B10*0.02</f>
        <v>1300000</v>
      </c>
      <c r="E10" s="1"/>
      <c r="O10">
        <v>9</v>
      </c>
      <c r="P10" s="2">
        <v>0</v>
      </c>
      <c r="Q10" s="3">
        <f t="shared" si="0"/>
        <v>12408315.111435739</v>
      </c>
      <c r="S10" s="4" t="s">
        <v>26</v>
      </c>
      <c r="T10" s="1">
        <f t="shared" si="3"/>
        <v>65000000</v>
      </c>
      <c r="U10" s="1">
        <f t="shared" si="1"/>
        <v>10.42</v>
      </c>
      <c r="V10" s="1">
        <f t="shared" si="4"/>
        <v>4.16</v>
      </c>
      <c r="W10" s="3">
        <f>P23*(V10/U10)</f>
        <v>48274822.667010322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 s="2">
        <v>0</v>
      </c>
      <c r="Q11" s="3">
        <f t="shared" si="0"/>
        <v>13028730.867007528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3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9145012.8676614165</v>
      </c>
      <c r="C12">
        <v>30</v>
      </c>
      <c r="D12" s="1">
        <f>B12*0.01</f>
        <v>91450.128676614171</v>
      </c>
      <c r="E12" s="1"/>
      <c r="N12" t="s">
        <v>26</v>
      </c>
      <c r="O12">
        <v>11</v>
      </c>
      <c r="P12" s="3">
        <f>$B$10*(1+$AC$2)^(O12-1)</f>
        <v>87354564.657367915</v>
      </c>
      <c r="Q12" s="3">
        <f t="shared" si="0"/>
        <v>13680167.410357904</v>
      </c>
      <c r="S12" s="4" t="s">
        <v>22</v>
      </c>
      <c r="T12" s="1">
        <f t="shared" si="3"/>
        <v>9145012.8676614165</v>
      </c>
      <c r="U12" s="1">
        <f t="shared" si="1"/>
        <v>30</v>
      </c>
      <c r="V12" s="1">
        <f t="shared" si="4"/>
        <v>5</v>
      </c>
      <c r="W12" s="3">
        <f t="shared" si="5"/>
        <v>1524168.8112769027</v>
      </c>
      <c r="X12" s="1">
        <f t="shared" si="2"/>
        <v>91450.128676614171</v>
      </c>
    </row>
    <row r="13" spans="1:30" x14ac:dyDescent="0.35">
      <c r="A13" s="4" t="s">
        <v>23</v>
      </c>
      <c r="B13" s="1">
        <v>47942699.405654743</v>
      </c>
      <c r="C13">
        <v>30</v>
      </c>
      <c r="D13" s="1">
        <f>B13*0.02</f>
        <v>958853.98811309494</v>
      </c>
      <c r="E13" s="1"/>
      <c r="O13">
        <v>12</v>
      </c>
      <c r="P13" s="2">
        <v>0</v>
      </c>
      <c r="Q13" s="3">
        <f t="shared" si="0"/>
        <v>14364175.7808758</v>
      </c>
      <c r="S13" s="4" t="s">
        <v>23</v>
      </c>
      <c r="T13" s="1">
        <f t="shared" si="3"/>
        <v>47942699.405654743</v>
      </c>
      <c r="U13" s="1">
        <f t="shared" si="1"/>
        <v>30</v>
      </c>
      <c r="V13" s="1">
        <f t="shared" si="4"/>
        <v>5</v>
      </c>
      <c r="W13" s="3">
        <f t="shared" si="5"/>
        <v>7990449.9009424569</v>
      </c>
      <c r="X13" s="1">
        <f t="shared" si="2"/>
        <v>958853.98811309494</v>
      </c>
    </row>
    <row r="14" spans="1:30" x14ac:dyDescent="0.35">
      <c r="A14" s="4" t="s">
        <v>24</v>
      </c>
      <c r="B14" s="1">
        <v>13501152.198553151</v>
      </c>
      <c r="C14">
        <v>30</v>
      </c>
      <c r="D14" s="1">
        <f>B14*0.02</f>
        <v>270023.04397106299</v>
      </c>
      <c r="E14" s="1"/>
      <c r="O14">
        <v>13</v>
      </c>
      <c r="P14" s="2">
        <v>0</v>
      </c>
      <c r="Q14" s="3">
        <f t="shared" si="0"/>
        <v>15082384.569919588</v>
      </c>
      <c r="S14" s="4" t="s">
        <v>24</v>
      </c>
      <c r="T14" s="1">
        <f t="shared" si="3"/>
        <v>13501152.198553151</v>
      </c>
      <c r="U14" s="1">
        <f t="shared" si="1"/>
        <v>30</v>
      </c>
      <c r="V14" s="1">
        <f t="shared" si="4"/>
        <v>5</v>
      </c>
      <c r="W14" s="3">
        <f t="shared" si="5"/>
        <v>2250192.0330921914</v>
      </c>
      <c r="X14" s="1">
        <f t="shared" si="2"/>
        <v>270023.04397106299</v>
      </c>
    </row>
    <row r="15" spans="1:30" x14ac:dyDescent="0.35">
      <c r="O15">
        <v>14</v>
      </c>
      <c r="P15" s="2">
        <v>0</v>
      </c>
      <c r="Q15" s="3">
        <f t="shared" si="0"/>
        <v>15836503.79841557</v>
      </c>
      <c r="S15" s="4" t="s">
        <v>32</v>
      </c>
      <c r="T15" s="1">
        <f>SUM(T4:T14)</f>
        <v>374476713.04972708</v>
      </c>
      <c r="W15" s="3">
        <f>SUM(W4:W14)</f>
        <v>68731789.425298169</v>
      </c>
      <c r="X15" s="1">
        <f>SUM(X4:X14)</f>
        <v>8398436.0838750843</v>
      </c>
    </row>
    <row r="16" spans="1:30" x14ac:dyDescent="0.35">
      <c r="O16">
        <v>15</v>
      </c>
      <c r="P16" s="2">
        <v>0</v>
      </c>
      <c r="Q16" s="3">
        <f t="shared" si="0"/>
        <v>16628328.988336343</v>
      </c>
    </row>
    <row r="17" spans="14:17" x14ac:dyDescent="0.35">
      <c r="O17">
        <v>16</v>
      </c>
      <c r="P17" s="2">
        <v>0</v>
      </c>
      <c r="Q17" s="3">
        <f t="shared" si="0"/>
        <v>17459745.437753167</v>
      </c>
    </row>
    <row r="18" spans="14:17" x14ac:dyDescent="0.35">
      <c r="O18">
        <v>17</v>
      </c>
      <c r="P18" s="2">
        <v>0</v>
      </c>
      <c r="Q18" s="3">
        <f t="shared" si="0"/>
        <v>18332732.709640823</v>
      </c>
    </row>
    <row r="19" spans="14:17" x14ac:dyDescent="0.35">
      <c r="O19">
        <v>18</v>
      </c>
      <c r="P19" s="2">
        <v>0</v>
      </c>
      <c r="Q19" s="3">
        <f t="shared" si="0"/>
        <v>19249369.345122866</v>
      </c>
    </row>
    <row r="20" spans="14:17" x14ac:dyDescent="0.35">
      <c r="O20">
        <v>19</v>
      </c>
      <c r="P20" s="2">
        <v>0</v>
      </c>
      <c r="Q20" s="3">
        <f t="shared" si="0"/>
        <v>20211837.81237901</v>
      </c>
    </row>
    <row r="21" spans="14:17" x14ac:dyDescent="0.35">
      <c r="O21">
        <v>20</v>
      </c>
      <c r="P21" s="2">
        <v>0</v>
      </c>
      <c r="Q21" s="3">
        <f t="shared" si="0"/>
        <v>21222429.70299796</v>
      </c>
    </row>
    <row r="22" spans="14:17" x14ac:dyDescent="0.35">
      <c r="N22" t="s">
        <v>20</v>
      </c>
      <c r="O22">
        <v>21</v>
      </c>
      <c r="P22" s="3">
        <f>B8</f>
        <v>0</v>
      </c>
      <c r="Q22" s="3">
        <f t="shared" si="0"/>
        <v>22283551.188147858</v>
      </c>
    </row>
    <row r="23" spans="14:17" x14ac:dyDescent="0.35">
      <c r="N23" t="s">
        <v>26</v>
      </c>
      <c r="O23">
        <v>22</v>
      </c>
      <c r="P23" s="3">
        <f>$B$10*(1+$AC$2)^(O23-1)</f>
        <v>120919147.1611172</v>
      </c>
      <c r="Q23" s="3">
        <f t="shared" si="0"/>
        <v>23397728.747555252</v>
      </c>
    </row>
    <row r="24" spans="14:17" x14ac:dyDescent="0.35">
      <c r="O24">
        <v>23</v>
      </c>
      <c r="P24" s="2">
        <v>0</v>
      </c>
      <c r="Q24" s="3">
        <f t="shared" si="0"/>
        <v>24567615.18493301</v>
      </c>
    </row>
    <row r="25" spans="14:17" x14ac:dyDescent="0.35">
      <c r="O25">
        <v>24</v>
      </c>
      <c r="P25" s="2">
        <v>0</v>
      </c>
      <c r="Q25" s="3">
        <f t="shared" si="0"/>
        <v>25795995.944179669</v>
      </c>
    </row>
    <row r="26" spans="14:17" x14ac:dyDescent="0.35">
      <c r="O26">
        <v>25</v>
      </c>
      <c r="P26" s="2">
        <v>0</v>
      </c>
      <c r="Q26" s="3">
        <f t="shared" si="0"/>
        <v>27085795.741388649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2E77-D668-43C2-8DF8-B550F6446896}">
  <dimension ref="A1:AD26"/>
  <sheetViews>
    <sheetView workbookViewId="0">
      <selection activeCell="N1" sqref="N1:AD26"/>
    </sheetView>
  </sheetViews>
  <sheetFormatPr baseColWidth="10" defaultRowHeight="14.5" x14ac:dyDescent="0.35"/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64763</v>
      </c>
      <c r="O2">
        <v>1</v>
      </c>
      <c r="P2" s="1">
        <f>T15</f>
        <v>371408617.85489851</v>
      </c>
      <c r="Q2" s="1">
        <f>$X$15*(1+$AD$2)^(O2-1)</f>
        <v>8292830.1461246936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1321.2125585836159</v>
      </c>
      <c r="J3" s="9"/>
      <c r="K3" s="5" t="s">
        <v>10</v>
      </c>
      <c r="L3">
        <f>L2*5.17</f>
        <v>334824.71000000002</v>
      </c>
      <c r="O3">
        <v>2</v>
      </c>
      <c r="P3">
        <v>0</v>
      </c>
      <c r="Q3" s="1">
        <f t="shared" ref="Q3:Q26" si="0">$X$15*(1+$AD$2)^(O3-1)</f>
        <v>8707471.6534309294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142380580</v>
      </c>
      <c r="C4">
        <v>25</v>
      </c>
      <c r="D4" s="1">
        <f>B4*0.028</f>
        <v>3986656.24</v>
      </c>
      <c r="E4" s="1"/>
      <c r="J4" s="4" t="s">
        <v>13</v>
      </c>
      <c r="K4" s="5" t="s">
        <v>10</v>
      </c>
      <c r="L4">
        <v>44598</v>
      </c>
      <c r="O4">
        <v>3</v>
      </c>
      <c r="P4">
        <v>0</v>
      </c>
      <c r="Q4" s="1">
        <f t="shared" si="0"/>
        <v>9142845.2361024749</v>
      </c>
      <c r="S4" s="4" t="s">
        <v>15</v>
      </c>
      <c r="T4" s="1">
        <f>B4</f>
        <v>142380580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3986656.24</v>
      </c>
      <c r="Y4">
        <f>T4/AA4</f>
        <v>115</v>
      </c>
      <c r="Z4" t="s">
        <v>39</v>
      </c>
      <c r="AA4">
        <v>1238092</v>
      </c>
    </row>
    <row r="5" spans="1:30" x14ac:dyDescent="0.35">
      <c r="A5" s="4" t="s">
        <v>16</v>
      </c>
      <c r="B5" s="1">
        <v>30858740</v>
      </c>
      <c r="C5">
        <v>25</v>
      </c>
      <c r="D5" s="1">
        <f>B5*0.017</f>
        <v>524598.58000000007</v>
      </c>
      <c r="E5" s="1"/>
      <c r="O5">
        <v>4</v>
      </c>
      <c r="P5">
        <v>0</v>
      </c>
      <c r="Q5" s="1">
        <f t="shared" si="0"/>
        <v>9599987.4979075994</v>
      </c>
      <c r="S5" s="4" t="s">
        <v>16</v>
      </c>
      <c r="T5" s="1">
        <f t="shared" ref="T5:T14" si="3">B5</f>
        <v>30858740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524598.58000000007</v>
      </c>
      <c r="Y5">
        <f>T5/AA5</f>
        <v>55</v>
      </c>
      <c r="Z5" t="s">
        <v>39</v>
      </c>
      <c r="AA5">
        <v>561068</v>
      </c>
    </row>
    <row r="6" spans="1:30" x14ac:dyDescent="0.35">
      <c r="A6" s="4" t="s">
        <v>18</v>
      </c>
      <c r="B6" s="1">
        <v>7400000</v>
      </c>
      <c r="C6">
        <v>40</v>
      </c>
      <c r="D6" s="1">
        <f>B6*0.007</f>
        <v>51800</v>
      </c>
      <c r="E6" s="1"/>
      <c r="O6">
        <v>5</v>
      </c>
      <c r="P6">
        <v>0</v>
      </c>
      <c r="Q6" s="1">
        <f t="shared" si="0"/>
        <v>10079986.872802978</v>
      </c>
      <c r="S6" s="4" t="s">
        <v>18</v>
      </c>
      <c r="T6" s="1">
        <f t="shared" si="3"/>
        <v>7400000</v>
      </c>
      <c r="U6" s="1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4" t="s">
        <v>19</v>
      </c>
      <c r="B7" s="1">
        <v>13799240</v>
      </c>
      <c r="C7">
        <v>40</v>
      </c>
      <c r="D7" s="1">
        <f>B7*0.02</f>
        <v>275984.8</v>
      </c>
      <c r="E7" s="1"/>
      <c r="O7">
        <v>6</v>
      </c>
      <c r="P7">
        <v>0</v>
      </c>
      <c r="Q7" s="1">
        <f t="shared" si="0"/>
        <v>10583986.216443129</v>
      </c>
      <c r="S7" s="4" t="s">
        <v>19</v>
      </c>
      <c r="T7" s="1">
        <f t="shared" si="3"/>
        <v>13799240</v>
      </c>
      <c r="U7" s="1">
        <f t="shared" si="1"/>
        <v>40</v>
      </c>
      <c r="V7" s="1">
        <f t="shared" si="4"/>
        <v>15</v>
      </c>
      <c r="W7" s="1">
        <f t="shared" si="5"/>
        <v>5174715</v>
      </c>
      <c r="X7" s="1">
        <f t="shared" si="2"/>
        <v>275984.8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11113185.527265284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11668844.803628549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1">
        <f>0.65*100000000</f>
        <v>65000000</v>
      </c>
      <c r="C10">
        <v>10.71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12252287.043809976</v>
      </c>
      <c r="S10" s="4" t="s">
        <v>26</v>
      </c>
      <c r="T10" s="1">
        <f t="shared" si="3"/>
        <v>65000000</v>
      </c>
      <c r="U10" s="1">
        <f t="shared" si="1"/>
        <v>10.71</v>
      </c>
      <c r="V10" s="1">
        <f t="shared" si="4"/>
        <v>3.5799999999999983</v>
      </c>
      <c r="W10" s="1">
        <f>P23*(V10/U10)</f>
        <v>40419285.418935508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12864901.396000475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87354564.657367915</v>
      </c>
      <c r="Q12" s="1">
        <f t="shared" si="0"/>
        <v>13508146.4658005</v>
      </c>
      <c r="S12" s="4" t="s">
        <v>22</v>
      </c>
      <c r="T12" s="1">
        <f t="shared" si="3"/>
        <v>15252620.253043231</v>
      </c>
      <c r="U12" s="1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4" t="s">
        <v>23</v>
      </c>
      <c r="B13" s="1">
        <v>45545564.43537201</v>
      </c>
      <c r="C13">
        <v>30</v>
      </c>
      <c r="D13" s="1">
        <f>B13*0.02</f>
        <v>910911.28870744025</v>
      </c>
      <c r="E13" s="1"/>
      <c r="O13">
        <v>12</v>
      </c>
      <c r="P13">
        <v>0</v>
      </c>
      <c r="Q13" s="1">
        <f t="shared" si="0"/>
        <v>14183553.789090525</v>
      </c>
      <c r="S13" s="4" t="s">
        <v>23</v>
      </c>
      <c r="T13" s="1">
        <f t="shared" si="3"/>
        <v>45545564.43537201</v>
      </c>
      <c r="U13" s="1">
        <f t="shared" si="1"/>
        <v>30</v>
      </c>
      <c r="V13" s="1">
        <f t="shared" si="4"/>
        <v>5</v>
      </c>
      <c r="W13" s="1">
        <f t="shared" si="5"/>
        <v>7590927.4058953347</v>
      </c>
      <c r="X13" s="1">
        <f t="shared" si="2"/>
        <v>910911.28870744025</v>
      </c>
    </row>
    <row r="14" spans="1:30" x14ac:dyDescent="0.35">
      <c r="A14" s="4" t="s">
        <v>24</v>
      </c>
      <c r="B14" s="1">
        <v>12826094.588625491</v>
      </c>
      <c r="C14">
        <v>30</v>
      </c>
      <c r="D14" s="1">
        <f>B14*0.02</f>
        <v>256521.89177250981</v>
      </c>
      <c r="E14" s="1"/>
      <c r="O14">
        <v>13</v>
      </c>
      <c r="P14">
        <v>0</v>
      </c>
      <c r="Q14" s="1">
        <f t="shared" si="0"/>
        <v>14892731.478545049</v>
      </c>
      <c r="S14" s="4" t="s">
        <v>24</v>
      </c>
      <c r="T14" s="1">
        <f t="shared" si="3"/>
        <v>12826094.588625491</v>
      </c>
      <c r="U14" s="1">
        <f t="shared" si="1"/>
        <v>30</v>
      </c>
      <c r="V14" s="1">
        <f t="shared" si="4"/>
        <v>5</v>
      </c>
      <c r="W14" s="1">
        <f t="shared" si="5"/>
        <v>2137682.4314375818</v>
      </c>
      <c r="X14" s="1">
        <f t="shared" si="2"/>
        <v>256521.89177250981</v>
      </c>
    </row>
    <row r="15" spans="1:30" x14ac:dyDescent="0.35">
      <c r="O15">
        <v>14</v>
      </c>
      <c r="P15">
        <v>0</v>
      </c>
      <c r="Q15" s="1">
        <f t="shared" si="0"/>
        <v>15637368.052472305</v>
      </c>
      <c r="S15" s="4" t="s">
        <v>32</v>
      </c>
      <c r="T15" s="1">
        <f>SUM(T4:T14)</f>
        <v>371408617.85489851</v>
      </c>
      <c r="W15" s="1">
        <f>SUM(W4:W14)</f>
        <v>61197343.394751929</v>
      </c>
      <c r="X15" s="1">
        <f>SUM(X4:X14)</f>
        <v>8292830.1461246936</v>
      </c>
    </row>
    <row r="16" spans="1:30" x14ac:dyDescent="0.35">
      <c r="O16">
        <v>15</v>
      </c>
      <c r="P16">
        <v>0</v>
      </c>
      <c r="Q16" s="1">
        <f t="shared" si="0"/>
        <v>16419236.455095915</v>
      </c>
    </row>
    <row r="17" spans="14:17" x14ac:dyDescent="0.35">
      <c r="O17">
        <v>16</v>
      </c>
      <c r="P17">
        <v>0</v>
      </c>
      <c r="Q17" s="1">
        <f t="shared" si="0"/>
        <v>17240198.277850717</v>
      </c>
    </row>
    <row r="18" spans="14:17" x14ac:dyDescent="0.35">
      <c r="O18">
        <v>17</v>
      </c>
      <c r="P18">
        <v>0</v>
      </c>
      <c r="Q18" s="1">
        <f t="shared" si="0"/>
        <v>18102208.191743251</v>
      </c>
    </row>
    <row r="19" spans="14:17" x14ac:dyDescent="0.35">
      <c r="O19">
        <v>18</v>
      </c>
      <c r="P19">
        <v>0</v>
      </c>
      <c r="Q19" s="1">
        <f t="shared" si="0"/>
        <v>19007318.601330414</v>
      </c>
    </row>
    <row r="20" spans="14:17" x14ac:dyDescent="0.35">
      <c r="O20">
        <v>19</v>
      </c>
      <c r="P20">
        <v>0</v>
      </c>
      <c r="Q20" s="1">
        <f t="shared" si="0"/>
        <v>19957684.531396937</v>
      </c>
    </row>
    <row r="21" spans="14:17" x14ac:dyDescent="0.35">
      <c r="O21">
        <v>20</v>
      </c>
      <c r="P21">
        <v>0</v>
      </c>
      <c r="Q21" s="1">
        <f t="shared" si="0"/>
        <v>20955568.757966783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22003347.195865121</v>
      </c>
    </row>
    <row r="23" spans="14:17" x14ac:dyDescent="0.35">
      <c r="N23" t="s">
        <v>26</v>
      </c>
      <c r="O23">
        <v>22</v>
      </c>
      <c r="P23" s="1">
        <f>$B$10*(1+$AC$2)^(O23-1)</f>
        <v>120919147.1611172</v>
      </c>
      <c r="Q23" s="1">
        <f t="shared" si="0"/>
        <v>23103514.555658378</v>
      </c>
    </row>
    <row r="24" spans="14:17" x14ac:dyDescent="0.35">
      <c r="O24">
        <v>23</v>
      </c>
      <c r="P24">
        <v>0</v>
      </c>
      <c r="Q24" s="1">
        <f t="shared" si="0"/>
        <v>24258690.283441294</v>
      </c>
    </row>
    <row r="25" spans="14:17" x14ac:dyDescent="0.35">
      <c r="O25">
        <v>24</v>
      </c>
      <c r="P25">
        <v>0</v>
      </c>
      <c r="Q25" s="1">
        <f t="shared" si="0"/>
        <v>25471624.797613364</v>
      </c>
    </row>
    <row r="26" spans="14:17" x14ac:dyDescent="0.35">
      <c r="O26">
        <v>25</v>
      </c>
      <c r="P26">
        <v>0</v>
      </c>
      <c r="Q26" s="1">
        <f t="shared" si="0"/>
        <v>26745206.03749403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8691-9890-4E1B-A9C5-20B9A617AE44}">
  <dimension ref="A1:AD26"/>
  <sheetViews>
    <sheetView workbookViewId="0">
      <selection activeCell="N1" sqref="N1:AD26"/>
    </sheetView>
  </sheetViews>
  <sheetFormatPr baseColWidth="10" defaultRowHeight="14.5" x14ac:dyDescent="0.35"/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77766</v>
      </c>
      <c r="O2">
        <v>1</v>
      </c>
      <c r="P2" s="1">
        <f>T15</f>
        <v>337865905.18206567</v>
      </c>
      <c r="Q2" s="1">
        <f>$X$15*(1+$AD$2)^(O2-1)</f>
        <v>7833414.2351984698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159875.87579637143</v>
      </c>
      <c r="J3" s="9"/>
      <c r="K3" s="5" t="s">
        <v>10</v>
      </c>
      <c r="L3">
        <f>L2*5.17</f>
        <v>402050.22</v>
      </c>
      <c r="O3">
        <v>2</v>
      </c>
      <c r="P3">
        <v>0</v>
      </c>
      <c r="Q3" s="1">
        <f t="shared" ref="Q3:Q26" si="0">$X$15*(1+$AD$2)^(O3-1)</f>
        <v>8225084.9469583938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142380580</v>
      </c>
      <c r="C4">
        <v>25</v>
      </c>
      <c r="D4" s="1">
        <f>B4*0.028</f>
        <v>3986656.24</v>
      </c>
      <c r="E4" s="1"/>
      <c r="J4" s="4" t="s">
        <v>13</v>
      </c>
      <c r="K4" s="5" t="s">
        <v>10</v>
      </c>
      <c r="L4">
        <v>16876</v>
      </c>
      <c r="O4">
        <v>3</v>
      </c>
      <c r="P4">
        <v>0</v>
      </c>
      <c r="Q4" s="1">
        <f t="shared" si="0"/>
        <v>8636339.194306314</v>
      </c>
      <c r="S4" s="4" t="s">
        <v>15</v>
      </c>
      <c r="T4" s="1">
        <f>B4</f>
        <v>142380580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3986656.24</v>
      </c>
      <c r="Y4">
        <f>T4/AA4</f>
        <v>115</v>
      </c>
      <c r="Z4" t="s">
        <v>39</v>
      </c>
      <c r="AA4">
        <v>1238092</v>
      </c>
    </row>
    <row r="5" spans="1:30" x14ac:dyDescent="0.35">
      <c r="A5" s="4" t="s">
        <v>16</v>
      </c>
      <c r="B5" s="1">
        <v>11221360</v>
      </c>
      <c r="C5">
        <v>25</v>
      </c>
      <c r="D5" s="1">
        <f>B5*0.017</f>
        <v>190763.12000000002</v>
      </c>
      <c r="E5" s="1"/>
      <c r="O5">
        <v>4</v>
      </c>
      <c r="P5">
        <v>0</v>
      </c>
      <c r="Q5" s="1">
        <f t="shared" si="0"/>
        <v>9068156.1540216301</v>
      </c>
      <c r="S5" s="4" t="s">
        <v>16</v>
      </c>
      <c r="T5" s="1">
        <f t="shared" ref="T5:T14" si="3">B5</f>
        <v>11221360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190763.12000000002</v>
      </c>
      <c r="Y5">
        <f>T5/AA5</f>
        <v>20</v>
      </c>
      <c r="Z5" t="s">
        <v>39</v>
      </c>
      <c r="AA5">
        <v>561068</v>
      </c>
    </row>
    <row r="6" spans="1:30" x14ac:dyDescent="0.35">
      <c r="A6" s="4" t="s">
        <v>18</v>
      </c>
      <c r="B6" s="1">
        <v>7400000</v>
      </c>
      <c r="C6">
        <v>40</v>
      </c>
      <c r="D6" s="1">
        <f>B6*0.007</f>
        <v>51800</v>
      </c>
      <c r="E6" s="1"/>
      <c r="O6">
        <v>5</v>
      </c>
      <c r="P6">
        <v>0</v>
      </c>
      <c r="Q6" s="1">
        <f t="shared" si="0"/>
        <v>9521563.9617227092</v>
      </c>
      <c r="S6" s="4" t="s">
        <v>18</v>
      </c>
      <c r="T6" s="1">
        <f t="shared" si="3"/>
        <v>7400000</v>
      </c>
      <c r="U6" s="1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4" t="s">
        <v>19</v>
      </c>
      <c r="B7" s="1">
        <v>12074335</v>
      </c>
      <c r="C7">
        <v>40</v>
      </c>
      <c r="D7" s="1">
        <f>B7*0.02</f>
        <v>241486.7</v>
      </c>
      <c r="E7" s="1"/>
      <c r="O7">
        <v>6</v>
      </c>
      <c r="P7">
        <v>0</v>
      </c>
      <c r="Q7" s="1">
        <f t="shared" si="0"/>
        <v>9997642.1598088462</v>
      </c>
      <c r="S7" s="4" t="s">
        <v>19</v>
      </c>
      <c r="T7" s="1">
        <f t="shared" si="3"/>
        <v>12074335</v>
      </c>
      <c r="U7" s="1">
        <f t="shared" si="1"/>
        <v>40</v>
      </c>
      <c r="V7" s="1">
        <f t="shared" si="4"/>
        <v>15</v>
      </c>
      <c r="W7" s="1">
        <f t="shared" si="5"/>
        <v>4527875.625</v>
      </c>
      <c r="X7" s="1">
        <f t="shared" si="2"/>
        <v>241486.7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10497524.267799288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11022400.481189255</v>
      </c>
      <c r="S9" s="4" t="s">
        <v>25</v>
      </c>
      <c r="T9" s="1">
        <f t="shared" si="3"/>
        <v>35000000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700000</v>
      </c>
    </row>
    <row r="10" spans="1:30" x14ac:dyDescent="0.35">
      <c r="A10" s="4" t="s">
        <v>26</v>
      </c>
      <c r="B10" s="1">
        <f>0.65*100000000</f>
        <v>65000000</v>
      </c>
      <c r="C10">
        <v>10.27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11573520.505248716</v>
      </c>
      <c r="S10" s="4" t="s">
        <v>26</v>
      </c>
      <c r="T10" s="1">
        <f t="shared" si="3"/>
        <v>65000000</v>
      </c>
      <c r="U10" s="1">
        <f t="shared" si="1"/>
        <v>10.27</v>
      </c>
      <c r="V10" s="1">
        <f t="shared" si="4"/>
        <v>4.4600000000000009</v>
      </c>
      <c r="W10" s="1">
        <f>P23*(V10/U10)</f>
        <v>52512112.593825005</v>
      </c>
      <c r="X10" s="1">
        <f t="shared" si="2"/>
        <v>1300000</v>
      </c>
    </row>
    <row r="11" spans="1:30" x14ac:dyDescent="0.35">
      <c r="A11" s="4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12152196.530511152</v>
      </c>
      <c r="S11" s="4" t="s">
        <v>21</v>
      </c>
      <c r="T11" s="1">
        <f t="shared" si="3"/>
        <v>3345778.5778577859</v>
      </c>
      <c r="U11" s="1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4" t="s">
        <v>22</v>
      </c>
      <c r="B12" s="1">
        <v>0</v>
      </c>
      <c r="C12">
        <v>30</v>
      </c>
      <c r="D12" s="1">
        <f>B12*0.01</f>
        <v>0</v>
      </c>
      <c r="E12" s="1"/>
      <c r="N12" t="s">
        <v>26</v>
      </c>
      <c r="O12">
        <v>11</v>
      </c>
      <c r="P12" s="1">
        <f>$B$10*(1+$AC$2)^(O12-1)</f>
        <v>87354564.657367915</v>
      </c>
      <c r="Q12" s="1">
        <f t="shared" si="0"/>
        <v>12759806.35703671</v>
      </c>
      <c r="S12" s="4" t="s">
        <v>22</v>
      </c>
      <c r="T12" s="1">
        <f t="shared" si="3"/>
        <v>0</v>
      </c>
      <c r="U12" s="1">
        <f t="shared" si="1"/>
        <v>30</v>
      </c>
      <c r="V12" s="1">
        <f t="shared" si="4"/>
        <v>5</v>
      </c>
      <c r="W12" s="1">
        <f t="shared" si="5"/>
        <v>0</v>
      </c>
      <c r="X12" s="1">
        <f t="shared" si="2"/>
        <v>0</v>
      </c>
    </row>
    <row r="13" spans="1:30" x14ac:dyDescent="0.35">
      <c r="A13" s="4" t="s">
        <v>23</v>
      </c>
      <c r="B13" s="1">
        <v>47942699.405654743</v>
      </c>
      <c r="C13">
        <v>30</v>
      </c>
      <c r="D13" s="1">
        <f>B13*0.02</f>
        <v>958853.98811309494</v>
      </c>
      <c r="E13" s="1"/>
      <c r="O13">
        <v>12</v>
      </c>
      <c r="P13">
        <v>0</v>
      </c>
      <c r="Q13" s="1">
        <f t="shared" si="0"/>
        <v>13397796.674888546</v>
      </c>
      <c r="S13" s="4" t="s">
        <v>23</v>
      </c>
      <c r="T13" s="1">
        <f t="shared" si="3"/>
        <v>47942699.405654743</v>
      </c>
      <c r="U13" s="1">
        <f t="shared" si="1"/>
        <v>30</v>
      </c>
      <c r="V13" s="1">
        <f t="shared" si="4"/>
        <v>5</v>
      </c>
      <c r="W13" s="1">
        <f t="shared" si="5"/>
        <v>7990449.9009424569</v>
      </c>
      <c r="X13" s="1">
        <f t="shared" si="2"/>
        <v>958853.98811309494</v>
      </c>
    </row>
    <row r="14" spans="1:30" x14ac:dyDescent="0.35">
      <c r="A14" s="4" t="s">
        <v>24</v>
      </c>
      <c r="B14" s="1">
        <v>13501152.198553151</v>
      </c>
      <c r="C14">
        <v>30</v>
      </c>
      <c r="D14" s="1">
        <f>B14*0.02</f>
        <v>270023.04397106299</v>
      </c>
      <c r="E14" s="1"/>
      <c r="O14">
        <v>13</v>
      </c>
      <c r="P14">
        <v>0</v>
      </c>
      <c r="Q14" s="1">
        <f t="shared" si="0"/>
        <v>14067686.508632971</v>
      </c>
      <c r="S14" s="4" t="s">
        <v>24</v>
      </c>
      <c r="T14" s="1">
        <f t="shared" si="3"/>
        <v>13501152.198553151</v>
      </c>
      <c r="U14" s="1">
        <f t="shared" si="1"/>
        <v>30</v>
      </c>
      <c r="V14" s="1">
        <f t="shared" si="4"/>
        <v>5</v>
      </c>
      <c r="W14" s="1">
        <f t="shared" si="5"/>
        <v>2250192.0330921914</v>
      </c>
      <c r="X14" s="1">
        <f t="shared" si="2"/>
        <v>270023.04397106299</v>
      </c>
    </row>
    <row r="15" spans="1:30" x14ac:dyDescent="0.35">
      <c r="O15">
        <v>14</v>
      </c>
      <c r="P15">
        <v>0</v>
      </c>
      <c r="Q15" s="1">
        <f t="shared" si="0"/>
        <v>14771070.834064621</v>
      </c>
      <c r="S15" s="4" t="s">
        <v>32</v>
      </c>
      <c r="T15" s="1">
        <f>SUM(T4:T14)</f>
        <v>337865905.18206567</v>
      </c>
      <c r="W15" s="1">
        <f>SUM(W4:W14)</f>
        <v>70613259.915835947</v>
      </c>
      <c r="X15" s="1">
        <f>SUM(X4:X14)</f>
        <v>7833414.2351984698</v>
      </c>
    </row>
    <row r="16" spans="1:30" x14ac:dyDescent="0.35">
      <c r="O16">
        <v>15</v>
      </c>
      <c r="P16">
        <v>0</v>
      </c>
      <c r="Q16" s="1">
        <f t="shared" si="0"/>
        <v>15509624.375767849</v>
      </c>
    </row>
    <row r="17" spans="14:17" x14ac:dyDescent="0.35">
      <c r="O17">
        <v>16</v>
      </c>
      <c r="P17">
        <v>0</v>
      </c>
      <c r="Q17" s="1">
        <f t="shared" si="0"/>
        <v>16285105.594556248</v>
      </c>
    </row>
    <row r="18" spans="14:17" x14ac:dyDescent="0.35">
      <c r="O18">
        <v>17</v>
      </c>
      <c r="P18">
        <v>0</v>
      </c>
      <c r="Q18" s="1">
        <f t="shared" si="0"/>
        <v>17099360.874284059</v>
      </c>
    </row>
    <row r="19" spans="14:17" x14ac:dyDescent="0.35">
      <c r="O19">
        <v>18</v>
      </c>
      <c r="P19">
        <v>0</v>
      </c>
      <c r="Q19" s="1">
        <f t="shared" si="0"/>
        <v>17954328.917998262</v>
      </c>
    </row>
    <row r="20" spans="14:17" x14ac:dyDescent="0.35">
      <c r="O20">
        <v>19</v>
      </c>
      <c r="P20">
        <v>0</v>
      </c>
      <c r="Q20" s="1">
        <f t="shared" si="0"/>
        <v>18852045.363898177</v>
      </c>
    </row>
    <row r="21" spans="14:17" x14ac:dyDescent="0.35">
      <c r="O21">
        <v>20</v>
      </c>
      <c r="P21">
        <v>0</v>
      </c>
      <c r="Q21" s="1">
        <f t="shared" si="0"/>
        <v>19794647.632093087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20784380.01369774</v>
      </c>
    </row>
    <row r="23" spans="14:17" x14ac:dyDescent="0.35">
      <c r="N23" t="s">
        <v>26</v>
      </c>
      <c r="O23">
        <v>22</v>
      </c>
      <c r="P23" s="1">
        <f>$B$10*(1+$AC$2)^(O23-1)</f>
        <v>120919147.1611172</v>
      </c>
      <c r="Q23" s="1">
        <f t="shared" si="0"/>
        <v>21823599.014382627</v>
      </c>
    </row>
    <row r="24" spans="14:17" x14ac:dyDescent="0.35">
      <c r="O24">
        <v>23</v>
      </c>
      <c r="P24">
        <v>0</v>
      </c>
      <c r="Q24" s="1">
        <f t="shared" si="0"/>
        <v>22914778.965101756</v>
      </c>
    </row>
    <row r="25" spans="14:17" x14ac:dyDescent="0.35">
      <c r="O25">
        <v>24</v>
      </c>
      <c r="P25">
        <v>0</v>
      </c>
      <c r="Q25" s="1">
        <f t="shared" si="0"/>
        <v>24060517.913356848</v>
      </c>
    </row>
    <row r="26" spans="14:17" x14ac:dyDescent="0.35">
      <c r="O26">
        <v>25</v>
      </c>
      <c r="P26">
        <v>0</v>
      </c>
      <c r="Q26" s="1">
        <f t="shared" si="0"/>
        <v>25263543.809024688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ADAA-DBC3-4256-8216-628FD8502395}">
  <dimension ref="A1:AD26"/>
  <sheetViews>
    <sheetView workbookViewId="0">
      <selection activeCell="B11" sqref="B11"/>
    </sheetView>
  </sheetViews>
  <sheetFormatPr baseColWidth="10" defaultRowHeight="14.5" x14ac:dyDescent="0.35"/>
  <cols>
    <col min="19" max="19" width="20.72656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6998</v>
      </c>
      <c r="O2">
        <v>1</v>
      </c>
      <c r="P2" s="1">
        <f>T15</f>
        <v>58115252.715781309</v>
      </c>
      <c r="Q2" s="1">
        <f>$X$15*(1+$AD$2)^(O2-1)</f>
        <v>1226830.1585001377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36179.659999999996</v>
      </c>
      <c r="O3">
        <v>2</v>
      </c>
      <c r="P3">
        <v>0</v>
      </c>
      <c r="Q3" s="1">
        <f t="shared" ref="Q3:Q26" si="0">$X$15*(1+$AD$2)^(O3-1)</f>
        <v>1288171.6664251448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14857104</v>
      </c>
      <c r="C4">
        <v>25</v>
      </c>
      <c r="D4" s="1">
        <f>B4*0.028</f>
        <v>415998.91200000001</v>
      </c>
      <c r="E4" s="1"/>
      <c r="J4" s="4" t="s">
        <v>13</v>
      </c>
      <c r="K4" s="5" t="s">
        <v>10</v>
      </c>
      <c r="L4">
        <v>10294</v>
      </c>
      <c r="O4">
        <v>3</v>
      </c>
      <c r="P4">
        <v>0</v>
      </c>
      <c r="Q4" s="1">
        <f t="shared" si="0"/>
        <v>1352580.2497464018</v>
      </c>
      <c r="S4" s="4" t="s">
        <v>15</v>
      </c>
      <c r="T4" s="1">
        <f>B4</f>
        <v>14857104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415998.91200000001</v>
      </c>
      <c r="Y4">
        <f>T4/AA4</f>
        <v>12</v>
      </c>
      <c r="Z4" t="s">
        <v>39</v>
      </c>
      <c r="AA4">
        <v>1238092</v>
      </c>
    </row>
    <row r="5" spans="1:30" x14ac:dyDescent="0.35">
      <c r="A5" s="4" t="s">
        <v>16</v>
      </c>
      <c r="B5" s="1">
        <v>5891214</v>
      </c>
      <c r="C5">
        <v>25</v>
      </c>
      <c r="D5" s="1">
        <f>B5*0.017</f>
        <v>100150.63800000001</v>
      </c>
      <c r="E5" s="1"/>
      <c r="O5">
        <v>4</v>
      </c>
      <c r="P5">
        <v>0</v>
      </c>
      <c r="Q5" s="1">
        <f t="shared" si="0"/>
        <v>1420209.262233722</v>
      </c>
      <c r="S5" s="4" t="s">
        <v>16</v>
      </c>
      <c r="T5" s="1">
        <f t="shared" ref="T5:T14" si="3">B5</f>
        <v>5891214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100150.63800000001</v>
      </c>
      <c r="Y5">
        <f>T5/AA5</f>
        <v>10.5</v>
      </c>
      <c r="Z5" t="s">
        <v>39</v>
      </c>
      <c r="AA5">
        <v>561068</v>
      </c>
    </row>
    <row r="6" spans="1:30" x14ac:dyDescent="0.35">
      <c r="A6" s="4" t="s">
        <v>18</v>
      </c>
      <c r="B6" s="1">
        <v>1600000</v>
      </c>
      <c r="C6">
        <v>40</v>
      </c>
      <c r="D6" s="1">
        <f>B6*0.007</f>
        <v>11200</v>
      </c>
      <c r="E6" s="1"/>
      <c r="O6">
        <v>5</v>
      </c>
      <c r="P6">
        <v>0</v>
      </c>
      <c r="Q6" s="1">
        <f t="shared" si="0"/>
        <v>1491219.7253454081</v>
      </c>
      <c r="S6" s="4" t="s">
        <v>18</v>
      </c>
      <c r="T6" s="1">
        <f t="shared" si="3"/>
        <v>1600000</v>
      </c>
      <c r="U6" s="1">
        <f t="shared" si="1"/>
        <v>40</v>
      </c>
      <c r="V6" s="1">
        <f t="shared" si="4"/>
        <v>15</v>
      </c>
      <c r="W6" s="1">
        <f t="shared" si="5"/>
        <v>600000</v>
      </c>
      <c r="X6" s="1">
        <f t="shared" si="2"/>
        <v>11200</v>
      </c>
    </row>
    <row r="7" spans="1:30" x14ac:dyDescent="0.35">
      <c r="A7" s="4" t="s">
        <v>19</v>
      </c>
      <c r="B7" s="1">
        <v>6529997.5</v>
      </c>
      <c r="C7">
        <v>40</v>
      </c>
      <c r="D7" s="1">
        <f>B7*0.02</f>
        <v>130599.95</v>
      </c>
      <c r="E7" s="1"/>
      <c r="O7">
        <v>6</v>
      </c>
      <c r="P7">
        <v>0</v>
      </c>
      <c r="Q7" s="1">
        <f t="shared" si="0"/>
        <v>1565780.7116126786</v>
      </c>
      <c r="S7" s="4" t="s">
        <v>19</v>
      </c>
      <c r="T7" s="1">
        <f t="shared" si="3"/>
        <v>6529997.5</v>
      </c>
      <c r="U7" s="1">
        <f t="shared" si="1"/>
        <v>40</v>
      </c>
      <c r="V7" s="1">
        <f t="shared" si="4"/>
        <v>15</v>
      </c>
      <c r="W7" s="1">
        <f t="shared" si="5"/>
        <v>2448749.0625</v>
      </c>
      <c r="X7" s="1">
        <f t="shared" si="2"/>
        <v>130599.95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1644069.7471933123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1726273.2345529783</v>
      </c>
      <c r="S9" s="4" t="s">
        <v>25</v>
      </c>
      <c r="T9" s="1">
        <f t="shared" si="3"/>
        <v>6750000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135000</v>
      </c>
    </row>
    <row r="10" spans="1:30" x14ac:dyDescent="0.35">
      <c r="A10" s="4" t="s">
        <v>26</v>
      </c>
      <c r="B10" s="1">
        <f>0.55*15000000</f>
        <v>8250000.0000000009</v>
      </c>
      <c r="C10">
        <v>10.39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1812586.896280627</v>
      </c>
      <c r="S10" s="4" t="s">
        <v>26</v>
      </c>
      <c r="T10" s="1">
        <f t="shared" si="3"/>
        <v>8250000.0000000009</v>
      </c>
      <c r="U10" s="1">
        <f t="shared" si="1"/>
        <v>10.39</v>
      </c>
      <c r="V10" s="1">
        <f t="shared" si="4"/>
        <v>4.2199999999999989</v>
      </c>
      <c r="W10" s="1">
        <f>P23*(V10/U10)</f>
        <v>6233508.7116521718</v>
      </c>
      <c r="X10" s="1">
        <f t="shared" si="2"/>
        <v>165000.00000000003</v>
      </c>
    </row>
    <row r="11" spans="1:30" x14ac:dyDescent="0.35">
      <c r="A11" s="4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1903216.2410946584</v>
      </c>
      <c r="S11" s="4" t="s">
        <v>21</v>
      </c>
      <c r="T11" s="1">
        <f t="shared" si="3"/>
        <v>334577.85778577859</v>
      </c>
      <c r="U11" s="1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4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11087310.129589006</v>
      </c>
      <c r="Q12" s="1">
        <f t="shared" si="0"/>
        <v>1998377.0531493914</v>
      </c>
      <c r="S12" s="4" t="s">
        <v>22</v>
      </c>
      <c r="T12" s="1">
        <f t="shared" si="3"/>
        <v>2254964.297120431</v>
      </c>
      <c r="U12" s="1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4" t="s">
        <v>23</v>
      </c>
      <c r="B13" s="1">
        <v>10297279.841019791</v>
      </c>
      <c r="C13">
        <v>30</v>
      </c>
      <c r="D13" s="1">
        <f>B13*0.02</f>
        <v>205945.59682039582</v>
      </c>
      <c r="E13" s="1"/>
      <c r="O13">
        <v>12</v>
      </c>
      <c r="P13">
        <v>0</v>
      </c>
      <c r="Q13" s="1">
        <f t="shared" si="0"/>
        <v>2098295.9058068609</v>
      </c>
      <c r="S13" s="4" t="s">
        <v>23</v>
      </c>
      <c r="T13" s="1">
        <f t="shared" si="3"/>
        <v>10297279.841019791</v>
      </c>
      <c r="U13" s="1">
        <f t="shared" si="1"/>
        <v>30</v>
      </c>
      <c r="V13" s="1">
        <f t="shared" si="4"/>
        <v>5</v>
      </c>
      <c r="W13" s="1">
        <f t="shared" si="5"/>
        <v>1716213.3068366316</v>
      </c>
      <c r="X13" s="1">
        <f t="shared" si="2"/>
        <v>205945.59682039582</v>
      </c>
    </row>
    <row r="14" spans="1:30" x14ac:dyDescent="0.35">
      <c r="A14" s="4" t="s">
        <v>24</v>
      </c>
      <c r="B14" s="1">
        <v>1350115.2198553151</v>
      </c>
      <c r="C14">
        <v>30</v>
      </c>
      <c r="D14" s="1">
        <f>B14*0.02</f>
        <v>27002.304397106302</v>
      </c>
      <c r="E14" s="1"/>
      <c r="O14">
        <v>13</v>
      </c>
      <c r="P14">
        <v>0</v>
      </c>
      <c r="Q14" s="1">
        <f t="shared" si="0"/>
        <v>2203210.7010972039</v>
      </c>
      <c r="S14" s="4" t="s">
        <v>24</v>
      </c>
      <c r="T14" s="1">
        <f t="shared" si="3"/>
        <v>1350115.2198553151</v>
      </c>
      <c r="U14" s="1">
        <f t="shared" si="1"/>
        <v>30</v>
      </c>
      <c r="V14" s="1">
        <f t="shared" si="4"/>
        <v>5</v>
      </c>
      <c r="W14" s="1">
        <f t="shared" si="5"/>
        <v>225019.20330921916</v>
      </c>
      <c r="X14" s="1">
        <f t="shared" si="2"/>
        <v>27002.304397106302</v>
      </c>
    </row>
    <row r="15" spans="1:30" x14ac:dyDescent="0.35">
      <c r="O15">
        <v>14</v>
      </c>
      <c r="P15">
        <v>0</v>
      </c>
      <c r="Q15" s="1">
        <f t="shared" si="0"/>
        <v>2313371.2361520645</v>
      </c>
      <c r="S15" s="4" t="s">
        <v>32</v>
      </c>
      <c r="T15" s="1">
        <f>SUM(T4:T14)</f>
        <v>58115252.715781309</v>
      </c>
      <c r="W15" s="1">
        <f>SUM(W4:W14)</f>
        <v>11655080.643449057</v>
      </c>
      <c r="X15" s="1">
        <f>SUM(X4:X14)</f>
        <v>1226830.1585001377</v>
      </c>
    </row>
    <row r="16" spans="1:30" x14ac:dyDescent="0.35">
      <c r="O16">
        <v>15</v>
      </c>
      <c r="P16">
        <v>0</v>
      </c>
      <c r="Q16" s="1">
        <f t="shared" si="0"/>
        <v>2429039.7979596672</v>
      </c>
    </row>
    <row r="17" spans="14:17" x14ac:dyDescent="0.35">
      <c r="O17">
        <v>16</v>
      </c>
      <c r="P17">
        <v>0</v>
      </c>
      <c r="Q17" s="1">
        <f t="shared" si="0"/>
        <v>2550491.7878576512</v>
      </c>
    </row>
    <row r="18" spans="14:17" x14ac:dyDescent="0.35">
      <c r="O18">
        <v>17</v>
      </c>
      <c r="P18">
        <v>0</v>
      </c>
      <c r="Q18" s="1">
        <f t="shared" si="0"/>
        <v>2678016.3772505336</v>
      </c>
    </row>
    <row r="19" spans="14:17" x14ac:dyDescent="0.35">
      <c r="O19">
        <v>18</v>
      </c>
      <c r="P19">
        <v>0</v>
      </c>
      <c r="Q19" s="1">
        <f t="shared" si="0"/>
        <v>2811917.1961130607</v>
      </c>
    </row>
    <row r="20" spans="14:17" x14ac:dyDescent="0.35">
      <c r="O20">
        <v>19</v>
      </c>
      <c r="P20">
        <v>0</v>
      </c>
      <c r="Q20" s="1">
        <f t="shared" si="0"/>
        <v>2952513.0559187136</v>
      </c>
    </row>
    <row r="21" spans="14:17" x14ac:dyDescent="0.35">
      <c r="O21">
        <v>20</v>
      </c>
      <c r="P21">
        <v>0</v>
      </c>
      <c r="Q21" s="1">
        <f t="shared" si="0"/>
        <v>3100138.7087146491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3255145.6441503814</v>
      </c>
    </row>
    <row r="23" spans="14:17" x14ac:dyDescent="0.35">
      <c r="N23" t="s">
        <v>26</v>
      </c>
      <c r="O23">
        <v>22</v>
      </c>
      <c r="P23" s="1">
        <f>$B$10*(1+$AC$2)^(O23-1)</f>
        <v>15347430.216603339</v>
      </c>
      <c r="Q23" s="1">
        <f t="shared" si="0"/>
        <v>3417902.9263579007</v>
      </c>
    </row>
    <row r="24" spans="14:17" x14ac:dyDescent="0.35">
      <c r="O24">
        <v>23</v>
      </c>
      <c r="P24">
        <v>0</v>
      </c>
      <c r="Q24" s="1">
        <f t="shared" si="0"/>
        <v>3588798.0726757953</v>
      </c>
    </row>
    <row r="25" spans="14:17" x14ac:dyDescent="0.35">
      <c r="O25">
        <v>24</v>
      </c>
      <c r="P25">
        <v>0</v>
      </c>
      <c r="Q25" s="1">
        <f t="shared" si="0"/>
        <v>3768237.9763095859</v>
      </c>
    </row>
    <row r="26" spans="14:17" x14ac:dyDescent="0.35">
      <c r="O26">
        <v>25</v>
      </c>
      <c r="P26">
        <v>0</v>
      </c>
      <c r="Q26" s="1">
        <f t="shared" si="0"/>
        <v>3956649.8751250645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F99D-B8FF-424F-84B0-A360A1098E61}">
  <dimension ref="A1:AD26"/>
  <sheetViews>
    <sheetView topLeftCell="A4" workbookViewId="0">
      <selection activeCell="T17" sqref="T17"/>
    </sheetView>
  </sheetViews>
  <sheetFormatPr baseColWidth="10" defaultRowHeight="14.5" x14ac:dyDescent="0.35"/>
  <cols>
    <col min="20" max="20" width="12.453125" bestFit="1" customWidth="1"/>
  </cols>
  <sheetData>
    <row r="1" spans="1:30" x14ac:dyDescent="0.35">
      <c r="A1" s="4" t="s">
        <v>0</v>
      </c>
      <c r="B1" s="4" t="s">
        <v>3</v>
      </c>
      <c r="C1" s="4" t="s">
        <v>1</v>
      </c>
      <c r="D1" s="4" t="s">
        <v>5</v>
      </c>
      <c r="E1" s="4"/>
      <c r="F1" s="4" t="s">
        <v>7</v>
      </c>
      <c r="G1" s="4"/>
      <c r="H1" s="4"/>
      <c r="I1" s="4"/>
      <c r="J1" s="4" t="s">
        <v>11</v>
      </c>
      <c r="K1" s="4"/>
      <c r="L1" s="4"/>
      <c r="N1" s="4" t="s">
        <v>33</v>
      </c>
      <c r="O1" s="4" t="s">
        <v>27</v>
      </c>
      <c r="P1" s="4" t="s">
        <v>28</v>
      </c>
      <c r="Q1" s="4" t="s">
        <v>29</v>
      </c>
      <c r="R1" s="4"/>
      <c r="S1" s="4" t="s">
        <v>0</v>
      </c>
      <c r="T1" s="4" t="s">
        <v>3</v>
      </c>
      <c r="U1" s="4" t="s">
        <v>1</v>
      </c>
      <c r="V1" s="4" t="s">
        <v>30</v>
      </c>
      <c r="W1" s="4" t="s">
        <v>31</v>
      </c>
      <c r="X1" s="4" t="s">
        <v>5</v>
      </c>
      <c r="Y1" s="4" t="s">
        <v>36</v>
      </c>
      <c r="Z1" s="4" t="s">
        <v>38</v>
      </c>
      <c r="AA1" s="4" t="s">
        <v>37</v>
      </c>
      <c r="AB1" s="4"/>
      <c r="AC1" s="4" t="s">
        <v>34</v>
      </c>
      <c r="AD1" s="4" t="s">
        <v>35</v>
      </c>
    </row>
    <row r="2" spans="1:30" x14ac:dyDescent="0.35">
      <c r="F2" s="4" t="s">
        <v>8</v>
      </c>
      <c r="G2" s="5" t="s">
        <v>9</v>
      </c>
      <c r="H2">
        <v>65</v>
      </c>
      <c r="J2" s="9" t="s">
        <v>12</v>
      </c>
      <c r="K2" s="5" t="s">
        <v>14</v>
      </c>
      <c r="L2">
        <v>291332</v>
      </c>
      <c r="O2">
        <v>1</v>
      </c>
      <c r="P2" s="1">
        <f>T15</f>
        <v>1832263041.3543522</v>
      </c>
      <c r="Q2" s="1">
        <f>$X$15*(1+$AD$2)^(O2-1)</f>
        <v>41225374.301468916</v>
      </c>
      <c r="R2" s="1"/>
      <c r="AC2">
        <v>0.03</v>
      </c>
      <c r="AD2">
        <v>0.05</v>
      </c>
    </row>
    <row r="3" spans="1:30" x14ac:dyDescent="0.35">
      <c r="B3" s="5" t="s">
        <v>2</v>
      </c>
      <c r="C3" s="5" t="s">
        <v>4</v>
      </c>
      <c r="D3" s="5" t="s">
        <v>6</v>
      </c>
      <c r="F3" s="4" t="s">
        <v>17</v>
      </c>
      <c r="G3" s="5" t="s">
        <v>10</v>
      </c>
      <c r="H3">
        <v>0</v>
      </c>
      <c r="J3" s="9"/>
      <c r="K3" s="5" t="s">
        <v>10</v>
      </c>
      <c r="L3">
        <f>L2*5.17</f>
        <v>1506186.44</v>
      </c>
      <c r="O3">
        <v>2</v>
      </c>
      <c r="P3">
        <v>0</v>
      </c>
      <c r="Q3" s="1">
        <f t="shared" ref="Q3:Q26" si="0">$X$15*(1+$AD$2)^(O3-1)</f>
        <v>43286643.01654236</v>
      </c>
      <c r="T3" s="5" t="s">
        <v>2</v>
      </c>
      <c r="U3" s="5" t="s">
        <v>4</v>
      </c>
      <c r="V3" s="5" t="s">
        <v>4</v>
      </c>
      <c r="W3" s="5" t="s">
        <v>2</v>
      </c>
      <c r="X3" s="5" t="s">
        <v>6</v>
      </c>
    </row>
    <row r="4" spans="1:30" x14ac:dyDescent="0.35">
      <c r="A4" s="4" t="s">
        <v>15</v>
      </c>
      <c r="B4" s="1">
        <v>742855200</v>
      </c>
      <c r="C4">
        <v>25</v>
      </c>
      <c r="D4" s="1">
        <f>B4*0.028</f>
        <v>20799945.600000001</v>
      </c>
      <c r="E4" s="1"/>
      <c r="J4" s="4" t="s">
        <v>13</v>
      </c>
      <c r="K4" s="5" t="s">
        <v>10</v>
      </c>
      <c r="L4">
        <v>227206</v>
      </c>
      <c r="O4">
        <v>3</v>
      </c>
      <c r="P4">
        <v>0</v>
      </c>
      <c r="Q4" s="1">
        <f t="shared" si="0"/>
        <v>45450975.167369485</v>
      </c>
      <c r="S4" s="4" t="s">
        <v>15</v>
      </c>
      <c r="T4" s="1">
        <f>B4</f>
        <v>742855200</v>
      </c>
      <c r="U4" s="1">
        <f t="shared" ref="U4:U14" si="1">C4</f>
        <v>25</v>
      </c>
      <c r="V4" s="1">
        <f>IF(U4&gt;=25,U4-25,MOD(25,U4))</f>
        <v>0</v>
      </c>
      <c r="W4" s="1">
        <f>T4*(V4/U4)</f>
        <v>0</v>
      </c>
      <c r="X4" s="1">
        <f t="shared" ref="X4:X14" si="2">D4</f>
        <v>20799945.600000001</v>
      </c>
      <c r="Y4">
        <f>T4/AA4</f>
        <v>600</v>
      </c>
      <c r="Z4" t="s">
        <v>39</v>
      </c>
      <c r="AA4">
        <v>1238092</v>
      </c>
    </row>
    <row r="5" spans="1:30" x14ac:dyDescent="0.35">
      <c r="A5" s="4" t="s">
        <v>16</v>
      </c>
      <c r="B5" s="1">
        <v>364694200</v>
      </c>
      <c r="C5">
        <v>25</v>
      </c>
      <c r="D5" s="1">
        <f>B5*0.017</f>
        <v>6199801.4000000004</v>
      </c>
      <c r="E5" s="1"/>
      <c r="O5">
        <v>4</v>
      </c>
      <c r="P5">
        <v>0</v>
      </c>
      <c r="Q5" s="1">
        <f t="shared" si="0"/>
        <v>47723523.925737962</v>
      </c>
      <c r="S5" s="4" t="s">
        <v>16</v>
      </c>
      <c r="T5" s="1">
        <f t="shared" ref="T5:T14" si="3">B5</f>
        <v>364694200</v>
      </c>
      <c r="U5" s="1">
        <f t="shared" si="1"/>
        <v>25</v>
      </c>
      <c r="V5" s="1">
        <f t="shared" ref="V5:V14" si="4">IF(U5&gt;=25,U5-25,MOD(25,U5))</f>
        <v>0</v>
      </c>
      <c r="W5" s="1">
        <f t="shared" ref="W5:W14" si="5">T5*(V5/U5)</f>
        <v>0</v>
      </c>
      <c r="X5" s="1">
        <f t="shared" si="2"/>
        <v>6199801.4000000004</v>
      </c>
      <c r="Y5">
        <f>T5/AA5</f>
        <v>650</v>
      </c>
      <c r="Z5" t="s">
        <v>39</v>
      </c>
      <c r="AA5">
        <v>561068</v>
      </c>
    </row>
    <row r="6" spans="1:30" x14ac:dyDescent="0.35">
      <c r="A6" s="4" t="s">
        <v>18</v>
      </c>
      <c r="B6" s="1">
        <v>10800000</v>
      </c>
      <c r="C6">
        <v>40</v>
      </c>
      <c r="D6" s="1">
        <f>B6*0.007</f>
        <v>75600</v>
      </c>
      <c r="E6" s="1"/>
      <c r="O6">
        <v>5</v>
      </c>
      <c r="P6">
        <v>0</v>
      </c>
      <c r="Q6" s="1">
        <f t="shared" si="0"/>
        <v>50109700.122024849</v>
      </c>
      <c r="S6" s="4" t="s">
        <v>18</v>
      </c>
      <c r="T6" s="1">
        <f t="shared" si="3"/>
        <v>10800000</v>
      </c>
      <c r="U6" s="1">
        <f t="shared" si="1"/>
        <v>40</v>
      </c>
      <c r="V6" s="1">
        <f t="shared" si="4"/>
        <v>15</v>
      </c>
      <c r="W6" s="1">
        <f t="shared" si="5"/>
        <v>4050000</v>
      </c>
      <c r="X6" s="1">
        <f t="shared" si="2"/>
        <v>75600</v>
      </c>
    </row>
    <row r="7" spans="1:30" x14ac:dyDescent="0.35">
      <c r="A7" s="4" t="s">
        <v>19</v>
      </c>
      <c r="B7" s="1">
        <v>88709400</v>
      </c>
      <c r="C7">
        <v>40</v>
      </c>
      <c r="D7" s="1">
        <f>B7*0.02</f>
        <v>1774188</v>
      </c>
      <c r="E7" s="1"/>
      <c r="O7">
        <v>6</v>
      </c>
      <c r="P7">
        <v>0</v>
      </c>
      <c r="Q7" s="1">
        <f t="shared" si="0"/>
        <v>52615185.1281261</v>
      </c>
      <c r="S7" s="4" t="s">
        <v>19</v>
      </c>
      <c r="T7" s="1">
        <f t="shared" si="3"/>
        <v>88709400</v>
      </c>
      <c r="U7" s="1">
        <f t="shared" si="1"/>
        <v>40</v>
      </c>
      <c r="V7" s="1">
        <f t="shared" si="4"/>
        <v>15</v>
      </c>
      <c r="W7" s="1">
        <f t="shared" si="5"/>
        <v>33266025</v>
      </c>
      <c r="X7" s="1">
        <f t="shared" si="2"/>
        <v>1774188</v>
      </c>
    </row>
    <row r="8" spans="1:30" x14ac:dyDescent="0.35">
      <c r="A8" s="4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55245944.384532399</v>
      </c>
      <c r="S8" s="4" t="s">
        <v>20</v>
      </c>
      <c r="T8" s="1">
        <f t="shared" si="3"/>
        <v>0</v>
      </c>
      <c r="U8" s="1">
        <f t="shared" si="1"/>
        <v>20</v>
      </c>
      <c r="V8" s="1">
        <f t="shared" si="4"/>
        <v>5</v>
      </c>
      <c r="W8" s="1">
        <f>P22*(V8/U8)</f>
        <v>0</v>
      </c>
      <c r="X8" s="1">
        <f t="shared" si="2"/>
        <v>0</v>
      </c>
      <c r="Y8">
        <f>T8/AA8</f>
        <v>0</v>
      </c>
      <c r="Z8" t="s">
        <v>39</v>
      </c>
      <c r="AA8">
        <v>300000</v>
      </c>
    </row>
    <row r="9" spans="1:30" x14ac:dyDescent="0.35">
      <c r="A9" s="4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58008241.603759028</v>
      </c>
      <c r="S9" s="4" t="s">
        <v>25</v>
      </c>
      <c r="T9" s="1">
        <f t="shared" si="3"/>
        <v>108749999.99999999</v>
      </c>
      <c r="U9" s="1">
        <f t="shared" si="1"/>
        <v>25</v>
      </c>
      <c r="V9" s="1">
        <f t="shared" si="4"/>
        <v>0</v>
      </c>
      <c r="W9" s="1">
        <f t="shared" si="5"/>
        <v>0</v>
      </c>
      <c r="X9" s="1">
        <f t="shared" si="2"/>
        <v>2174999.9999999995</v>
      </c>
    </row>
    <row r="10" spans="1:30" x14ac:dyDescent="0.35">
      <c r="A10" s="4" t="s">
        <v>26</v>
      </c>
      <c r="B10" s="1">
        <f>0.71*375000000</f>
        <v>266250000</v>
      </c>
      <c r="C10">
        <v>10.45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60908653.683946975</v>
      </c>
      <c r="S10" s="4" t="s">
        <v>26</v>
      </c>
      <c r="T10" s="1">
        <f t="shared" si="3"/>
        <v>266250000</v>
      </c>
      <c r="U10" s="1">
        <f t="shared" si="1"/>
        <v>10.45</v>
      </c>
      <c r="V10" s="1">
        <f t="shared" si="4"/>
        <v>4.1000000000000014</v>
      </c>
      <c r="W10" s="1">
        <f>P23*(V10/U10)</f>
        <v>194329575.29592142</v>
      </c>
      <c r="X10" s="1">
        <f t="shared" si="2"/>
        <v>5325000</v>
      </c>
    </row>
    <row r="11" spans="1:30" x14ac:dyDescent="0.35">
      <c r="A11" s="4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63954086.368144326</v>
      </c>
      <c r="S11" s="4" t="s">
        <v>21</v>
      </c>
      <c r="T11" s="1">
        <f t="shared" si="3"/>
        <v>16728892.88928893</v>
      </c>
      <c r="U11" s="1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4" t="s">
        <v>22</v>
      </c>
      <c r="B12" s="1">
        <v>46282338.340390757</v>
      </c>
      <c r="C12">
        <v>30</v>
      </c>
      <c r="D12" s="1">
        <f>B12*0.01</f>
        <v>462823.38340390759</v>
      </c>
      <c r="E12" s="1"/>
      <c r="N12" t="s">
        <v>26</v>
      </c>
      <c r="O12">
        <v>11</v>
      </c>
      <c r="P12" s="1">
        <f>$B$10*(1+$AC$2)^(O12-1)</f>
        <v>357817736.00037241</v>
      </c>
      <c r="Q12" s="1">
        <f t="shared" si="0"/>
        <v>67151790.686551541</v>
      </c>
      <c r="S12" s="4" t="s">
        <v>22</v>
      </c>
      <c r="T12" s="1">
        <f t="shared" si="3"/>
        <v>46282338.340390757</v>
      </c>
      <c r="U12" s="1">
        <f t="shared" si="1"/>
        <v>30</v>
      </c>
      <c r="V12" s="1">
        <f t="shared" si="4"/>
        <v>5</v>
      </c>
      <c r="W12" s="1">
        <f t="shared" si="5"/>
        <v>7713723.0567317922</v>
      </c>
      <c r="X12" s="1">
        <f t="shared" si="2"/>
        <v>462823.38340390759</v>
      </c>
    </row>
    <row r="13" spans="1:30" x14ac:dyDescent="0.35">
      <c r="A13" s="4" t="s">
        <v>23</v>
      </c>
      <c r="B13" s="1">
        <v>126437825.2311835</v>
      </c>
      <c r="C13">
        <v>30</v>
      </c>
      <c r="D13" s="1">
        <f>B13*0.02</f>
        <v>2528756.5046236701</v>
      </c>
      <c r="E13" s="1"/>
      <c r="O13">
        <v>12</v>
      </c>
      <c r="P13">
        <v>0</v>
      </c>
      <c r="Q13" s="1">
        <f t="shared" si="0"/>
        <v>70509380.220879123</v>
      </c>
      <c r="S13" s="4" t="s">
        <v>23</v>
      </c>
      <c r="T13" s="1">
        <f t="shared" si="3"/>
        <v>126437825.2311835</v>
      </c>
      <c r="U13" s="1">
        <f t="shared" si="1"/>
        <v>30</v>
      </c>
      <c r="V13" s="1">
        <f t="shared" si="4"/>
        <v>5</v>
      </c>
      <c r="W13" s="1">
        <f t="shared" si="5"/>
        <v>21072970.871863917</v>
      </c>
      <c r="X13" s="1">
        <f t="shared" si="2"/>
        <v>2528756.5046236701</v>
      </c>
    </row>
    <row r="14" spans="1:30" x14ac:dyDescent="0.35">
      <c r="A14" s="4" t="s">
        <v>24</v>
      </c>
      <c r="B14" s="1">
        <v>60755184.893489167</v>
      </c>
      <c r="C14">
        <v>30</v>
      </c>
      <c r="D14" s="1">
        <f>B14*0.02</f>
        <v>1215103.6978697833</v>
      </c>
      <c r="E14" s="1"/>
      <c r="O14">
        <v>13</v>
      </c>
      <c r="P14">
        <v>0</v>
      </c>
      <c r="Q14" s="1">
        <f t="shared" si="0"/>
        <v>74034849.231923074</v>
      </c>
      <c r="S14" s="4" t="s">
        <v>24</v>
      </c>
      <c r="T14" s="1">
        <f t="shared" si="3"/>
        <v>60755184.893489167</v>
      </c>
      <c r="U14" s="1">
        <f t="shared" si="1"/>
        <v>30</v>
      </c>
      <c r="V14" s="1">
        <f t="shared" si="4"/>
        <v>5</v>
      </c>
      <c r="W14" s="1">
        <f t="shared" si="5"/>
        <v>10125864.148914861</v>
      </c>
      <c r="X14" s="1">
        <f t="shared" si="2"/>
        <v>1215103.6978697833</v>
      </c>
    </row>
    <row r="15" spans="1:30" x14ac:dyDescent="0.35">
      <c r="O15">
        <v>14</v>
      </c>
      <c r="P15">
        <v>0</v>
      </c>
      <c r="Q15" s="1">
        <f t="shared" si="0"/>
        <v>77736591.693519235</v>
      </c>
      <c r="S15" s="4" t="s">
        <v>32</v>
      </c>
      <c r="T15" s="1">
        <f>SUM(T4:T14)</f>
        <v>1832263041.3543522</v>
      </c>
      <c r="W15" s="1">
        <f>SUM(W4:W14)</f>
        <v>273346307.18831348</v>
      </c>
      <c r="X15" s="1">
        <f>SUM(X4:X14)</f>
        <v>41225374.301468916</v>
      </c>
    </row>
    <row r="16" spans="1:30" x14ac:dyDescent="0.35">
      <c r="O16">
        <v>15</v>
      </c>
      <c r="P16">
        <v>0</v>
      </c>
      <c r="Q16" s="1">
        <f t="shared" si="0"/>
        <v>81623421.278195173</v>
      </c>
    </row>
    <row r="17" spans="14:17" x14ac:dyDescent="0.35">
      <c r="O17">
        <v>16</v>
      </c>
      <c r="P17">
        <v>0</v>
      </c>
      <c r="Q17" s="1">
        <f t="shared" si="0"/>
        <v>85704592.342104971</v>
      </c>
    </row>
    <row r="18" spans="14:17" x14ac:dyDescent="0.35">
      <c r="O18">
        <v>17</v>
      </c>
      <c r="P18">
        <v>0</v>
      </c>
      <c r="Q18" s="1">
        <f t="shared" si="0"/>
        <v>89989821.959210202</v>
      </c>
    </row>
    <row r="19" spans="14:17" x14ac:dyDescent="0.35">
      <c r="O19">
        <v>18</v>
      </c>
      <c r="P19">
        <v>0</v>
      </c>
      <c r="Q19" s="1">
        <f t="shared" si="0"/>
        <v>94489313.057170734</v>
      </c>
    </row>
    <row r="20" spans="14:17" x14ac:dyDescent="0.35">
      <c r="O20">
        <v>19</v>
      </c>
      <c r="P20">
        <v>0</v>
      </c>
      <c r="Q20" s="1">
        <f t="shared" si="0"/>
        <v>99213778.710029259</v>
      </c>
    </row>
    <row r="21" spans="14:17" x14ac:dyDescent="0.35">
      <c r="O21">
        <v>20</v>
      </c>
      <c r="P21">
        <v>0</v>
      </c>
      <c r="Q21" s="1">
        <f t="shared" si="0"/>
        <v>104174467.64553073</v>
      </c>
    </row>
    <row r="22" spans="14:17" x14ac:dyDescent="0.35">
      <c r="N22" t="s">
        <v>20</v>
      </c>
      <c r="O22">
        <v>21</v>
      </c>
      <c r="P22" s="1">
        <f>B8</f>
        <v>0</v>
      </c>
      <c r="Q22" s="1">
        <f t="shared" si="0"/>
        <v>109383191.02780725</v>
      </c>
    </row>
    <row r="23" spans="14:17" x14ac:dyDescent="0.35">
      <c r="N23" t="s">
        <v>26</v>
      </c>
      <c r="O23">
        <v>22</v>
      </c>
      <c r="P23" s="1">
        <f>$B$10*(1+$AC$2)^(O23-1)</f>
        <v>495303429.71765316</v>
      </c>
      <c r="Q23" s="1">
        <f t="shared" si="0"/>
        <v>114852350.57919762</v>
      </c>
    </row>
    <row r="24" spans="14:17" x14ac:dyDescent="0.35">
      <c r="O24">
        <v>23</v>
      </c>
      <c r="P24">
        <v>0</v>
      </c>
      <c r="Q24" s="1">
        <f t="shared" si="0"/>
        <v>120594968.10815749</v>
      </c>
    </row>
    <row r="25" spans="14:17" x14ac:dyDescent="0.35">
      <c r="O25">
        <v>24</v>
      </c>
      <c r="P25">
        <v>0</v>
      </c>
      <c r="Q25" s="1">
        <f t="shared" si="0"/>
        <v>126624716.51356539</v>
      </c>
    </row>
    <row r="26" spans="14:17" x14ac:dyDescent="0.35">
      <c r="O26">
        <v>25</v>
      </c>
      <c r="P26">
        <v>0</v>
      </c>
      <c r="Q26" s="1">
        <f t="shared" si="0"/>
        <v>132955952.33924365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Turkana_Central_500_MW</vt:lpstr>
      <vt:lpstr>Turkana_Central_100_MW</vt:lpstr>
      <vt:lpstr>Turkana_Central_10_MW</vt:lpstr>
      <vt:lpstr>Turkana_South_500_MW</vt:lpstr>
      <vt:lpstr>Turkana_South_100_MW</vt:lpstr>
      <vt:lpstr>Turkana_South_100_MW_Grid_AUX</vt:lpstr>
      <vt:lpstr>Turkana_South_100_MW_Grid</vt:lpstr>
      <vt:lpstr>Turkana_South_10_MW</vt:lpstr>
      <vt:lpstr>Mombasa_500_MW</vt:lpstr>
      <vt:lpstr>Mombasa_100_MW</vt:lpstr>
      <vt:lpstr>Mombasa_10_MW</vt:lpstr>
      <vt:lpstr>Kisumu_500_MW</vt:lpstr>
      <vt:lpstr>Kisumu_100_MW</vt:lpstr>
      <vt:lpstr>Kisumu_10_MW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Fetköter, Johann</dc:creator>
  <cp:lastModifiedBy>Julian Reul</cp:lastModifiedBy>
  <dcterms:created xsi:type="dcterms:W3CDTF">2024-11-07T16:18:22Z</dcterms:created>
  <dcterms:modified xsi:type="dcterms:W3CDTF">2024-11-18T17:27:52Z</dcterms:modified>
</cp:coreProperties>
</file>