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2globaladvisory-my.sharepoint.com/personal/julian_reul_h2-global_org/Documents/Desktop/H2Global/1_Model/profin_package/deployment/kenya_white_paper/"/>
    </mc:Choice>
  </mc:AlternateContent>
  <xr:revisionPtr revIDLastSave="115" documentId="8_{46C28927-ECB4-4B08-A7A1-97F5B5E3444E}" xr6:coauthVersionLast="47" xr6:coauthVersionMax="47" xr10:uidLastSave="{7AED8CF1-5E39-48C8-8805-8EBEE3392F24}"/>
  <bookViews>
    <workbookView xWindow="-110" yWindow="-110" windowWidth="38620" windowHeight="21100" tabRatio="633" activeTab="3" xr2:uid="{223E9BD8-797F-42B6-908D-C7BFB733ACB0}"/>
  </bookViews>
  <sheets>
    <sheet name="Turkana_Central_500_MW" sheetId="1" r:id="rId1"/>
    <sheet name="Turkana_Central_100_MW" sheetId="3" r:id="rId2"/>
    <sheet name="Turkana_Central_10_MW" sheetId="4" r:id="rId3"/>
    <sheet name="Turkana_South_500_MW" sheetId="5" r:id="rId4"/>
    <sheet name="Turkana_South_100_MW" sheetId="6" r:id="rId5"/>
    <sheet name="Turkana_South_100_MW_Grid_AUX" sheetId="15" r:id="rId6"/>
    <sheet name="Turkana_South_100_MW_Grid" sheetId="16" r:id="rId7"/>
    <sheet name="Turkana_South_10_MW" sheetId="7" r:id="rId8"/>
    <sheet name="Kisumu_500_MW" sheetId="12" r:id="rId9"/>
    <sheet name="Kisumu_100_MW" sheetId="13" r:id="rId10"/>
    <sheet name="Kisumu_10_MW" sheetId="14" r:id="rId11"/>
    <sheet name="Mombasa_500_MW" sheetId="8" r:id="rId12"/>
    <sheet name="Mombasa_100_MW" sheetId="9" r:id="rId13"/>
    <sheet name="Mombasa_10_MW" sheetId="10" r:id="rId14"/>
  </sheets>
  <calcPr calcId="191029" iterate="1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10" l="1"/>
  <c r="P22" i="10"/>
  <c r="W8" i="10" s="1"/>
  <c r="X15" i="10"/>
  <c r="Q26" i="10" s="1"/>
  <c r="X14" i="10"/>
  <c r="U14" i="10"/>
  <c r="V14" i="10" s="1"/>
  <c r="T14" i="10"/>
  <c r="W14" i="10" s="1"/>
  <c r="X13" i="10"/>
  <c r="V13" i="10"/>
  <c r="U13" i="10"/>
  <c r="T13" i="10"/>
  <c r="W13" i="10" s="1"/>
  <c r="X12" i="10"/>
  <c r="V12" i="10"/>
  <c r="W12" i="10" s="1"/>
  <c r="U12" i="10"/>
  <c r="T12" i="10"/>
  <c r="P12" i="10"/>
  <c r="X11" i="10"/>
  <c r="U11" i="10"/>
  <c r="V11" i="10" s="1"/>
  <c r="W11" i="10" s="1"/>
  <c r="T11" i="10"/>
  <c r="X10" i="10"/>
  <c r="U10" i="10"/>
  <c r="V10" i="10" s="1"/>
  <c r="T10" i="10"/>
  <c r="X9" i="10"/>
  <c r="U9" i="10"/>
  <c r="V9" i="10" s="1"/>
  <c r="T9" i="10"/>
  <c r="W9" i="10" s="1"/>
  <c r="Y8" i="10"/>
  <c r="X8" i="10"/>
  <c r="V8" i="10"/>
  <c r="U8" i="10"/>
  <c r="T8" i="10"/>
  <c r="X7" i="10"/>
  <c r="V7" i="10"/>
  <c r="U7" i="10"/>
  <c r="T7" i="10"/>
  <c r="W7" i="10" s="1"/>
  <c r="X6" i="10"/>
  <c r="V6" i="10"/>
  <c r="U6" i="10"/>
  <c r="T6" i="10"/>
  <c r="W6" i="10" s="1"/>
  <c r="Y5" i="10"/>
  <c r="X5" i="10"/>
  <c r="U5" i="10"/>
  <c r="V5" i="10" s="1"/>
  <c r="T5" i="10"/>
  <c r="X4" i="10"/>
  <c r="U4" i="10"/>
  <c r="V4" i="10" s="1"/>
  <c r="T4" i="10"/>
  <c r="Y4" i="10" s="1"/>
  <c r="P23" i="9"/>
  <c r="P22" i="9"/>
  <c r="W8" i="9" s="1"/>
  <c r="T15" i="9"/>
  <c r="P2" i="9" s="1"/>
  <c r="X14" i="9"/>
  <c r="U14" i="9"/>
  <c r="V14" i="9" s="1"/>
  <c r="T14" i="9"/>
  <c r="X13" i="9"/>
  <c r="V13" i="9"/>
  <c r="U13" i="9"/>
  <c r="T13" i="9"/>
  <c r="W13" i="9" s="1"/>
  <c r="X12" i="9"/>
  <c r="V12" i="9"/>
  <c r="W12" i="9" s="1"/>
  <c r="U12" i="9"/>
  <c r="T12" i="9"/>
  <c r="P12" i="9"/>
  <c r="X11" i="9"/>
  <c r="U11" i="9"/>
  <c r="V11" i="9" s="1"/>
  <c r="W11" i="9" s="1"/>
  <c r="T11" i="9"/>
  <c r="X10" i="9"/>
  <c r="U10" i="9"/>
  <c r="V10" i="9" s="1"/>
  <c r="T10" i="9"/>
  <c r="X9" i="9"/>
  <c r="U9" i="9"/>
  <c r="V9" i="9" s="1"/>
  <c r="T9" i="9"/>
  <c r="W9" i="9" s="1"/>
  <c r="Y8" i="9"/>
  <c r="X8" i="9"/>
  <c r="X15" i="9" s="1"/>
  <c r="V8" i="9"/>
  <c r="U8" i="9"/>
  <c r="T8" i="9"/>
  <c r="X7" i="9"/>
  <c r="V7" i="9"/>
  <c r="W7" i="9" s="1"/>
  <c r="U7" i="9"/>
  <c r="T7" i="9"/>
  <c r="X6" i="9"/>
  <c r="U6" i="9"/>
  <c r="V6" i="9" s="1"/>
  <c r="T6" i="9"/>
  <c r="W6" i="9" s="1"/>
  <c r="X5" i="9"/>
  <c r="U5" i="9"/>
  <c r="V5" i="9" s="1"/>
  <c r="T5" i="9"/>
  <c r="Y5" i="9" s="1"/>
  <c r="X4" i="9"/>
  <c r="U4" i="9"/>
  <c r="V4" i="9" s="1"/>
  <c r="T4" i="9"/>
  <c r="Y4" i="9" s="1"/>
  <c r="P23" i="8"/>
  <c r="P22" i="8"/>
  <c r="W8" i="8" s="1"/>
  <c r="X14" i="8"/>
  <c r="V14" i="8"/>
  <c r="U14" i="8"/>
  <c r="T14" i="8"/>
  <c r="W14" i="8" s="1"/>
  <c r="X13" i="8"/>
  <c r="V13" i="8"/>
  <c r="U13" i="8"/>
  <c r="T13" i="8"/>
  <c r="W13" i="8" s="1"/>
  <c r="X12" i="8"/>
  <c r="V12" i="8"/>
  <c r="W12" i="8" s="1"/>
  <c r="U12" i="8"/>
  <c r="T12" i="8"/>
  <c r="P12" i="8"/>
  <c r="X11" i="8"/>
  <c r="U11" i="8"/>
  <c r="V11" i="8" s="1"/>
  <c r="W11" i="8" s="1"/>
  <c r="T11" i="8"/>
  <c r="X10" i="8"/>
  <c r="U10" i="8"/>
  <c r="V10" i="8" s="1"/>
  <c r="W10" i="8" s="1"/>
  <c r="T10" i="8"/>
  <c r="X9" i="8"/>
  <c r="U9" i="8"/>
  <c r="V9" i="8" s="1"/>
  <c r="W9" i="8" s="1"/>
  <c r="T9" i="8"/>
  <c r="Y8" i="8"/>
  <c r="X8" i="8"/>
  <c r="V8" i="8"/>
  <c r="U8" i="8"/>
  <c r="T8" i="8"/>
  <c r="X7" i="8"/>
  <c r="X15" i="8" s="1"/>
  <c r="V7" i="8"/>
  <c r="W7" i="8" s="1"/>
  <c r="U7" i="8"/>
  <c r="T7" i="8"/>
  <c r="X6" i="8"/>
  <c r="U6" i="8"/>
  <c r="V6" i="8" s="1"/>
  <c r="T6" i="8"/>
  <c r="T15" i="8" s="1"/>
  <c r="P2" i="8" s="1"/>
  <c r="X5" i="8"/>
  <c r="U5" i="8"/>
  <c r="V5" i="8" s="1"/>
  <c r="T5" i="8"/>
  <c r="Y5" i="8" s="1"/>
  <c r="X4" i="8"/>
  <c r="V4" i="8"/>
  <c r="U4" i="8"/>
  <c r="T4" i="8"/>
  <c r="Y4" i="8" s="1"/>
  <c r="P24" i="14"/>
  <c r="W10" i="14" s="1"/>
  <c r="P22" i="14"/>
  <c r="T15" i="14"/>
  <c r="P2" i="14" s="1"/>
  <c r="X14" i="14"/>
  <c r="V14" i="14"/>
  <c r="U14" i="14"/>
  <c r="T14" i="14"/>
  <c r="W14" i="14" s="1"/>
  <c r="X13" i="14"/>
  <c r="V13" i="14"/>
  <c r="U13" i="14"/>
  <c r="T13" i="14"/>
  <c r="W13" i="14" s="1"/>
  <c r="X12" i="14"/>
  <c r="V12" i="14"/>
  <c r="W12" i="14" s="1"/>
  <c r="U12" i="14"/>
  <c r="T12" i="14"/>
  <c r="X11" i="14"/>
  <c r="U11" i="14"/>
  <c r="V11" i="14" s="1"/>
  <c r="T11" i="14"/>
  <c r="X10" i="14"/>
  <c r="V10" i="14"/>
  <c r="U10" i="14"/>
  <c r="T10" i="14"/>
  <c r="X9" i="14"/>
  <c r="X15" i="14" s="1"/>
  <c r="V9" i="14"/>
  <c r="U9" i="14"/>
  <c r="T9" i="14"/>
  <c r="W9" i="14" s="1"/>
  <c r="Y8" i="14"/>
  <c r="X8" i="14"/>
  <c r="U8" i="14"/>
  <c r="V8" i="14" s="1"/>
  <c r="W8" i="14" s="1"/>
  <c r="T8" i="14"/>
  <c r="X7" i="14"/>
  <c r="U7" i="14"/>
  <c r="V7" i="14" s="1"/>
  <c r="W7" i="14" s="1"/>
  <c r="T7" i="14"/>
  <c r="X6" i="14"/>
  <c r="U6" i="14"/>
  <c r="V6" i="14" s="1"/>
  <c r="T6" i="14"/>
  <c r="W6" i="14" s="1"/>
  <c r="X5" i="14"/>
  <c r="V5" i="14"/>
  <c r="U5" i="14"/>
  <c r="T5" i="14"/>
  <c r="Y5" i="14" s="1"/>
  <c r="Y4" i="14"/>
  <c r="X4" i="14"/>
  <c r="U4" i="14"/>
  <c r="V4" i="14" s="1"/>
  <c r="W4" i="14" s="1"/>
  <c r="T4" i="14"/>
  <c r="P24" i="13"/>
  <c r="P22" i="13"/>
  <c r="X14" i="13"/>
  <c r="U14" i="13"/>
  <c r="V14" i="13" s="1"/>
  <c r="T14" i="13"/>
  <c r="W14" i="13" s="1"/>
  <c r="X13" i="13"/>
  <c r="W13" i="13"/>
  <c r="V13" i="13"/>
  <c r="U13" i="13"/>
  <c r="T13" i="13"/>
  <c r="X12" i="13"/>
  <c r="X15" i="13" s="1"/>
  <c r="V12" i="13"/>
  <c r="W12" i="13" s="1"/>
  <c r="U12" i="13"/>
  <c r="T12" i="13"/>
  <c r="X11" i="13"/>
  <c r="V11" i="13"/>
  <c r="U11" i="13"/>
  <c r="T11" i="13"/>
  <c r="W11" i="13" s="1"/>
  <c r="X10" i="13"/>
  <c r="U10" i="13"/>
  <c r="V10" i="13" s="1"/>
  <c r="W10" i="13" s="1"/>
  <c r="T10" i="13"/>
  <c r="X9" i="13"/>
  <c r="W9" i="13"/>
  <c r="V9" i="13"/>
  <c r="U9" i="13"/>
  <c r="T9" i="13"/>
  <c r="Y8" i="13"/>
  <c r="X8" i="13"/>
  <c r="W8" i="13"/>
  <c r="V8" i="13"/>
  <c r="U8" i="13"/>
  <c r="T8" i="13"/>
  <c r="X7" i="13"/>
  <c r="U7" i="13"/>
  <c r="V7" i="13" s="1"/>
  <c r="W7" i="13" s="1"/>
  <c r="T7" i="13"/>
  <c r="X6" i="13"/>
  <c r="U6" i="13"/>
  <c r="V6" i="13" s="1"/>
  <c r="T6" i="13"/>
  <c r="W6" i="13" s="1"/>
  <c r="X5" i="13"/>
  <c r="U5" i="13"/>
  <c r="V5" i="13" s="1"/>
  <c r="T5" i="13"/>
  <c r="Y5" i="13" s="1"/>
  <c r="Y4" i="13"/>
  <c r="X4" i="13"/>
  <c r="V4" i="13"/>
  <c r="U4" i="13"/>
  <c r="T4" i="13"/>
  <c r="W4" i="13" s="1"/>
  <c r="P24" i="12"/>
  <c r="P22" i="7"/>
  <c r="X14" i="7"/>
  <c r="U14" i="7"/>
  <c r="V14" i="7" s="1"/>
  <c r="T14" i="7"/>
  <c r="W14" i="7" s="1"/>
  <c r="X13" i="7"/>
  <c r="W13" i="7"/>
  <c r="V13" i="7"/>
  <c r="U13" i="7"/>
  <c r="T13" i="7"/>
  <c r="X12" i="7"/>
  <c r="U12" i="7"/>
  <c r="V12" i="7" s="1"/>
  <c r="W12" i="7" s="1"/>
  <c r="T12" i="7"/>
  <c r="P12" i="7"/>
  <c r="X11" i="7"/>
  <c r="U11" i="7"/>
  <c r="V11" i="7" s="1"/>
  <c r="T11" i="7"/>
  <c r="W11" i="7" s="1"/>
  <c r="X10" i="7"/>
  <c r="U10" i="7"/>
  <c r="V10" i="7" s="1"/>
  <c r="T10" i="7"/>
  <c r="X9" i="7"/>
  <c r="U9" i="7"/>
  <c r="V9" i="7" s="1"/>
  <c r="T9" i="7"/>
  <c r="W9" i="7" s="1"/>
  <c r="Y8" i="7"/>
  <c r="X8" i="7"/>
  <c r="V8" i="7"/>
  <c r="U8" i="7"/>
  <c r="T8" i="7"/>
  <c r="X7" i="7"/>
  <c r="U7" i="7"/>
  <c r="V7" i="7" s="1"/>
  <c r="T7" i="7"/>
  <c r="T15" i="7" s="1"/>
  <c r="P2" i="7" s="1"/>
  <c r="X6" i="7"/>
  <c r="U6" i="7"/>
  <c r="V6" i="7" s="1"/>
  <c r="T6" i="7"/>
  <c r="Y5" i="7"/>
  <c r="X5" i="7"/>
  <c r="U5" i="7"/>
  <c r="V5" i="7" s="1"/>
  <c r="T5" i="7"/>
  <c r="Y4" i="7"/>
  <c r="X4" i="7"/>
  <c r="X15" i="7" s="1"/>
  <c r="U4" i="7"/>
  <c r="V4" i="7" s="1"/>
  <c r="T4" i="7"/>
  <c r="W10" i="16"/>
  <c r="P22" i="16"/>
  <c r="X14" i="16"/>
  <c r="V14" i="16"/>
  <c r="U14" i="16"/>
  <c r="T14" i="16"/>
  <c r="W14" i="16" s="1"/>
  <c r="X13" i="16"/>
  <c r="V13" i="16"/>
  <c r="U13" i="16"/>
  <c r="T13" i="16"/>
  <c r="W13" i="16" s="1"/>
  <c r="X12" i="16"/>
  <c r="V12" i="16"/>
  <c r="U12" i="16"/>
  <c r="T12" i="16"/>
  <c r="W12" i="16" s="1"/>
  <c r="P12" i="16"/>
  <c r="X11" i="16"/>
  <c r="U11" i="16"/>
  <c r="V11" i="16" s="1"/>
  <c r="W11" i="16" s="1"/>
  <c r="T11" i="16"/>
  <c r="X10" i="16"/>
  <c r="U10" i="16"/>
  <c r="V10" i="16" s="1"/>
  <c r="T10" i="16"/>
  <c r="X9" i="16"/>
  <c r="W9" i="16"/>
  <c r="V9" i="16"/>
  <c r="U9" i="16"/>
  <c r="T9" i="16"/>
  <c r="Y8" i="16"/>
  <c r="X8" i="16"/>
  <c r="V8" i="16"/>
  <c r="U8" i="16"/>
  <c r="T8" i="16"/>
  <c r="X7" i="16"/>
  <c r="V7" i="16"/>
  <c r="U7" i="16"/>
  <c r="T7" i="16"/>
  <c r="W7" i="16" s="1"/>
  <c r="X6" i="16"/>
  <c r="V6" i="16"/>
  <c r="U6" i="16"/>
  <c r="T6" i="16"/>
  <c r="W6" i="16" s="1"/>
  <c r="Y5" i="16"/>
  <c r="X5" i="16"/>
  <c r="U5" i="16"/>
  <c r="V5" i="16" s="1"/>
  <c r="T5" i="16"/>
  <c r="W5" i="16" s="1"/>
  <c r="X4" i="16"/>
  <c r="X15" i="16" s="1"/>
  <c r="V4" i="16"/>
  <c r="U4" i="16"/>
  <c r="T4" i="16"/>
  <c r="Y4" i="16" s="1"/>
  <c r="P24" i="15"/>
  <c r="P22" i="15"/>
  <c r="X14" i="15"/>
  <c r="V14" i="15"/>
  <c r="U14" i="15"/>
  <c r="T14" i="15"/>
  <c r="W14" i="15" s="1"/>
  <c r="X13" i="15"/>
  <c r="U13" i="15"/>
  <c r="V13" i="15" s="1"/>
  <c r="T13" i="15"/>
  <c r="X12" i="15"/>
  <c r="V12" i="15"/>
  <c r="W12" i="15" s="1"/>
  <c r="U12" i="15"/>
  <c r="T12" i="15"/>
  <c r="P12" i="15"/>
  <c r="X11" i="15"/>
  <c r="U11" i="15"/>
  <c r="V11" i="15" s="1"/>
  <c r="W11" i="15" s="1"/>
  <c r="T11" i="15"/>
  <c r="X10" i="15"/>
  <c r="U10" i="15"/>
  <c r="V10" i="15" s="1"/>
  <c r="W10" i="15" s="1"/>
  <c r="T10" i="15"/>
  <c r="X9" i="15"/>
  <c r="U9" i="15"/>
  <c r="V9" i="15" s="1"/>
  <c r="W9" i="15" s="1"/>
  <c r="T9" i="15"/>
  <c r="Y8" i="15"/>
  <c r="X8" i="15"/>
  <c r="U8" i="15"/>
  <c r="V8" i="15" s="1"/>
  <c r="T8" i="15"/>
  <c r="X7" i="15"/>
  <c r="V7" i="15"/>
  <c r="W7" i="15" s="1"/>
  <c r="U7" i="15"/>
  <c r="T7" i="15"/>
  <c r="X6" i="15"/>
  <c r="U6" i="15"/>
  <c r="V6" i="15" s="1"/>
  <c r="T6" i="15"/>
  <c r="W6" i="15" s="1"/>
  <c r="X5" i="15"/>
  <c r="X15" i="15" s="1"/>
  <c r="U5" i="15"/>
  <c r="V5" i="15" s="1"/>
  <c r="T5" i="15"/>
  <c r="Y5" i="15" s="1"/>
  <c r="X4" i="15"/>
  <c r="V4" i="15"/>
  <c r="U4" i="15"/>
  <c r="T4" i="15"/>
  <c r="Y4" i="15" s="1"/>
  <c r="P23" i="6"/>
  <c r="P22" i="6"/>
  <c r="W8" i="6" s="1"/>
  <c r="X14" i="6"/>
  <c r="U14" i="6"/>
  <c r="V14" i="6" s="1"/>
  <c r="T14" i="6"/>
  <c r="X13" i="6"/>
  <c r="V13" i="6"/>
  <c r="U13" i="6"/>
  <c r="T13" i="6"/>
  <c r="W13" i="6" s="1"/>
  <c r="X12" i="6"/>
  <c r="V12" i="6"/>
  <c r="W12" i="6" s="1"/>
  <c r="U12" i="6"/>
  <c r="T12" i="6"/>
  <c r="P12" i="6"/>
  <c r="X11" i="6"/>
  <c r="U11" i="6"/>
  <c r="V11" i="6" s="1"/>
  <c r="W11" i="6" s="1"/>
  <c r="T11" i="6"/>
  <c r="X10" i="6"/>
  <c r="U10" i="6"/>
  <c r="V10" i="6" s="1"/>
  <c r="W10" i="6" s="1"/>
  <c r="T10" i="6"/>
  <c r="X9" i="6"/>
  <c r="U9" i="6"/>
  <c r="V9" i="6" s="1"/>
  <c r="W9" i="6" s="1"/>
  <c r="T9" i="6"/>
  <c r="Y8" i="6"/>
  <c r="X8" i="6"/>
  <c r="X15" i="6" s="1"/>
  <c r="V8" i="6"/>
  <c r="U8" i="6"/>
  <c r="T8" i="6"/>
  <c r="X7" i="6"/>
  <c r="V7" i="6"/>
  <c r="W7" i="6" s="1"/>
  <c r="U7" i="6"/>
  <c r="T7" i="6"/>
  <c r="X6" i="6"/>
  <c r="U6" i="6"/>
  <c r="V6" i="6" s="1"/>
  <c r="T6" i="6"/>
  <c r="T15" i="6" s="1"/>
  <c r="P2" i="6" s="1"/>
  <c r="X5" i="6"/>
  <c r="U5" i="6"/>
  <c r="V5" i="6" s="1"/>
  <c r="T5" i="6"/>
  <c r="Y5" i="6" s="1"/>
  <c r="X4" i="6"/>
  <c r="U4" i="6"/>
  <c r="V4" i="6" s="1"/>
  <c r="T4" i="6"/>
  <c r="Y4" i="6" s="1"/>
  <c r="P22" i="5"/>
  <c r="U14" i="5"/>
  <c r="V14" i="5" s="1"/>
  <c r="T14" i="5"/>
  <c r="U13" i="5"/>
  <c r="V13" i="5" s="1"/>
  <c r="T13" i="5"/>
  <c r="U12" i="5"/>
  <c r="V12" i="5" s="1"/>
  <c r="T12" i="5"/>
  <c r="U11" i="5"/>
  <c r="V11" i="5" s="1"/>
  <c r="T11" i="5"/>
  <c r="U10" i="5"/>
  <c r="V10" i="5" s="1"/>
  <c r="U9" i="5"/>
  <c r="V9" i="5" s="1"/>
  <c r="U8" i="5"/>
  <c r="V8" i="5" s="1"/>
  <c r="T8" i="5"/>
  <c r="Y8" i="5" s="1"/>
  <c r="U7" i="5"/>
  <c r="V7" i="5" s="1"/>
  <c r="T7" i="5"/>
  <c r="U6" i="5"/>
  <c r="V6" i="5" s="1"/>
  <c r="T6" i="5"/>
  <c r="U5" i="5"/>
  <c r="V5" i="5" s="1"/>
  <c r="T5" i="5"/>
  <c r="Y5" i="5" s="1"/>
  <c r="U4" i="5"/>
  <c r="V4" i="5" s="1"/>
  <c r="T4" i="5"/>
  <c r="Y4" i="5" s="1"/>
  <c r="P24" i="4"/>
  <c r="P22" i="4"/>
  <c r="W8" i="4" s="1"/>
  <c r="X14" i="4"/>
  <c r="U14" i="4"/>
  <c r="V14" i="4" s="1"/>
  <c r="T14" i="4"/>
  <c r="X13" i="4"/>
  <c r="V13" i="4"/>
  <c r="U13" i="4"/>
  <c r="T13" i="4"/>
  <c r="W13" i="4" s="1"/>
  <c r="X12" i="4"/>
  <c r="V12" i="4"/>
  <c r="W12" i="4" s="1"/>
  <c r="U12" i="4"/>
  <c r="T12" i="4"/>
  <c r="P12" i="4"/>
  <c r="X11" i="4"/>
  <c r="U11" i="4"/>
  <c r="V11" i="4" s="1"/>
  <c r="W11" i="4" s="1"/>
  <c r="T11" i="4"/>
  <c r="X10" i="4"/>
  <c r="U10" i="4"/>
  <c r="V10" i="4" s="1"/>
  <c r="T10" i="4"/>
  <c r="X9" i="4"/>
  <c r="U9" i="4"/>
  <c r="V9" i="4" s="1"/>
  <c r="T9" i="4"/>
  <c r="W9" i="4" s="1"/>
  <c r="Y8" i="4"/>
  <c r="X8" i="4"/>
  <c r="X15" i="4" s="1"/>
  <c r="V8" i="4"/>
  <c r="U8" i="4"/>
  <c r="T8" i="4"/>
  <c r="X7" i="4"/>
  <c r="V7" i="4"/>
  <c r="W7" i="4" s="1"/>
  <c r="U7" i="4"/>
  <c r="T7" i="4"/>
  <c r="X6" i="4"/>
  <c r="U6" i="4"/>
  <c r="V6" i="4" s="1"/>
  <c r="T6" i="4"/>
  <c r="W6" i="4" s="1"/>
  <c r="X5" i="4"/>
  <c r="U5" i="4"/>
  <c r="V5" i="4" s="1"/>
  <c r="T5" i="4"/>
  <c r="W5" i="4" s="1"/>
  <c r="X4" i="4"/>
  <c r="U4" i="4"/>
  <c r="V4" i="4" s="1"/>
  <c r="T4" i="4"/>
  <c r="Y4" i="4" s="1"/>
  <c r="W10" i="3"/>
  <c r="P24" i="3"/>
  <c r="W10" i="12"/>
  <c r="P22" i="12"/>
  <c r="X14" i="12"/>
  <c r="U14" i="12"/>
  <c r="V14" i="12" s="1"/>
  <c r="T14" i="12"/>
  <c r="W14" i="12" s="1"/>
  <c r="X13" i="12"/>
  <c r="V13" i="12"/>
  <c r="U13" i="12"/>
  <c r="T13" i="12"/>
  <c r="W13" i="12" s="1"/>
  <c r="X12" i="12"/>
  <c r="W12" i="12"/>
  <c r="V12" i="12"/>
  <c r="U12" i="12"/>
  <c r="T12" i="12"/>
  <c r="X11" i="12"/>
  <c r="V11" i="12"/>
  <c r="W11" i="12" s="1"/>
  <c r="U11" i="12"/>
  <c r="T11" i="12"/>
  <c r="X10" i="12"/>
  <c r="V10" i="12"/>
  <c r="U10" i="12"/>
  <c r="T10" i="12"/>
  <c r="X9" i="12"/>
  <c r="U9" i="12"/>
  <c r="V9" i="12" s="1"/>
  <c r="T9" i="12"/>
  <c r="Y8" i="12"/>
  <c r="X8" i="12"/>
  <c r="V8" i="12"/>
  <c r="W8" i="12" s="1"/>
  <c r="U8" i="12"/>
  <c r="T8" i="12"/>
  <c r="X7" i="12"/>
  <c r="W7" i="12"/>
  <c r="V7" i="12"/>
  <c r="U7" i="12"/>
  <c r="T7" i="12"/>
  <c r="X6" i="12"/>
  <c r="U6" i="12"/>
  <c r="V6" i="12" s="1"/>
  <c r="W6" i="12" s="1"/>
  <c r="T6" i="12"/>
  <c r="X5" i="12"/>
  <c r="V5" i="12"/>
  <c r="U5" i="12"/>
  <c r="T5" i="12"/>
  <c r="W5" i="12" s="1"/>
  <c r="X4" i="12"/>
  <c r="X15" i="12" s="1"/>
  <c r="U4" i="12"/>
  <c r="V4" i="12" s="1"/>
  <c r="T4" i="12"/>
  <c r="T15" i="12" s="1"/>
  <c r="P2" i="12" s="1"/>
  <c r="P22" i="3"/>
  <c r="W8" i="3" s="1"/>
  <c r="Q21" i="3"/>
  <c r="X15" i="3"/>
  <c r="Q26" i="3" s="1"/>
  <c r="X14" i="3"/>
  <c r="U14" i="3"/>
  <c r="V14" i="3" s="1"/>
  <c r="T14" i="3"/>
  <c r="W14" i="3" s="1"/>
  <c r="Q14" i="3"/>
  <c r="X13" i="3"/>
  <c r="V13" i="3"/>
  <c r="U13" i="3"/>
  <c r="T13" i="3"/>
  <c r="W13" i="3" s="1"/>
  <c r="X12" i="3"/>
  <c r="W12" i="3"/>
  <c r="V12" i="3"/>
  <c r="U12" i="3"/>
  <c r="T12" i="3"/>
  <c r="P12" i="3"/>
  <c r="X11" i="3"/>
  <c r="V11" i="3"/>
  <c r="W11" i="3" s="1"/>
  <c r="U11" i="3"/>
  <c r="T11" i="3"/>
  <c r="X10" i="3"/>
  <c r="U10" i="3"/>
  <c r="V10" i="3" s="1"/>
  <c r="T10" i="3"/>
  <c r="X9" i="3"/>
  <c r="V9" i="3"/>
  <c r="U9" i="3"/>
  <c r="T9" i="3"/>
  <c r="W9" i="3" s="1"/>
  <c r="Y8" i="3"/>
  <c r="X8" i="3"/>
  <c r="V8" i="3"/>
  <c r="U8" i="3"/>
  <c r="T8" i="3"/>
  <c r="X7" i="3"/>
  <c r="W7" i="3"/>
  <c r="V7" i="3"/>
  <c r="U7" i="3"/>
  <c r="T7" i="3"/>
  <c r="X6" i="3"/>
  <c r="U6" i="3"/>
  <c r="V6" i="3" s="1"/>
  <c r="W6" i="3" s="1"/>
  <c r="T6" i="3"/>
  <c r="X5" i="3"/>
  <c r="U5" i="3"/>
  <c r="V5" i="3" s="1"/>
  <c r="T5" i="3"/>
  <c r="Y5" i="3" s="1"/>
  <c r="X4" i="3"/>
  <c r="U4" i="3"/>
  <c r="V4" i="3" s="1"/>
  <c r="T4" i="3"/>
  <c r="T15" i="3" s="1"/>
  <c r="P2" i="3" s="1"/>
  <c r="Q4" i="3"/>
  <c r="W10" i="1"/>
  <c r="W9" i="1"/>
  <c r="W8" i="1"/>
  <c r="P23" i="1"/>
  <c r="P22" i="1"/>
  <c r="P12" i="1"/>
  <c r="V5" i="1"/>
  <c r="V6" i="1"/>
  <c r="V7" i="1"/>
  <c r="V8" i="1"/>
  <c r="V9" i="1"/>
  <c r="V10" i="1"/>
  <c r="V11" i="1"/>
  <c r="V12" i="1"/>
  <c r="W12" i="1" s="1"/>
  <c r="V13" i="1"/>
  <c r="V14" i="1"/>
  <c r="V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X14" i="1"/>
  <c r="U14" i="1"/>
  <c r="T14" i="1"/>
  <c r="X13" i="1"/>
  <c r="U13" i="1"/>
  <c r="T13" i="1"/>
  <c r="W13" i="1" s="1"/>
  <c r="X12" i="1"/>
  <c r="U12" i="1"/>
  <c r="T12" i="1"/>
  <c r="X11" i="1"/>
  <c r="U11" i="1"/>
  <c r="W11" i="1" s="1"/>
  <c r="T11" i="1"/>
  <c r="X10" i="1"/>
  <c r="U10" i="1"/>
  <c r="T10" i="1"/>
  <c r="X9" i="1"/>
  <c r="U9" i="1"/>
  <c r="T9" i="1"/>
  <c r="Y8" i="1"/>
  <c r="X8" i="1"/>
  <c r="X15" i="1" s="1"/>
  <c r="U8" i="1"/>
  <c r="T8" i="1"/>
  <c r="X7" i="1"/>
  <c r="W7" i="1"/>
  <c r="U7" i="1"/>
  <c r="T7" i="1"/>
  <c r="X6" i="1"/>
  <c r="U6" i="1"/>
  <c r="T6" i="1"/>
  <c r="X5" i="1"/>
  <c r="U5" i="1"/>
  <c r="T5" i="1"/>
  <c r="Y5" i="1" s="1"/>
  <c r="X4" i="1"/>
  <c r="U4" i="1"/>
  <c r="T4" i="1"/>
  <c r="Y4" i="1" s="1"/>
  <c r="B10" i="10"/>
  <c r="B9" i="10"/>
  <c r="B10" i="14"/>
  <c r="B9" i="14"/>
  <c r="B10" i="4"/>
  <c r="B9" i="4"/>
  <c r="B10" i="5"/>
  <c r="P23" i="5" s="1"/>
  <c r="B9" i="5"/>
  <c r="T9" i="5" s="1"/>
  <c r="B10" i="16"/>
  <c r="B9" i="16"/>
  <c r="B9" i="15"/>
  <c r="B10" i="7"/>
  <c r="B9" i="7"/>
  <c r="W7" i="5" l="1"/>
  <c r="W12" i="5"/>
  <c r="W11" i="5"/>
  <c r="P12" i="5"/>
  <c r="W9" i="5"/>
  <c r="W10" i="5"/>
  <c r="W8" i="5"/>
  <c r="W14" i="5"/>
  <c r="T10" i="5"/>
  <c r="T15" i="5" s="1"/>
  <c r="P2" i="5" s="1"/>
  <c r="W13" i="5"/>
  <c r="W5" i="10"/>
  <c r="W10" i="10"/>
  <c r="Q3" i="10"/>
  <c r="Q5" i="10"/>
  <c r="Q10" i="10"/>
  <c r="T15" i="10"/>
  <c r="P2" i="10" s="1"/>
  <c r="Q21" i="10"/>
  <c r="Q4" i="10"/>
  <c r="Q14" i="10"/>
  <c r="Q16" i="10"/>
  <c r="Q17" i="10"/>
  <c r="Q23" i="10"/>
  <c r="Q9" i="10"/>
  <c r="W4" i="10"/>
  <c r="W15" i="10" s="1"/>
  <c r="Q7" i="10"/>
  <c r="Q12" i="10"/>
  <c r="Q18" i="10"/>
  <c r="Q24" i="10"/>
  <c r="Q8" i="10"/>
  <c r="Q11" i="10"/>
  <c r="Q19" i="10"/>
  <c r="Q25" i="10"/>
  <c r="Q22" i="10"/>
  <c r="Q13" i="10"/>
  <c r="Q2" i="10"/>
  <c r="Q6" i="10"/>
  <c r="Q15" i="10"/>
  <c r="Q20" i="10"/>
  <c r="W14" i="9"/>
  <c r="Q26" i="9"/>
  <c r="Q20" i="9"/>
  <c r="Q15" i="9"/>
  <c r="Q6" i="9"/>
  <c r="Q2" i="9"/>
  <c r="Q13" i="9"/>
  <c r="Q8" i="9"/>
  <c r="Q25" i="9"/>
  <c r="Q19" i="9"/>
  <c r="Q11" i="9"/>
  <c r="Q16" i="9"/>
  <c r="Q22" i="9"/>
  <c r="Q9" i="9"/>
  <c r="Q24" i="9"/>
  <c r="Q18" i="9"/>
  <c r="Q12" i="9"/>
  <c r="Q7" i="9"/>
  <c r="Q14" i="9"/>
  <c r="Q4" i="9"/>
  <c r="Q21" i="9"/>
  <c r="Q10" i="9"/>
  <c r="Q5" i="9"/>
  <c r="Q3" i="9"/>
  <c r="Q23" i="9"/>
  <c r="Q17" i="9"/>
  <c r="W10" i="9"/>
  <c r="W5" i="9"/>
  <c r="W4" i="9"/>
  <c r="Q26" i="8"/>
  <c r="Q20" i="8"/>
  <c r="Q15" i="8"/>
  <c r="Q6" i="8"/>
  <c r="Q2" i="8"/>
  <c r="Q4" i="8"/>
  <c r="Q10" i="8"/>
  <c r="Q25" i="8"/>
  <c r="Q19" i="8"/>
  <c r="Q11" i="8"/>
  <c r="Q17" i="8"/>
  <c r="Q9" i="8"/>
  <c r="Q14" i="8"/>
  <c r="Q5" i="8"/>
  <c r="Q24" i="8"/>
  <c r="Q18" i="8"/>
  <c r="Q12" i="8"/>
  <c r="Q7" i="8"/>
  <c r="Q23" i="8"/>
  <c r="Q16" i="8"/>
  <c r="Q13" i="8"/>
  <c r="Q8" i="8"/>
  <c r="Q22" i="8"/>
  <c r="Q3" i="8"/>
  <c r="Q21" i="8"/>
  <c r="W6" i="8"/>
  <c r="W5" i="8"/>
  <c r="W4" i="8"/>
  <c r="W15" i="8" s="1"/>
  <c r="W11" i="14"/>
  <c r="Q26" i="14"/>
  <c r="Q20" i="14"/>
  <c r="Q15" i="14"/>
  <c r="Q11" i="14"/>
  <c r="Q25" i="14"/>
  <c r="Q19" i="14"/>
  <c r="Q7" i="14"/>
  <c r="Q14" i="14"/>
  <c r="Q10" i="14"/>
  <c r="Q3" i="14"/>
  <c r="Q2" i="14"/>
  <c r="Q24" i="14"/>
  <c r="Q18" i="14"/>
  <c r="Q12" i="14"/>
  <c r="Q17" i="14"/>
  <c r="Q8" i="14"/>
  <c r="Q6" i="14"/>
  <c r="Q23" i="14"/>
  <c r="Q16" i="14"/>
  <c r="Q13" i="14"/>
  <c r="Q9" i="14"/>
  <c r="Q22" i="14"/>
  <c r="Q4" i="14"/>
  <c r="Q5" i="14"/>
  <c r="Q21" i="14"/>
  <c r="W5" i="14"/>
  <c r="W15" i="14" s="1"/>
  <c r="Q26" i="13"/>
  <c r="Q20" i="13"/>
  <c r="Q15" i="13"/>
  <c r="Q11" i="13"/>
  <c r="Q16" i="13"/>
  <c r="Q25" i="13"/>
  <c r="Q19" i="13"/>
  <c r="Q7" i="13"/>
  <c r="Q13" i="13"/>
  <c r="Q24" i="13"/>
  <c r="Q18" i="13"/>
  <c r="Q12" i="13"/>
  <c r="Q23" i="13"/>
  <c r="Q9" i="13"/>
  <c r="Q4" i="13"/>
  <c r="Q17" i="13"/>
  <c r="Q8" i="13"/>
  <c r="Q22" i="13"/>
  <c r="Q14" i="13"/>
  <c r="Q10" i="13"/>
  <c r="Q5" i="13"/>
  <c r="Q3" i="13"/>
  <c r="Q21" i="13"/>
  <c r="Q6" i="13"/>
  <c r="Q2" i="13"/>
  <c r="T15" i="13"/>
  <c r="P2" i="13" s="1"/>
  <c r="W5" i="13"/>
  <c r="W15" i="13" s="1"/>
  <c r="Q26" i="7"/>
  <c r="Q19" i="7"/>
  <c r="Q11" i="7"/>
  <c r="Q7" i="7"/>
  <c r="Q23" i="7"/>
  <c r="Q13" i="7"/>
  <c r="Q5" i="7"/>
  <c r="Q3" i="7"/>
  <c r="Q15" i="7"/>
  <c r="Q25" i="7"/>
  <c r="Q18" i="7"/>
  <c r="Q12" i="7"/>
  <c r="Q16" i="7"/>
  <c r="Q22" i="7"/>
  <c r="Q9" i="7"/>
  <c r="Q4" i="7"/>
  <c r="Q24" i="7"/>
  <c r="Q17" i="7"/>
  <c r="Q8" i="7"/>
  <c r="Q20" i="7"/>
  <c r="Q14" i="7"/>
  <c r="Q21" i="7"/>
  <c r="Q10" i="7"/>
  <c r="Q6" i="7"/>
  <c r="Q2" i="7"/>
  <c r="W5" i="7"/>
  <c r="W4" i="7"/>
  <c r="W6" i="7"/>
  <c r="W10" i="7"/>
  <c r="W7" i="7"/>
  <c r="Q26" i="16"/>
  <c r="Q20" i="16"/>
  <c r="Q15" i="16"/>
  <c r="Q6" i="16"/>
  <c r="Q2" i="16"/>
  <c r="Q19" i="16"/>
  <c r="Q11" i="16"/>
  <c r="Q25" i="16"/>
  <c r="Q24" i="16"/>
  <c r="Q18" i="16"/>
  <c r="Q12" i="16"/>
  <c r="Q7" i="16"/>
  <c r="Q17" i="16"/>
  <c r="Q23" i="16"/>
  <c r="Q16" i="16"/>
  <c r="Q13" i="16"/>
  <c r="Q8" i="16"/>
  <c r="Q22" i="16"/>
  <c r="Q9" i="16"/>
  <c r="Q14" i="16"/>
  <c r="Q4" i="16"/>
  <c r="Q21" i="16"/>
  <c r="Q10" i="16"/>
  <c r="Q5" i="16"/>
  <c r="Q3" i="16"/>
  <c r="T15" i="16"/>
  <c r="P2" i="16" s="1"/>
  <c r="W4" i="16"/>
  <c r="W15" i="16" s="1"/>
  <c r="Q26" i="15"/>
  <c r="Q20" i="15"/>
  <c r="Q15" i="15"/>
  <c r="Q6" i="15"/>
  <c r="Q2" i="15"/>
  <c r="Q25" i="15"/>
  <c r="Q19" i="15"/>
  <c r="Q11" i="15"/>
  <c r="Q21" i="15"/>
  <c r="Q3" i="15"/>
  <c r="Q24" i="15"/>
  <c r="Q18" i="15"/>
  <c r="Q12" i="15"/>
  <c r="Q7" i="15"/>
  <c r="Q5" i="15"/>
  <c r="Q17" i="15"/>
  <c r="Q10" i="15"/>
  <c r="Q23" i="15"/>
  <c r="Q16" i="15"/>
  <c r="Q13" i="15"/>
  <c r="Q8" i="15"/>
  <c r="Q22" i="15"/>
  <c r="Q9" i="15"/>
  <c r="Q14" i="15"/>
  <c r="Q4" i="15"/>
  <c r="W8" i="15"/>
  <c r="W13" i="15"/>
  <c r="T15" i="15"/>
  <c r="P2" i="15" s="1"/>
  <c r="W5" i="15"/>
  <c r="W4" i="15"/>
  <c r="W14" i="6"/>
  <c r="Q26" i="6"/>
  <c r="Q20" i="6"/>
  <c r="Q15" i="6"/>
  <c r="Q6" i="6"/>
  <c r="Q2" i="6"/>
  <c r="Q25" i="6"/>
  <c r="Q19" i="6"/>
  <c r="Q11" i="6"/>
  <c r="Q9" i="6"/>
  <c r="Q14" i="6"/>
  <c r="Q3" i="6"/>
  <c r="Q24" i="6"/>
  <c r="Q18" i="6"/>
  <c r="Q12" i="6"/>
  <c r="Q7" i="6"/>
  <c r="Q10" i="6"/>
  <c r="Q23" i="6"/>
  <c r="Q17" i="6"/>
  <c r="Q16" i="6"/>
  <c r="Q13" i="6"/>
  <c r="Q8" i="6"/>
  <c r="Q22" i="6"/>
  <c r="Q4" i="6"/>
  <c r="Q21" i="6"/>
  <c r="Q5" i="6"/>
  <c r="W6" i="6"/>
  <c r="W5" i="6"/>
  <c r="W4" i="6"/>
  <c r="W15" i="6" s="1"/>
  <c r="W6" i="5"/>
  <c r="W5" i="5"/>
  <c r="W4" i="5"/>
  <c r="W14" i="4"/>
  <c r="Q26" i="4"/>
  <c r="Q20" i="4"/>
  <c r="Q15" i="4"/>
  <c r="Q6" i="4"/>
  <c r="Q2" i="4"/>
  <c r="Q16" i="4"/>
  <c r="Q13" i="4"/>
  <c r="Q8" i="4"/>
  <c r="Q4" i="4"/>
  <c r="Q21" i="4"/>
  <c r="Q25" i="4"/>
  <c r="Q19" i="4"/>
  <c r="Q11" i="4"/>
  <c r="Q23" i="4"/>
  <c r="Q22" i="4"/>
  <c r="Q10" i="4"/>
  <c r="Q5" i="4"/>
  <c r="Q24" i="4"/>
  <c r="Q18" i="4"/>
  <c r="Q12" i="4"/>
  <c r="Q7" i="4"/>
  <c r="Q9" i="4"/>
  <c r="Q17" i="4"/>
  <c r="Q14" i="4"/>
  <c r="Q3" i="4"/>
  <c r="W10" i="4"/>
  <c r="W4" i="4"/>
  <c r="W15" i="4" s="1"/>
  <c r="T15" i="4"/>
  <c r="P2" i="4" s="1"/>
  <c r="Y5" i="4"/>
  <c r="W9" i="12"/>
  <c r="Q26" i="12"/>
  <c r="Q10" i="12"/>
  <c r="Q5" i="12"/>
  <c r="Q3" i="12"/>
  <c r="Q16" i="12"/>
  <c r="Q25" i="12"/>
  <c r="Q20" i="12"/>
  <c r="Q15" i="12"/>
  <c r="Q6" i="12"/>
  <c r="Q2" i="12"/>
  <c r="Q24" i="12"/>
  <c r="Q19" i="12"/>
  <c r="Q11" i="12"/>
  <c r="Q17" i="12"/>
  <c r="Q22" i="12"/>
  <c r="Q8" i="12"/>
  <c r="Q23" i="12"/>
  <c r="Q18" i="12"/>
  <c r="Q12" i="12"/>
  <c r="Q7" i="12"/>
  <c r="Q13" i="12"/>
  <c r="Q9" i="12"/>
  <c r="Q21" i="12"/>
  <c r="Q14" i="12"/>
  <c r="Q4" i="12"/>
  <c r="W4" i="12"/>
  <c r="W15" i="12" s="1"/>
  <c r="Y5" i="12"/>
  <c r="Y4" i="12"/>
  <c r="Q9" i="3"/>
  <c r="Q22" i="3"/>
  <c r="W5" i="3"/>
  <c r="Q17" i="3"/>
  <c r="Q8" i="3"/>
  <c r="Q16" i="3"/>
  <c r="W4" i="3"/>
  <c r="W15" i="3" s="1"/>
  <c r="Q7" i="3"/>
  <c r="Q12" i="3"/>
  <c r="Q18" i="3"/>
  <c r="Q23" i="3"/>
  <c r="Q13" i="3"/>
  <c r="Q11" i="3"/>
  <c r="Q19" i="3"/>
  <c r="Q24" i="3"/>
  <c r="Q2" i="3"/>
  <c r="Y4" i="3"/>
  <c r="Q6" i="3"/>
  <c r="Q15" i="3"/>
  <c r="Q20" i="3"/>
  <c r="Q25" i="3"/>
  <c r="Q3" i="3"/>
  <c r="Q5" i="3"/>
  <c r="Q10" i="3"/>
  <c r="W6" i="1"/>
  <c r="W14" i="1"/>
  <c r="T15" i="1"/>
  <c r="P2" i="1" s="1"/>
  <c r="W5" i="1"/>
  <c r="W4" i="1"/>
  <c r="D14" i="16"/>
  <c r="D13" i="16"/>
  <c r="D12" i="16"/>
  <c r="D11" i="16"/>
  <c r="D10" i="16"/>
  <c r="D9" i="16"/>
  <c r="D8" i="16"/>
  <c r="D7" i="16"/>
  <c r="D6" i="16"/>
  <c r="D5" i="16"/>
  <c r="D4" i="16"/>
  <c r="L3" i="16"/>
  <c r="D14" i="15"/>
  <c r="D13" i="15"/>
  <c r="D12" i="15"/>
  <c r="D11" i="15"/>
  <c r="D10" i="15"/>
  <c r="B10" i="15"/>
  <c r="D9" i="15"/>
  <c r="D8" i="15"/>
  <c r="D7" i="15"/>
  <c r="D6" i="15"/>
  <c r="D5" i="15"/>
  <c r="D4" i="15"/>
  <c r="L3" i="15"/>
  <c r="D14" i="14"/>
  <c r="D13" i="14"/>
  <c r="D12" i="14"/>
  <c r="D11" i="14"/>
  <c r="D10" i="14"/>
  <c r="D9" i="14"/>
  <c r="D8" i="14"/>
  <c r="D7" i="14"/>
  <c r="D6" i="14"/>
  <c r="D5" i="14"/>
  <c r="D4" i="14"/>
  <c r="L3" i="14"/>
  <c r="D14" i="13"/>
  <c r="D13" i="13"/>
  <c r="D12" i="13"/>
  <c r="D11" i="13"/>
  <c r="B10" i="13"/>
  <c r="D10" i="13" s="1"/>
  <c r="B9" i="13"/>
  <c r="D9" i="13" s="1"/>
  <c r="D8" i="13"/>
  <c r="D7" i="13"/>
  <c r="D6" i="13"/>
  <c r="D5" i="13"/>
  <c r="D4" i="13"/>
  <c r="L3" i="13"/>
  <c r="D14" i="12"/>
  <c r="D13" i="12"/>
  <c r="D12" i="12"/>
  <c r="D11" i="12"/>
  <c r="B10" i="12"/>
  <c r="D10" i="12" s="1"/>
  <c r="D9" i="12"/>
  <c r="B9" i="12"/>
  <c r="D8" i="12"/>
  <c r="D7" i="12"/>
  <c r="D6" i="12"/>
  <c r="D5" i="12"/>
  <c r="D4" i="12"/>
  <c r="L3" i="12"/>
  <c r="D14" i="10"/>
  <c r="D13" i="10"/>
  <c r="D12" i="10"/>
  <c r="D11" i="10"/>
  <c r="D10" i="10"/>
  <c r="D9" i="10"/>
  <c r="D8" i="10"/>
  <c r="D7" i="10"/>
  <c r="D6" i="10"/>
  <c r="D5" i="10"/>
  <c r="D4" i="10"/>
  <c r="L3" i="10"/>
  <c r="D14" i="9"/>
  <c r="D13" i="9"/>
  <c r="D12" i="9"/>
  <c r="D11" i="9"/>
  <c r="B10" i="9"/>
  <c r="D10" i="9" s="1"/>
  <c r="B9" i="9"/>
  <c r="D9" i="9" s="1"/>
  <c r="D8" i="9"/>
  <c r="D7" i="9"/>
  <c r="D6" i="9"/>
  <c r="D5" i="9"/>
  <c r="D4" i="9"/>
  <c r="L3" i="9"/>
  <c r="B10" i="8"/>
  <c r="D10" i="8" s="1"/>
  <c r="B9" i="8"/>
  <c r="D14" i="8"/>
  <c r="D13" i="8"/>
  <c r="D12" i="8"/>
  <c r="D11" i="8"/>
  <c r="D9" i="8"/>
  <c r="D8" i="8"/>
  <c r="D7" i="8"/>
  <c r="D6" i="8"/>
  <c r="D5" i="8"/>
  <c r="D4" i="8"/>
  <c r="L3" i="8"/>
  <c r="D14" i="7"/>
  <c r="D13" i="7"/>
  <c r="D12" i="7"/>
  <c r="D11" i="7"/>
  <c r="D10" i="7"/>
  <c r="D9" i="7"/>
  <c r="D8" i="7"/>
  <c r="D7" i="7"/>
  <c r="D6" i="7"/>
  <c r="D5" i="7"/>
  <c r="D4" i="7"/>
  <c r="L3" i="7"/>
  <c r="B9" i="6"/>
  <c r="B10" i="6"/>
  <c r="D10" i="6"/>
  <c r="D14" i="6"/>
  <c r="D13" i="6"/>
  <c r="D12" i="6"/>
  <c r="D11" i="6"/>
  <c r="D9" i="6"/>
  <c r="D8" i="6"/>
  <c r="D7" i="6"/>
  <c r="D6" i="6"/>
  <c r="D5" i="6"/>
  <c r="D4" i="6"/>
  <c r="L3" i="6"/>
  <c r="L3" i="5"/>
  <c r="D14" i="5"/>
  <c r="X14" i="5" s="1"/>
  <c r="D13" i="5"/>
  <c r="X13" i="5" s="1"/>
  <c r="D12" i="5"/>
  <c r="X12" i="5" s="1"/>
  <c r="D11" i="5"/>
  <c r="X11" i="5" s="1"/>
  <c r="D10" i="5"/>
  <c r="X10" i="5" s="1"/>
  <c r="D9" i="5"/>
  <c r="X9" i="5" s="1"/>
  <c r="D8" i="5"/>
  <c r="X8" i="5" s="1"/>
  <c r="D7" i="5"/>
  <c r="X7" i="5" s="1"/>
  <c r="D6" i="5"/>
  <c r="X6" i="5" s="1"/>
  <c r="D5" i="5"/>
  <c r="X5" i="5" s="1"/>
  <c r="D4" i="5"/>
  <c r="X4" i="5" s="1"/>
  <c r="D14" i="4"/>
  <c r="D13" i="4"/>
  <c r="D12" i="4"/>
  <c r="D11" i="4"/>
  <c r="D10" i="4"/>
  <c r="D9" i="4"/>
  <c r="D8" i="4"/>
  <c r="D7" i="4"/>
  <c r="D6" i="4"/>
  <c r="D5" i="4"/>
  <c r="D4" i="4"/>
  <c r="L3" i="4"/>
  <c r="B10" i="3"/>
  <c r="D10" i="3" s="1"/>
  <c r="B9" i="3"/>
  <c r="D9" i="3"/>
  <c r="B9" i="1"/>
  <c r="D9" i="1" s="1"/>
  <c r="B10" i="1"/>
  <c r="L3" i="3"/>
  <c r="D14" i="3"/>
  <c r="D13" i="3"/>
  <c r="D12" i="3"/>
  <c r="D11" i="3"/>
  <c r="D8" i="3"/>
  <c r="D7" i="3"/>
  <c r="D6" i="3"/>
  <c r="D5" i="3"/>
  <c r="D4" i="3"/>
  <c r="L3" i="1"/>
  <c r="D14" i="1"/>
  <c r="D13" i="1"/>
  <c r="D12" i="1"/>
  <c r="D11" i="1"/>
  <c r="D10" i="1"/>
  <c r="D8" i="1"/>
  <c r="D7" i="1"/>
  <c r="D6" i="1"/>
  <c r="D5" i="1"/>
  <c r="D4" i="1"/>
  <c r="X15" i="5" l="1"/>
  <c r="Q2" i="5" s="1"/>
  <c r="W15" i="9"/>
  <c r="W15" i="7"/>
  <c r="W15" i="15"/>
  <c r="W15" i="5"/>
  <c r="W15" i="1"/>
  <c r="Q15" i="5" l="1"/>
  <c r="Q24" i="5"/>
  <c r="Q17" i="5"/>
  <c r="Q12" i="5"/>
  <c r="Q13" i="5"/>
  <c r="Q6" i="5"/>
  <c r="Q18" i="5"/>
  <c r="Q21" i="5"/>
  <c r="Q10" i="5"/>
  <c r="Q9" i="5"/>
  <c r="Q25" i="5"/>
  <c r="Q3" i="5"/>
  <c r="Q14" i="5"/>
  <c r="Q7" i="5"/>
  <c r="Q16" i="5"/>
  <c r="Q4" i="5"/>
  <c r="Q26" i="5"/>
  <c r="Q19" i="5"/>
  <c r="Q5" i="5"/>
  <c r="Q22" i="5"/>
  <c r="Q20" i="5"/>
  <c r="Q11" i="5"/>
  <c r="Q23" i="5"/>
  <c r="Q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tc={B27292EC-9BCB-4CC1-8D1C-2C3B6FEF192B}</author>
    <author>tc={00D62219-3C1A-47BF-AD5C-4A8E741E9CD7}</author>
  </authors>
  <commentList>
    <comment ref="W8" authorId="0" shapeId="0" xr:uid="{B27292EC-9BCB-4CC1-8D1C-2C3B6FEF19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00D62219-3C1A-47BF-AD5C-4A8E741E9CD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tc={64B1BD2A-D825-4A4A-9759-6491EE4700CA}</author>
    <author>tc={B474D37C-436C-406B-8CDC-7056A5DF5D17}</author>
  </authors>
  <commentList>
    <comment ref="W8" authorId="0" shapeId="0" xr:uid="{64B1BD2A-D825-4A4A-9759-6491EE4700C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B474D37C-436C-406B-8CDC-7056A5DF5D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tc={743BE0E8-3BE7-46AE-95E9-0FB0B51BCBFA}</author>
    <author>tc={E0799786-FFBB-4247-9D94-C98F562D3E97}</author>
  </authors>
  <commentList>
    <comment ref="W8" authorId="0" shapeId="0" xr:uid="{743BE0E8-3BE7-46AE-95E9-0FB0B51BCB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E0799786-FFBB-4247-9D94-C98F562D3E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tc={EC01CFAE-577F-4857-B91B-577538AFF219}</author>
    <author>tc={4D185C5D-6B9F-46F6-B639-4430BC8B529C}</author>
  </authors>
  <commentList>
    <comment ref="W8" authorId="0" shapeId="0" xr:uid="{EC01CFAE-577F-4857-B91B-577538AFF2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4D185C5D-6B9F-46F6-B639-4430BC8B529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tc={5208752E-9D6A-4FC8-9F94-20422E06DE97}</author>
    <author>tc={94E33445-2E8E-4461-BD63-1BCBF6C1A698}</author>
  </authors>
  <commentList>
    <comment ref="W8" authorId="0" shapeId="0" xr:uid="{5208752E-9D6A-4FC8-9F94-20422E06DE9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94E33445-2E8E-4461-BD63-1BCBF6C1A69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tc={F62BD812-4FA8-49D5-A606-434D40664253}</author>
    <author>tc={3E3C0314-FD4A-488E-AD80-25AB91DA6EDB}</author>
  </authors>
  <commentList>
    <comment ref="W8" authorId="0" shapeId="0" xr:uid="{F62BD812-4FA8-49D5-A606-434D406642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3E3C0314-FD4A-488E-AD80-25AB91DA6ED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tc={94E5CE27-4631-4CA0-A1BF-109D51EE1DA9}</author>
    <author>tc={79C8F2DA-D9AC-4843-B136-0AE4BE042D09}</author>
  </authors>
  <commentList>
    <comment ref="W8" authorId="0" shapeId="0" xr:uid="{94E5CE27-4631-4CA0-A1BF-109D51EE1DA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79C8F2DA-D9AC-4843-B136-0AE4BE042D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tc={23928F40-EAE3-43CA-9038-DEA880114ACC}</author>
    <author>tc={FF8273E1-29F0-447F-8F4B-E8163017A6A6}</author>
  </authors>
  <commentList>
    <comment ref="W8" authorId="0" shapeId="0" xr:uid="{23928F40-EAE3-43CA-9038-DEA880114AC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FF8273E1-29F0-447F-8F4B-E8163017A6A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tc={DC60E9C9-0FE0-448D-AF12-674F7E915C38}</author>
    <author>tc={3E7B12BB-DE3F-49CD-A009-A831382064C6}</author>
  </authors>
  <commentList>
    <comment ref="W8" authorId="0" shapeId="0" xr:uid="{DC60E9C9-0FE0-448D-AF12-674F7E915C3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3E7B12BB-DE3F-49CD-A009-A831382064C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tc={7ED98A69-6640-412A-B208-ACECFEEC40D1}</author>
    <author>tc={E7FE8E87-D6FA-4594-9819-9806BB523278}</author>
  </authors>
  <commentList>
    <comment ref="W8" authorId="0" shapeId="0" xr:uid="{7ED98A69-6640-412A-B208-ACECFEEC40D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E7FE8E87-D6FA-4594-9819-9806BB52327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tc={8409C1D2-5B41-4FF2-9671-727089FEFDD5}</author>
    <author>tc={0EB97409-9AE6-4A91-83ED-06854863934F}</author>
  </authors>
  <commentList>
    <comment ref="W8" authorId="0" shapeId="0" xr:uid="{8409C1D2-5B41-4FF2-9671-727089FEFDD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0EB97409-9AE6-4A91-83ED-06854863934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tc={AB953AB4-8A62-446A-9F4C-E081EBB4ED41}</author>
    <author>tc={0DDA541E-D257-44E1-9690-AADE984F6101}</author>
  </authors>
  <commentList>
    <comment ref="W8" authorId="0" shapeId="0" xr:uid="{AB953AB4-8A62-446A-9F4C-E081EBB4ED4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0DDA541E-D257-44E1-9690-AADE984F610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tc={F6C06866-B6C9-475E-846D-12E5372E2DD2}</author>
    <author>tc={9DBAE1DE-92B9-4557-8D74-B21AED4BE2C3}</author>
  </authors>
  <commentList>
    <comment ref="W8" authorId="0" shapeId="0" xr:uid="{F6C06866-B6C9-475E-846D-12E5372E2DD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9DBAE1DE-92B9-4557-8D74-B21AED4BE2C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tc={8042BA2D-6DD5-46EF-9E7F-0B3A14ACF268}</author>
    <author>tc={0B26962C-549C-4E60-86DC-A6537E539D99}</author>
  </authors>
  <commentList>
    <comment ref="W8" authorId="0" shapeId="0" xr:uid="{8042BA2D-6DD5-46EF-9E7F-0B3A14ACF2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21)</t>
      </text>
    </comment>
    <comment ref="W10" authorId="1" shapeId="0" xr:uid="{0B26962C-549C-4E60-86DC-A6537E539D9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Take the investment costs of the last replacement (in year 22)</t>
      </text>
    </comment>
  </commentList>
</comments>
</file>

<file path=xl/sharedStrings.xml><?xml version="1.0" encoding="utf-8"?>
<sst xmlns="http://schemas.openxmlformats.org/spreadsheetml/2006/main" count="989" uniqueCount="44">
  <si>
    <t>Component</t>
  </si>
  <si>
    <t>Lifetime</t>
  </si>
  <si>
    <t>€</t>
  </si>
  <si>
    <t>Initial CAPEX</t>
  </si>
  <si>
    <t>years</t>
  </si>
  <si>
    <t>Fixed OPEX</t>
  </si>
  <si>
    <t>€/year</t>
  </si>
  <si>
    <t>Variable OPEX</t>
  </si>
  <si>
    <t>specific cost</t>
  </si>
  <si>
    <t>€/MWh</t>
  </si>
  <si>
    <t>MWh/year</t>
  </si>
  <si>
    <t>Production</t>
  </si>
  <si>
    <t>Ammonia</t>
  </si>
  <si>
    <t>Excess electricity</t>
  </si>
  <si>
    <t>t/year</t>
  </si>
  <si>
    <t>Wind</t>
  </si>
  <si>
    <t>PV</t>
  </si>
  <si>
    <t>Grid electricity</t>
  </si>
  <si>
    <t>Power Line</t>
  </si>
  <si>
    <t>Electrical infrastructure</t>
  </si>
  <si>
    <t>Battery</t>
  </si>
  <si>
    <t>Water treatment</t>
  </si>
  <si>
    <t>H2 Storage</t>
  </si>
  <si>
    <t>Ammonia synthesis</t>
  </si>
  <si>
    <t>Air separation</t>
  </si>
  <si>
    <t>Electrolysis system</t>
  </si>
  <si>
    <t>Electrolysis stack</t>
  </si>
  <si>
    <t>MW</t>
  </si>
  <si>
    <t>Electricity cost</t>
  </si>
  <si>
    <t>Wheeling cost</t>
  </si>
  <si>
    <t>Transported electricity</t>
  </si>
  <si>
    <t>Tech Replacement</t>
  </si>
  <si>
    <t>Year</t>
  </si>
  <si>
    <t>CAPEX_Array [€/year]</t>
  </si>
  <si>
    <t>OPEX_Array [€/year]</t>
  </si>
  <si>
    <t>Remaining Lifetime</t>
  </si>
  <si>
    <t>Terminal Value</t>
  </si>
  <si>
    <t>Capacity</t>
  </si>
  <si>
    <t>Unit Capacity</t>
  </si>
  <si>
    <t>Specific Capex</t>
  </si>
  <si>
    <t>Global Inflation</t>
  </si>
  <si>
    <t>Domestic Inflation</t>
  </si>
  <si>
    <t>TOTAL</t>
  </si>
  <si>
    <t>Battery; Electrolysis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</si>
</sst>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an Reul" id="{2292BAB8-1303-43ED-81B0-2B8D5F350529}" userId="S::julian.reul@h2-global.org::1fb33bd7-136c-4315-9a27-9a9a0efd5194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B27292EC-9BCB-4CC1-8D1C-2C3B6FEF192B}">
    <text>Take the investment costs of the last replacement (in year 21)</text>
  </threadedComment>
  <threadedComment ref="W10" dT="2024-11-11T16:04:14.89" personId="{2292BAB8-1303-43ED-81B0-2B8D5F350529}" id="{00D62219-3C1A-47BF-AD5C-4A8E741E9CD7}">
    <text>Take the investment costs of the last replacement (in year 22)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64B1BD2A-D825-4A4A-9759-6491EE4700CA}">
    <text>Take the investment costs of the last replacement (in year 21)</text>
  </threadedComment>
  <threadedComment ref="W10" dT="2024-11-11T16:04:14.89" personId="{2292BAB8-1303-43ED-81B0-2B8D5F350529}" id="{B474D37C-436C-406B-8CDC-7056A5DF5D17}">
    <text>Take the investment costs of the last replacement (in year 22)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743BE0E8-3BE7-46AE-95E9-0FB0B51BCBFA}">
    <text>Take the investment costs of the last replacement (in year 21)</text>
  </threadedComment>
  <threadedComment ref="W10" dT="2024-11-11T16:04:14.89" personId="{2292BAB8-1303-43ED-81B0-2B8D5F350529}" id="{E0799786-FFBB-4247-9D94-C98F562D3E97}">
    <text>Take the investment costs of the last replacement (in year 22)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EC01CFAE-577F-4857-B91B-577538AFF219}">
    <text>Take the investment costs of the last replacement (in year 21)</text>
  </threadedComment>
  <threadedComment ref="W10" dT="2024-11-11T16:04:14.89" personId="{2292BAB8-1303-43ED-81B0-2B8D5F350529}" id="{4D185C5D-6B9F-46F6-B639-4430BC8B529C}">
    <text>Take the investment costs of the last replacement (in year 22)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5208752E-9D6A-4FC8-9F94-20422E06DE97}">
    <text>Take the investment costs of the last replacement (in year 21)</text>
  </threadedComment>
  <threadedComment ref="W10" dT="2024-11-11T16:04:14.89" personId="{2292BAB8-1303-43ED-81B0-2B8D5F350529}" id="{94E33445-2E8E-4461-BD63-1BCBF6C1A698}">
    <text>Take the investment costs of the last replacement (in year 22)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F62BD812-4FA8-49D5-A606-434D40664253}">
    <text>Take the investment costs of the last replacement (in year 21)</text>
  </threadedComment>
  <threadedComment ref="W10" dT="2024-11-11T16:04:14.89" personId="{2292BAB8-1303-43ED-81B0-2B8D5F350529}" id="{3E3C0314-FD4A-488E-AD80-25AB91DA6EDB}">
    <text>Take the investment costs of the last replacement (in year 22)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94E5CE27-4631-4CA0-A1BF-109D51EE1DA9}">
    <text>Take the investment costs of the last replacement (in year 21)</text>
  </threadedComment>
  <threadedComment ref="W10" dT="2024-11-11T16:04:14.89" personId="{2292BAB8-1303-43ED-81B0-2B8D5F350529}" id="{79C8F2DA-D9AC-4843-B136-0AE4BE042D09}">
    <text>Take the investment costs of the last replacement (in year 22)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23928F40-EAE3-43CA-9038-DEA880114ACC}">
    <text>Take the investment costs of the last replacement (in year 21)</text>
  </threadedComment>
  <threadedComment ref="W10" dT="2024-11-11T16:04:14.89" personId="{2292BAB8-1303-43ED-81B0-2B8D5F350529}" id="{FF8273E1-29F0-447F-8F4B-E8163017A6A6}">
    <text>Take the investment costs of the last replacement (in year 22)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DC60E9C9-0FE0-448D-AF12-674F7E915C38}">
    <text>Take the investment costs of the last replacement (in year 21)</text>
  </threadedComment>
  <threadedComment ref="W10" dT="2024-11-11T16:04:14.89" personId="{2292BAB8-1303-43ED-81B0-2B8D5F350529}" id="{3E7B12BB-DE3F-49CD-A009-A831382064C6}">
    <text>Take the investment costs of the last replacement (in year 22)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7ED98A69-6640-412A-B208-ACECFEEC40D1}">
    <text>Take the investment costs of the last replacement (in year 21)</text>
  </threadedComment>
  <threadedComment ref="W10" dT="2024-11-11T16:04:14.89" personId="{2292BAB8-1303-43ED-81B0-2B8D5F350529}" id="{E7FE8E87-D6FA-4594-9819-9806BB523278}">
    <text>Take the investment costs of the last replacement (in year 22)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8409C1D2-5B41-4FF2-9671-727089FEFDD5}">
    <text>Take the investment costs of the last replacement (in year 21)</text>
  </threadedComment>
  <threadedComment ref="W10" dT="2024-11-11T16:04:14.89" personId="{2292BAB8-1303-43ED-81B0-2B8D5F350529}" id="{0EB97409-9AE6-4A91-83ED-06854863934F}">
    <text>Take the investment costs of the last replacement (in year 22)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AB953AB4-8A62-446A-9F4C-E081EBB4ED41}">
    <text>Take the investment costs of the last replacement (in year 21)</text>
  </threadedComment>
  <threadedComment ref="W10" dT="2024-11-11T16:04:14.89" personId="{2292BAB8-1303-43ED-81B0-2B8D5F350529}" id="{0DDA541E-D257-44E1-9690-AADE984F6101}">
    <text>Take the investment costs of the last replacement (in year 22)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F6C06866-B6C9-475E-846D-12E5372E2DD2}">
    <text>Take the investment costs of the last replacement (in year 21)</text>
  </threadedComment>
  <threadedComment ref="W10" dT="2024-11-11T16:04:14.89" personId="{2292BAB8-1303-43ED-81B0-2B8D5F350529}" id="{9DBAE1DE-92B9-4557-8D74-B21AED4BE2C3}">
    <text>Take the investment costs of the last replacement (in year 22)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W8" dT="2024-11-11T16:04:32.66" personId="{2292BAB8-1303-43ED-81B0-2B8D5F350529}" id="{8042BA2D-6DD5-46EF-9E7F-0B3A14ACF268}">
    <text>Take the investment costs of the last replacement (in year 21)</text>
  </threadedComment>
  <threadedComment ref="W10" dT="2024-11-11T16:04:14.89" personId="{2292BAB8-1303-43ED-81B0-2B8D5F350529}" id="{0B26962C-549C-4E60-86DC-A6537E539D99}">
    <text>Take the investment costs of the last replacement (in year 22)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E2F4-3A70-4E3D-8592-EE5EA85F1B72}">
  <dimension ref="A1:AD26"/>
  <sheetViews>
    <sheetView workbookViewId="0">
      <selection activeCell="N1" sqref="N1:AD26"/>
    </sheetView>
  </sheetViews>
  <sheetFormatPr baseColWidth="10" defaultRowHeight="14.5" x14ac:dyDescent="0.35"/>
  <cols>
    <col min="1" max="1" width="21.81640625" bestFit="1" customWidth="1"/>
    <col min="2" max="2" width="12.1796875" bestFit="1" customWidth="1"/>
    <col min="6" max="6" width="13.54296875" bestFit="1" customWidth="1"/>
    <col min="10" max="10" width="15.7265625" bestFit="1" customWidth="1"/>
    <col min="14" max="14" width="16.453125" bestFit="1" customWidth="1"/>
    <col min="16" max="16" width="18.453125" bestFit="1" customWidth="1"/>
    <col min="19" max="19" width="20.7265625" bestFit="1" customWidth="1"/>
    <col min="20" max="20" width="12.453125" bestFit="1" customWidth="1"/>
    <col min="21" max="21" width="7.7265625" bestFit="1" customWidth="1"/>
    <col min="22" max="22" width="17.179687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M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307092</v>
      </c>
      <c r="O2">
        <v>1</v>
      </c>
      <c r="P2" s="1">
        <f>T15</f>
        <v>2137830903.7501476</v>
      </c>
      <c r="Q2" s="1">
        <f>($X$15+$H$5*$H$6)*(1+$AD$2)^(O2-1)</f>
        <v>45757719.242162809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1587665.64</v>
      </c>
      <c r="O3">
        <v>2</v>
      </c>
      <c r="P3">
        <v>0</v>
      </c>
      <c r="Q3" s="1">
        <f t="shared" ref="Q3:Q26" si="0">($X$15+$H$5*$H$6)*(1+$AD$2)^(O3-1)</f>
        <v>48045605.204270951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804759800</v>
      </c>
      <c r="C4">
        <v>25</v>
      </c>
      <c r="D4" s="1">
        <f>B4*0.028</f>
        <v>22533274.400000002</v>
      </c>
      <c r="E4" s="1"/>
      <c r="J4" s="2" t="s">
        <v>13</v>
      </c>
      <c r="K4" s="3" t="s">
        <v>10</v>
      </c>
      <c r="L4">
        <v>365765</v>
      </c>
      <c r="O4">
        <v>3</v>
      </c>
      <c r="P4">
        <v>0</v>
      </c>
      <c r="Q4" s="1">
        <f t="shared" si="0"/>
        <v>50447885.464484498</v>
      </c>
      <c r="S4" s="2" t="s">
        <v>15</v>
      </c>
      <c r="T4" s="1">
        <f>B4</f>
        <v>804759800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22533274.400000002</v>
      </c>
      <c r="Y4">
        <f>T4/AA4</f>
        <v>650</v>
      </c>
      <c r="Z4" t="s">
        <v>27</v>
      </c>
      <c r="AA4">
        <v>1238092</v>
      </c>
    </row>
    <row r="5" spans="1:30" x14ac:dyDescent="0.35">
      <c r="A5" s="2" t="s">
        <v>16</v>
      </c>
      <c r="B5" s="1">
        <v>448854400</v>
      </c>
      <c r="C5">
        <v>25</v>
      </c>
      <c r="D5" s="1">
        <f>B5*0.017</f>
        <v>7630524.8000000007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52970279.737708725</v>
      </c>
      <c r="S5" s="2" t="s">
        <v>16</v>
      </c>
      <c r="T5" s="1">
        <f t="shared" ref="T5:T14" si="3">B5</f>
        <v>448854400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7630524.8000000007</v>
      </c>
      <c r="Y5">
        <f>T5/AA5</f>
        <v>800</v>
      </c>
      <c r="Z5" t="s">
        <v>27</v>
      </c>
      <c r="AA5">
        <v>561068</v>
      </c>
    </row>
    <row r="6" spans="1:30" x14ac:dyDescent="0.35">
      <c r="A6" s="2" t="s">
        <v>18</v>
      </c>
      <c r="B6" s="1">
        <v>153900000</v>
      </c>
      <c r="C6">
        <v>40</v>
      </c>
      <c r="D6" s="1">
        <f>B6*0.007</f>
        <v>1077300</v>
      </c>
      <c r="E6" s="1"/>
      <c r="F6" s="2" t="s">
        <v>30</v>
      </c>
      <c r="G6" t="s">
        <v>10</v>
      </c>
      <c r="H6">
        <v>0</v>
      </c>
      <c r="O6">
        <v>5</v>
      </c>
      <c r="P6">
        <v>0</v>
      </c>
      <c r="Q6" s="1">
        <f t="shared" si="0"/>
        <v>55618793.724594161</v>
      </c>
      <c r="S6" s="2" t="s">
        <v>18</v>
      </c>
      <c r="T6" s="1">
        <f t="shared" si="3"/>
        <v>153900000</v>
      </c>
      <c r="U6" s="4">
        <f t="shared" si="1"/>
        <v>40</v>
      </c>
      <c r="V6" s="1">
        <f t="shared" si="4"/>
        <v>15</v>
      </c>
      <c r="W6" s="1">
        <f t="shared" si="5"/>
        <v>57712500</v>
      </c>
      <c r="X6" s="1">
        <f t="shared" si="2"/>
        <v>1077300</v>
      </c>
    </row>
    <row r="7" spans="1:30" x14ac:dyDescent="0.35">
      <c r="A7" s="2" t="s">
        <v>19</v>
      </c>
      <c r="B7" s="1">
        <v>98566000</v>
      </c>
      <c r="C7">
        <v>40</v>
      </c>
      <c r="D7" s="1">
        <f>B7*0.02</f>
        <v>1971320</v>
      </c>
      <c r="E7" s="1"/>
      <c r="O7">
        <v>6</v>
      </c>
      <c r="P7">
        <v>0</v>
      </c>
      <c r="Q7" s="1">
        <f t="shared" si="0"/>
        <v>58399733.410823874</v>
      </c>
      <c r="S7" s="2" t="s">
        <v>19</v>
      </c>
      <c r="T7" s="1">
        <f t="shared" si="3"/>
        <v>98566000</v>
      </c>
      <c r="U7" s="4">
        <f t="shared" si="1"/>
        <v>40</v>
      </c>
      <c r="V7" s="1">
        <f t="shared" si="4"/>
        <v>15</v>
      </c>
      <c r="W7" s="1">
        <f t="shared" si="5"/>
        <v>36962250</v>
      </c>
      <c r="X7" s="1">
        <f t="shared" si="2"/>
        <v>1971320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61319720.081365056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f>P22*(V8/U8)</f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64385706.085433319</v>
      </c>
      <c r="S9" s="2" t="s">
        <v>25</v>
      </c>
      <c r="T9" s="1">
        <f t="shared" si="3"/>
        <v>108749999.99999999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2174999.9999999995</v>
      </c>
    </row>
    <row r="10" spans="1:30" x14ac:dyDescent="0.35">
      <c r="A10" s="2" t="s">
        <v>26</v>
      </c>
      <c r="B10" s="1">
        <f>0.71*375000000</f>
        <v>266250000</v>
      </c>
      <c r="C10">
        <v>10.47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67604991.389704987</v>
      </c>
      <c r="S10" s="2" t="s">
        <v>26</v>
      </c>
      <c r="T10" s="1">
        <f t="shared" si="3"/>
        <v>266250000</v>
      </c>
      <c r="U10" s="4">
        <f t="shared" si="1"/>
        <v>10.47</v>
      </c>
      <c r="V10" s="4">
        <f t="shared" si="4"/>
        <v>6.4100000000000019</v>
      </c>
      <c r="W10" s="1">
        <f>P23*(V10/U10)</f>
        <v>454125871.96192396</v>
      </c>
      <c r="X10" s="1">
        <f t="shared" si="2"/>
        <v>5325000</v>
      </c>
    </row>
    <row r="11" spans="1:30" x14ac:dyDescent="0.35">
      <c r="A11" s="2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70985240.959190235</v>
      </c>
      <c r="S11" s="2" t="s">
        <v>21</v>
      </c>
      <c r="T11" s="1">
        <f t="shared" si="3"/>
        <v>16728892.88928893</v>
      </c>
      <c r="U11" s="4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2" t="s">
        <v>22</v>
      </c>
      <c r="B12" s="1">
        <v>42429189.062592924</v>
      </c>
      <c r="C12">
        <v>30</v>
      </c>
      <c r="D12" s="1">
        <f>B12*0.01</f>
        <v>424291.89062592923</v>
      </c>
      <c r="E12" s="1"/>
      <c r="N12" t="s">
        <v>26</v>
      </c>
      <c r="O12">
        <v>11</v>
      </c>
      <c r="P12" s="1">
        <f>$B$10*(1+$AC$2)^(O12-1)</f>
        <v>433693194.37949383</v>
      </c>
      <c r="Q12" s="1">
        <f t="shared" si="0"/>
        <v>74534503.007149741</v>
      </c>
      <c r="S12" s="2" t="s">
        <v>22</v>
      </c>
      <c r="T12" s="1">
        <f t="shared" si="3"/>
        <v>42429189.062592924</v>
      </c>
      <c r="U12" s="4">
        <f t="shared" si="1"/>
        <v>30</v>
      </c>
      <c r="V12" s="1">
        <f t="shared" si="4"/>
        <v>5</v>
      </c>
      <c r="W12" s="1">
        <f t="shared" si="5"/>
        <v>7071531.5104321539</v>
      </c>
      <c r="X12" s="1">
        <f t="shared" si="2"/>
        <v>424291.89062592923</v>
      </c>
    </row>
    <row r="13" spans="1:30" x14ac:dyDescent="0.35">
      <c r="A13" s="2" t="s">
        <v>23</v>
      </c>
      <c r="B13" s="1">
        <v>133462148.8551382</v>
      </c>
      <c r="C13">
        <v>30</v>
      </c>
      <c r="D13" s="1">
        <f>B13*0.02</f>
        <v>2669242.977102764</v>
      </c>
      <c r="E13" s="1"/>
      <c r="O13">
        <v>12</v>
      </c>
      <c r="P13">
        <v>0</v>
      </c>
      <c r="Q13" s="1">
        <f t="shared" si="0"/>
        <v>78261228.157507241</v>
      </c>
      <c r="S13" s="2" t="s">
        <v>23</v>
      </c>
      <c r="T13" s="1">
        <f t="shared" si="3"/>
        <v>133462148.8551382</v>
      </c>
      <c r="U13" s="4">
        <f t="shared" si="1"/>
        <v>30</v>
      </c>
      <c r="V13" s="1">
        <f t="shared" si="4"/>
        <v>5</v>
      </c>
      <c r="W13" s="1">
        <f t="shared" si="5"/>
        <v>22243691.475856364</v>
      </c>
      <c r="X13" s="1">
        <f t="shared" si="2"/>
        <v>2669242.977102764</v>
      </c>
    </row>
    <row r="14" spans="1:30" x14ac:dyDescent="0.35">
      <c r="A14" s="2" t="s">
        <v>24</v>
      </c>
      <c r="B14" s="1">
        <v>64130472.943127461</v>
      </c>
      <c r="C14">
        <v>30</v>
      </c>
      <c r="D14" s="1">
        <f>B14*0.02</f>
        <v>1282609.4588625492</v>
      </c>
      <c r="E14" s="1"/>
      <c r="O14">
        <v>13</v>
      </c>
      <c r="P14">
        <v>0</v>
      </c>
      <c r="Q14" s="1">
        <f t="shared" si="0"/>
        <v>82174289.565382585</v>
      </c>
      <c r="S14" s="2" t="s">
        <v>24</v>
      </c>
      <c r="T14" s="1">
        <f t="shared" si="3"/>
        <v>64130472.943127461</v>
      </c>
      <c r="U14" s="4">
        <f t="shared" si="1"/>
        <v>30</v>
      </c>
      <c r="V14" s="1">
        <f t="shared" si="4"/>
        <v>5</v>
      </c>
      <c r="W14" s="1">
        <f t="shared" si="5"/>
        <v>10688412.157187909</v>
      </c>
      <c r="X14" s="1">
        <f t="shared" si="2"/>
        <v>1282609.4588625492</v>
      </c>
    </row>
    <row r="15" spans="1:30" x14ac:dyDescent="0.35">
      <c r="O15">
        <v>14</v>
      </c>
      <c r="P15">
        <v>0</v>
      </c>
      <c r="Q15" s="1">
        <f t="shared" si="0"/>
        <v>86283004.04365173</v>
      </c>
      <c r="S15" s="2" t="s">
        <v>42</v>
      </c>
      <c r="T15" s="1">
        <f>SUM(T4:T14)</f>
        <v>2137830903.7501476</v>
      </c>
      <c r="W15" s="1">
        <f>SUM(W4:W14)</f>
        <v>591592405.92028189</v>
      </c>
      <c r="X15" s="1">
        <f>SUM(X4:X14)</f>
        <v>45757719.242162809</v>
      </c>
    </row>
    <row r="16" spans="1:30" x14ac:dyDescent="0.35">
      <c r="O16">
        <v>15</v>
      </c>
      <c r="P16">
        <v>0</v>
      </c>
      <c r="Q16" s="1">
        <f t="shared" si="0"/>
        <v>90597154.245834291</v>
      </c>
    </row>
    <row r="17" spans="14:17" x14ac:dyDescent="0.35">
      <c r="O17">
        <v>16</v>
      </c>
      <c r="P17">
        <v>0</v>
      </c>
      <c r="Q17" s="1">
        <f t="shared" si="0"/>
        <v>95127011.958126038</v>
      </c>
    </row>
    <row r="18" spans="14:17" x14ac:dyDescent="0.35">
      <c r="O18">
        <v>17</v>
      </c>
      <c r="P18">
        <v>0</v>
      </c>
      <c r="Q18" s="1">
        <f t="shared" si="0"/>
        <v>99883362.55603233</v>
      </c>
    </row>
    <row r="19" spans="14:17" x14ac:dyDescent="0.35">
      <c r="O19">
        <v>18</v>
      </c>
      <c r="P19">
        <v>0</v>
      </c>
      <c r="Q19" s="1">
        <f t="shared" si="0"/>
        <v>104877530.68383397</v>
      </c>
    </row>
    <row r="20" spans="14:17" x14ac:dyDescent="0.35">
      <c r="O20">
        <v>19</v>
      </c>
      <c r="P20">
        <v>0</v>
      </c>
      <c r="Q20" s="1">
        <f t="shared" si="0"/>
        <v>110121407.21802567</v>
      </c>
    </row>
    <row r="21" spans="14:17" x14ac:dyDescent="0.35">
      <c r="O21">
        <v>20</v>
      </c>
      <c r="P21" s="1">
        <v>0</v>
      </c>
      <c r="Q21" s="1">
        <f t="shared" si="0"/>
        <v>115627477.57892695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121408851.45787328</v>
      </c>
    </row>
    <row r="23" spans="14:17" x14ac:dyDescent="0.35">
      <c r="N23" t="s">
        <v>26</v>
      </c>
      <c r="O23">
        <v>22</v>
      </c>
      <c r="P23" s="1">
        <f>$B$10*(1+$AC$2)^(O23-1)</f>
        <v>741762539.69443715</v>
      </c>
      <c r="Q23" s="1">
        <f t="shared" si="0"/>
        <v>127479294.03076695</v>
      </c>
    </row>
    <row r="24" spans="14:17" x14ac:dyDescent="0.35">
      <c r="O24">
        <v>23</v>
      </c>
      <c r="P24">
        <v>0</v>
      </c>
      <c r="Q24" s="1">
        <f t="shared" si="0"/>
        <v>133853258.73230529</v>
      </c>
    </row>
    <row r="25" spans="14:17" x14ac:dyDescent="0.35">
      <c r="O25">
        <v>24</v>
      </c>
      <c r="P25">
        <v>0</v>
      </c>
      <c r="Q25" s="1">
        <f t="shared" si="0"/>
        <v>140545921.66892058</v>
      </c>
    </row>
    <row r="26" spans="14:17" x14ac:dyDescent="0.35">
      <c r="O26">
        <v>25</v>
      </c>
      <c r="P26">
        <v>0</v>
      </c>
      <c r="Q26" s="1">
        <f t="shared" si="0"/>
        <v>147573217.7523666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B904-192D-4522-ABA0-D77A46583A09}">
  <dimension ref="A1:AD26"/>
  <sheetViews>
    <sheetView workbookViewId="0">
      <selection activeCell="N1" sqref="N1:AD27"/>
    </sheetView>
  </sheetViews>
  <sheetFormatPr baseColWidth="10" defaultRowHeight="14.5" x14ac:dyDescent="0.35"/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32354</v>
      </c>
      <c r="O2">
        <v>1</v>
      </c>
      <c r="P2" s="1">
        <f>T15</f>
        <v>339840867.21321541</v>
      </c>
      <c r="Q2" s="1">
        <f>($X$15+$H$5*$H$6)*(1+$AD$2)^(O2-1)</f>
        <v>5880151.8332910314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167270.18</v>
      </c>
      <c r="O3">
        <v>2</v>
      </c>
      <c r="P3">
        <v>0</v>
      </c>
      <c r="Q3" s="1">
        <f t="shared" ref="Q3:Q26" si="0">($X$15+$H$5*$H$6)*(1+$AD$2)^(O3-1)</f>
        <v>6174159.4249555832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0</v>
      </c>
      <c r="C4">
        <v>25</v>
      </c>
      <c r="D4" s="1">
        <f>B4*0.028</f>
        <v>0</v>
      </c>
      <c r="E4" s="1"/>
      <c r="J4" s="2" t="s">
        <v>13</v>
      </c>
      <c r="K4" s="3" t="s">
        <v>10</v>
      </c>
      <c r="L4">
        <v>65417</v>
      </c>
      <c r="O4">
        <v>3</v>
      </c>
      <c r="P4">
        <v>0</v>
      </c>
      <c r="Q4" s="1">
        <f t="shared" si="0"/>
        <v>6482867.3962033624</v>
      </c>
      <c r="S4" s="2" t="s">
        <v>15</v>
      </c>
      <c r="T4" s="1">
        <f>B4</f>
        <v>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27</v>
      </c>
      <c r="AA4">
        <v>1238092</v>
      </c>
    </row>
    <row r="5" spans="1:30" x14ac:dyDescent="0.35">
      <c r="A5" s="2" t="s">
        <v>16</v>
      </c>
      <c r="B5" s="1">
        <v>123434960</v>
      </c>
      <c r="C5">
        <v>25</v>
      </c>
      <c r="D5" s="1">
        <f>B5*0.017</f>
        <v>2098394.3200000003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6807010.766013531</v>
      </c>
      <c r="S5" s="2" t="s">
        <v>16</v>
      </c>
      <c r="T5" s="1">
        <f t="shared" ref="T5:T14" si="3">B5</f>
        <v>123434960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2098394.3200000003</v>
      </c>
      <c r="Y5">
        <f>T5/AA5</f>
        <v>220</v>
      </c>
      <c r="Z5" t="s">
        <v>27</v>
      </c>
      <c r="AA5">
        <v>561068</v>
      </c>
    </row>
    <row r="6" spans="1:30" x14ac:dyDescent="0.35">
      <c r="A6" s="2" t="s">
        <v>18</v>
      </c>
      <c r="B6" s="1">
        <v>27750000</v>
      </c>
      <c r="C6">
        <v>40</v>
      </c>
      <c r="D6" s="1">
        <f>B6*0.007</f>
        <v>194250</v>
      </c>
      <c r="E6" s="1"/>
      <c r="F6" s="2" t="s">
        <v>30</v>
      </c>
      <c r="G6" t="s">
        <v>10</v>
      </c>
      <c r="H6">
        <v>0</v>
      </c>
      <c r="O6">
        <v>5</v>
      </c>
      <c r="P6">
        <v>0</v>
      </c>
      <c r="Q6" s="1">
        <f t="shared" si="0"/>
        <v>7147361.3043142073</v>
      </c>
      <c r="S6" s="2" t="s">
        <v>18</v>
      </c>
      <c r="T6" s="1">
        <f t="shared" si="3"/>
        <v>27750000</v>
      </c>
      <c r="U6" s="4">
        <f t="shared" si="1"/>
        <v>40</v>
      </c>
      <c r="V6" s="1">
        <f t="shared" si="4"/>
        <v>15</v>
      </c>
      <c r="W6" s="1">
        <f t="shared" si="5"/>
        <v>10406250</v>
      </c>
      <c r="X6" s="1">
        <f t="shared" si="2"/>
        <v>194250</v>
      </c>
    </row>
    <row r="7" spans="1:30" x14ac:dyDescent="0.35">
      <c r="A7" s="2" t="s">
        <v>19</v>
      </c>
      <c r="B7" s="1">
        <v>16263390</v>
      </c>
      <c r="C7">
        <v>40</v>
      </c>
      <c r="D7" s="1">
        <f>B7*0.02</f>
        <v>325267.8</v>
      </c>
      <c r="E7" s="1"/>
      <c r="O7">
        <v>6</v>
      </c>
      <c r="P7">
        <v>0</v>
      </c>
      <c r="Q7" s="1">
        <f t="shared" si="0"/>
        <v>7504729.3695299178</v>
      </c>
      <c r="S7" s="2" t="s">
        <v>19</v>
      </c>
      <c r="T7" s="1">
        <f t="shared" si="3"/>
        <v>16263390</v>
      </c>
      <c r="U7" s="4">
        <f t="shared" si="1"/>
        <v>40</v>
      </c>
      <c r="V7" s="1">
        <f t="shared" si="4"/>
        <v>15</v>
      </c>
      <c r="W7" s="1">
        <f t="shared" si="5"/>
        <v>6098771.25</v>
      </c>
      <c r="X7" s="1">
        <f t="shared" si="2"/>
        <v>325267.8</v>
      </c>
    </row>
    <row r="8" spans="1:30" x14ac:dyDescent="0.35">
      <c r="A8" s="2" t="s">
        <v>20</v>
      </c>
      <c r="B8" s="1">
        <v>20000000</v>
      </c>
      <c r="C8">
        <v>20</v>
      </c>
      <c r="D8" s="1">
        <f>B8*0.015</f>
        <v>300000</v>
      </c>
      <c r="E8" s="1"/>
      <c r="O8">
        <v>7</v>
      </c>
      <c r="P8">
        <v>0</v>
      </c>
      <c r="Q8" s="1">
        <f t="shared" si="0"/>
        <v>7879965.8380064126</v>
      </c>
      <c r="S8" s="2" t="s">
        <v>20</v>
      </c>
      <c r="T8" s="1">
        <f t="shared" si="3"/>
        <v>20000000</v>
      </c>
      <c r="U8" s="4">
        <f t="shared" si="1"/>
        <v>20</v>
      </c>
      <c r="V8" s="1">
        <f t="shared" si="4"/>
        <v>15</v>
      </c>
      <c r="W8" s="1">
        <f>P22*(V8/U8)</f>
        <v>39799465.577166319</v>
      </c>
      <c r="X8" s="1">
        <f t="shared" si="2"/>
        <v>300000</v>
      </c>
      <c r="Y8">
        <f>T8/AA8</f>
        <v>66.666666666666671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8273964.1299067354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21.7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8687662.3364020698</v>
      </c>
      <c r="S10" s="2" t="s">
        <v>26</v>
      </c>
      <c r="T10" s="1">
        <f t="shared" si="3"/>
        <v>65000000</v>
      </c>
      <c r="U10" s="4">
        <f t="shared" si="1"/>
        <v>21.7</v>
      </c>
      <c r="V10" s="4">
        <f t="shared" si="4"/>
        <v>18.399999999999999</v>
      </c>
      <c r="W10" s="1">
        <f>P24*(V10/U10)</f>
        <v>161226351.19937241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9122045.4532221742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O12">
        <v>11</v>
      </c>
      <c r="P12" s="1">
        <v>0</v>
      </c>
      <c r="Q12" s="1">
        <f t="shared" si="0"/>
        <v>9578147.7258832827</v>
      </c>
      <c r="S12" s="2" t="s">
        <v>22</v>
      </c>
      <c r="T12" s="1">
        <f t="shared" si="3"/>
        <v>15252620.253043231</v>
      </c>
      <c r="U12" s="4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2" t="s">
        <v>23</v>
      </c>
      <c r="B13" s="1">
        <v>26368484.673110109</v>
      </c>
      <c r="C13">
        <v>30</v>
      </c>
      <c r="D13" s="1">
        <f>B13*0.02</f>
        <v>527369.69346220221</v>
      </c>
      <c r="E13" s="1"/>
      <c r="O13">
        <v>12</v>
      </c>
      <c r="P13">
        <v>0</v>
      </c>
      <c r="Q13" s="1">
        <f t="shared" si="0"/>
        <v>10057055.112177448</v>
      </c>
      <c r="S13" s="2" t="s">
        <v>23</v>
      </c>
      <c r="T13" s="1">
        <f t="shared" si="3"/>
        <v>26368484.673110109</v>
      </c>
      <c r="U13" s="4">
        <f t="shared" si="1"/>
        <v>30</v>
      </c>
      <c r="V13" s="1">
        <f t="shared" si="4"/>
        <v>5</v>
      </c>
      <c r="W13" s="1">
        <f t="shared" si="5"/>
        <v>4394747.4455183512</v>
      </c>
      <c r="X13" s="1">
        <f t="shared" si="2"/>
        <v>527369.69346220221</v>
      </c>
    </row>
    <row r="14" spans="1:30" x14ac:dyDescent="0.35">
      <c r="A14" s="2" t="s">
        <v>24</v>
      </c>
      <c r="B14" s="1">
        <v>7425633.7092042333</v>
      </c>
      <c r="C14">
        <v>30</v>
      </c>
      <c r="D14" s="1">
        <f>B14*0.02</f>
        <v>148512.67418408467</v>
      </c>
      <c r="E14" s="1"/>
      <c r="O14">
        <v>13</v>
      </c>
      <c r="P14">
        <v>0</v>
      </c>
      <c r="Q14" s="1">
        <f t="shared" si="0"/>
        <v>10559907.86778632</v>
      </c>
      <c r="S14" s="2" t="s">
        <v>24</v>
      </c>
      <c r="T14" s="1">
        <f t="shared" si="3"/>
        <v>7425633.7092042333</v>
      </c>
      <c r="U14" s="4">
        <f t="shared" si="1"/>
        <v>30</v>
      </c>
      <c r="V14" s="1">
        <f t="shared" si="4"/>
        <v>5</v>
      </c>
      <c r="W14" s="1">
        <f t="shared" si="5"/>
        <v>1237605.6182007054</v>
      </c>
      <c r="X14" s="1">
        <f t="shared" si="2"/>
        <v>148512.67418408467</v>
      </c>
    </row>
    <row r="15" spans="1:30" x14ac:dyDescent="0.35">
      <c r="O15">
        <v>14</v>
      </c>
      <c r="P15">
        <v>0</v>
      </c>
      <c r="Q15" s="1">
        <f t="shared" si="0"/>
        <v>11087903.261175638</v>
      </c>
      <c r="S15" s="2" t="s">
        <v>42</v>
      </c>
      <c r="T15" s="1">
        <f>SUM(T4:T14)</f>
        <v>339840867.21321541</v>
      </c>
      <c r="W15" s="1">
        <f>SUM(W4:W14)</f>
        <v>226262924.22874129</v>
      </c>
      <c r="X15" s="1">
        <f>SUM(X4:X14)</f>
        <v>5880151.8332910314</v>
      </c>
    </row>
    <row r="16" spans="1:30" x14ac:dyDescent="0.35">
      <c r="O16">
        <v>15</v>
      </c>
      <c r="P16">
        <v>0</v>
      </c>
      <c r="Q16" s="1">
        <f t="shared" si="0"/>
        <v>11642298.424234416</v>
      </c>
    </row>
    <row r="17" spans="14:17" x14ac:dyDescent="0.35">
      <c r="O17">
        <v>16</v>
      </c>
      <c r="P17">
        <v>0</v>
      </c>
      <c r="Q17" s="1">
        <f t="shared" si="0"/>
        <v>12224413.345446141</v>
      </c>
    </row>
    <row r="18" spans="14:17" x14ac:dyDescent="0.35">
      <c r="O18">
        <v>17</v>
      </c>
      <c r="P18">
        <v>0</v>
      </c>
      <c r="Q18" s="1">
        <f t="shared" si="0"/>
        <v>12835634.012718447</v>
      </c>
    </row>
    <row r="19" spans="14:17" x14ac:dyDescent="0.35">
      <c r="O19">
        <v>18</v>
      </c>
      <c r="P19">
        <v>0</v>
      </c>
      <c r="Q19" s="1">
        <f t="shared" si="0"/>
        <v>13477415.713354371</v>
      </c>
    </row>
    <row r="20" spans="14:17" x14ac:dyDescent="0.35">
      <c r="O20">
        <v>19</v>
      </c>
      <c r="P20">
        <v>0</v>
      </c>
      <c r="Q20" s="1">
        <f t="shared" si="0"/>
        <v>14151286.499022089</v>
      </c>
    </row>
    <row r="21" spans="14:17" x14ac:dyDescent="0.35">
      <c r="O21">
        <v>20</v>
      </c>
      <c r="P21" s="1">
        <v>0</v>
      </c>
      <c r="Q21" s="1">
        <f t="shared" si="0"/>
        <v>14858850.823973194</v>
      </c>
    </row>
    <row r="22" spans="14:17" x14ac:dyDescent="0.35">
      <c r="N22" t="s">
        <v>20</v>
      </c>
      <c r="O22">
        <v>21</v>
      </c>
      <c r="P22" s="1">
        <f>$B$8*(1+$AC$2)^(O22-1)</f>
        <v>53065954.10288842</v>
      </c>
      <c r="Q22" s="1">
        <f t="shared" si="0"/>
        <v>15601793.365171853</v>
      </c>
    </row>
    <row r="23" spans="14:17" x14ac:dyDescent="0.35">
      <c r="O23">
        <v>22</v>
      </c>
      <c r="P23">
        <v>0</v>
      </c>
      <c r="Q23" s="1">
        <f t="shared" si="0"/>
        <v>16381883.033430446</v>
      </c>
    </row>
    <row r="24" spans="14:17" x14ac:dyDescent="0.35">
      <c r="N24" t="s">
        <v>26</v>
      </c>
      <c r="O24">
        <v>23</v>
      </c>
      <c r="P24" s="1">
        <f>$B$10*(1+$AC$2)^(O24-1)</f>
        <v>190141946.79491204</v>
      </c>
      <c r="Q24" s="1">
        <f t="shared" si="0"/>
        <v>17200977.185101967</v>
      </c>
    </row>
    <row r="25" spans="14:17" x14ac:dyDescent="0.35">
      <c r="O25">
        <v>24</v>
      </c>
      <c r="P25">
        <v>0</v>
      </c>
      <c r="Q25" s="1">
        <f t="shared" si="0"/>
        <v>18061026.044357069</v>
      </c>
    </row>
    <row r="26" spans="14:17" x14ac:dyDescent="0.35">
      <c r="O26">
        <v>25</v>
      </c>
      <c r="P26">
        <v>0</v>
      </c>
      <c r="Q26" s="1">
        <f t="shared" si="0"/>
        <v>18964077.346574917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ADBB-B817-476F-B067-D16C5E085AF5}">
  <dimension ref="A1:AD26"/>
  <sheetViews>
    <sheetView workbookViewId="0">
      <selection activeCell="N1" sqref="N1:AD27"/>
    </sheetView>
  </sheetViews>
  <sheetFormatPr baseColWidth="10" defaultRowHeight="14.5" x14ac:dyDescent="0.35"/>
  <cols>
    <col min="1" max="1" width="22.5429687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3436</v>
      </c>
      <c r="O2">
        <v>1</v>
      </c>
      <c r="P2" s="1">
        <f>T15</f>
        <v>53380689.938387513</v>
      </c>
      <c r="Q2" s="1">
        <f>($X$15+$H$5*$H$6)*(1+$AD$2)^(O2-1)</f>
        <v>918834.01095226174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17764.12</v>
      </c>
      <c r="O3">
        <v>2</v>
      </c>
      <c r="P3">
        <v>0</v>
      </c>
      <c r="Q3" s="1">
        <f t="shared" ref="Q3:Q26" si="0">($X$15+$H$5*$H$6)*(1+$AD$2)^(O3-1)</f>
        <v>964775.71149987483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0</v>
      </c>
      <c r="C4">
        <v>25</v>
      </c>
      <c r="D4" s="1">
        <f>B4*0.028</f>
        <v>0</v>
      </c>
      <c r="E4" s="1"/>
      <c r="J4" s="2" t="s">
        <v>13</v>
      </c>
      <c r="K4" s="3" t="s">
        <v>10</v>
      </c>
      <c r="L4">
        <v>10797</v>
      </c>
      <c r="O4">
        <v>3</v>
      </c>
      <c r="P4">
        <v>0</v>
      </c>
      <c r="Q4" s="1">
        <f t="shared" si="0"/>
        <v>1013014.4970748686</v>
      </c>
      <c r="S4" s="2" t="s">
        <v>15</v>
      </c>
      <c r="T4" s="1">
        <f>B4</f>
        <v>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27</v>
      </c>
      <c r="AA4">
        <v>1238092</v>
      </c>
    </row>
    <row r="5" spans="1:30" x14ac:dyDescent="0.35">
      <c r="A5" s="2" t="s">
        <v>16</v>
      </c>
      <c r="B5" s="1">
        <v>14307234</v>
      </c>
      <c r="C5">
        <v>25</v>
      </c>
      <c r="D5" s="1">
        <f>B5*0.017</f>
        <v>243222.97800000003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1063665.2219286121</v>
      </c>
      <c r="S5" s="2" t="s">
        <v>16</v>
      </c>
      <c r="T5" s="1">
        <f t="shared" ref="T5:T14" si="3">B5</f>
        <v>14307234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243222.97800000003</v>
      </c>
      <c r="Y5">
        <f>T5/AA5</f>
        <v>25.5</v>
      </c>
      <c r="Z5" t="s">
        <v>27</v>
      </c>
      <c r="AA5">
        <v>561068</v>
      </c>
    </row>
    <row r="6" spans="1:30" x14ac:dyDescent="0.35">
      <c r="A6" s="2" t="s">
        <v>18</v>
      </c>
      <c r="B6" s="1">
        <v>6000000</v>
      </c>
      <c r="C6">
        <v>40</v>
      </c>
      <c r="D6" s="1">
        <f>B6*0.007</f>
        <v>42000</v>
      </c>
      <c r="E6" s="1"/>
      <c r="F6" s="2" t="s">
        <v>30</v>
      </c>
      <c r="G6" t="s">
        <v>10</v>
      </c>
      <c r="H6">
        <v>0</v>
      </c>
      <c r="O6">
        <v>5</v>
      </c>
      <c r="P6">
        <v>0</v>
      </c>
      <c r="Q6" s="1">
        <f t="shared" si="0"/>
        <v>1116848.4830250426</v>
      </c>
      <c r="S6" s="2" t="s">
        <v>18</v>
      </c>
      <c r="T6" s="1">
        <f t="shared" si="3"/>
        <v>6000000</v>
      </c>
      <c r="U6" s="4">
        <f t="shared" si="1"/>
        <v>40</v>
      </c>
      <c r="V6" s="1">
        <f t="shared" si="4"/>
        <v>15</v>
      </c>
      <c r="W6" s="1">
        <f t="shared" si="5"/>
        <v>2250000</v>
      </c>
      <c r="X6" s="1">
        <f t="shared" si="2"/>
        <v>42000</v>
      </c>
    </row>
    <row r="7" spans="1:30" x14ac:dyDescent="0.35">
      <c r="A7" s="2" t="s">
        <v>19</v>
      </c>
      <c r="B7" s="1">
        <v>6677846.5</v>
      </c>
      <c r="C7">
        <v>40</v>
      </c>
      <c r="D7" s="1">
        <f>B7*0.02</f>
        <v>133556.93</v>
      </c>
      <c r="E7" s="1"/>
      <c r="O7">
        <v>6</v>
      </c>
      <c r="P7">
        <v>0</v>
      </c>
      <c r="Q7" s="1">
        <f t="shared" si="0"/>
        <v>1172690.9071762948</v>
      </c>
      <c r="S7" s="2" t="s">
        <v>19</v>
      </c>
      <c r="T7" s="1">
        <f t="shared" si="3"/>
        <v>6677846.5</v>
      </c>
      <c r="U7" s="4">
        <f t="shared" si="1"/>
        <v>40</v>
      </c>
      <c r="V7" s="1">
        <f t="shared" si="4"/>
        <v>15</v>
      </c>
      <c r="W7" s="1">
        <f t="shared" si="5"/>
        <v>2504192.4375</v>
      </c>
      <c r="X7" s="1">
        <f t="shared" si="2"/>
        <v>133556.93</v>
      </c>
    </row>
    <row r="8" spans="1:30" x14ac:dyDescent="0.35">
      <c r="A8" s="2" t="s">
        <v>20</v>
      </c>
      <c r="B8" s="1">
        <v>2400000</v>
      </c>
      <c r="C8">
        <v>20</v>
      </c>
      <c r="D8" s="1">
        <f>B8*0.015</f>
        <v>36000</v>
      </c>
      <c r="E8" s="1"/>
      <c r="O8">
        <v>7</v>
      </c>
      <c r="P8">
        <v>0</v>
      </c>
      <c r="Q8" s="1">
        <f t="shared" si="0"/>
        <v>1231325.4525351094</v>
      </c>
      <c r="S8" s="2" t="s">
        <v>20</v>
      </c>
      <c r="T8" s="1">
        <f t="shared" si="3"/>
        <v>2400000</v>
      </c>
      <c r="U8" s="4">
        <f t="shared" si="1"/>
        <v>20</v>
      </c>
      <c r="V8" s="1">
        <f t="shared" si="4"/>
        <v>15</v>
      </c>
      <c r="W8" s="1">
        <f>P22*(V8/U8)</f>
        <v>4775935.8692599572</v>
      </c>
      <c r="X8" s="1">
        <f t="shared" si="2"/>
        <v>36000</v>
      </c>
      <c r="Y8">
        <f>T8/AA8</f>
        <v>8</v>
      </c>
      <c r="Z8" t="s">
        <v>27</v>
      </c>
      <c r="AA8">
        <v>300000</v>
      </c>
    </row>
    <row r="9" spans="1:30" x14ac:dyDescent="0.35">
      <c r="A9" s="2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1292891.7251618651</v>
      </c>
      <c r="S9" s="2" t="s">
        <v>25</v>
      </c>
      <c r="T9" s="1">
        <f t="shared" si="3"/>
        <v>6750000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135000</v>
      </c>
    </row>
    <row r="10" spans="1:30" x14ac:dyDescent="0.35">
      <c r="A10" s="2" t="s">
        <v>26</v>
      </c>
      <c r="B10" s="1">
        <f>0.55*15000000</f>
        <v>8250000.0000000009</v>
      </c>
      <c r="C10">
        <v>21.33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1357536.3114199582</v>
      </c>
      <c r="S10" s="2" t="s">
        <v>26</v>
      </c>
      <c r="T10" s="1">
        <f t="shared" si="3"/>
        <v>8250000.0000000009</v>
      </c>
      <c r="U10" s="4">
        <f t="shared" si="1"/>
        <v>21.33</v>
      </c>
      <c r="V10" s="4">
        <f t="shared" si="4"/>
        <v>17.659999999999997</v>
      </c>
      <c r="W10" s="1">
        <f>P24*(V10/U10)</f>
        <v>19981053.004641142</v>
      </c>
      <c r="X10" s="1">
        <f t="shared" si="2"/>
        <v>165000.00000000003</v>
      </c>
    </row>
    <row r="11" spans="1:30" x14ac:dyDescent="0.35">
      <c r="A11" s="2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1425413.1269909563</v>
      </c>
      <c r="S11" s="2" t="s">
        <v>21</v>
      </c>
      <c r="T11" s="1">
        <f t="shared" si="3"/>
        <v>334577.85778577859</v>
      </c>
      <c r="U11" s="4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2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O12">
        <v>11</v>
      </c>
      <c r="P12" s="1">
        <v>0</v>
      </c>
      <c r="Q12" s="1">
        <f t="shared" si="0"/>
        <v>1496683.7833405042</v>
      </c>
      <c r="S12" s="2" t="s">
        <v>22</v>
      </c>
      <c r="T12" s="1">
        <f t="shared" si="3"/>
        <v>2254964.297120431</v>
      </c>
      <c r="U12" s="4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2" t="s">
        <v>23</v>
      </c>
      <c r="B13" s="1">
        <v>5663503.9125608867</v>
      </c>
      <c r="C13">
        <v>30</v>
      </c>
      <c r="D13" s="1">
        <f>B13*0.02</f>
        <v>113270.07825121774</v>
      </c>
      <c r="E13" s="1"/>
      <c r="O13">
        <v>12</v>
      </c>
      <c r="P13">
        <v>0</v>
      </c>
      <c r="Q13" s="1">
        <f t="shared" si="0"/>
        <v>1571517.9725075294</v>
      </c>
      <c r="S13" s="2" t="s">
        <v>23</v>
      </c>
      <c r="T13" s="1">
        <f t="shared" si="3"/>
        <v>5663503.9125608867</v>
      </c>
      <c r="U13" s="4">
        <f t="shared" si="1"/>
        <v>30</v>
      </c>
      <c r="V13" s="1">
        <f t="shared" si="4"/>
        <v>5</v>
      </c>
      <c r="W13" s="1">
        <f t="shared" si="5"/>
        <v>943917.31876014778</v>
      </c>
      <c r="X13" s="1">
        <f t="shared" si="2"/>
        <v>113270.07825121774</v>
      </c>
    </row>
    <row r="14" spans="1:30" x14ac:dyDescent="0.35">
      <c r="A14" s="2" t="s">
        <v>24</v>
      </c>
      <c r="B14" s="1">
        <v>742563.37092042319</v>
      </c>
      <c r="C14">
        <v>30</v>
      </c>
      <c r="D14" s="1">
        <f>B14*0.02</f>
        <v>14851.267418408464</v>
      </c>
      <c r="E14" s="1"/>
      <c r="O14">
        <v>13</v>
      </c>
      <c r="P14">
        <v>0</v>
      </c>
      <c r="Q14" s="1">
        <f t="shared" si="0"/>
        <v>1650093.8711329056</v>
      </c>
      <c r="S14" s="2" t="s">
        <v>24</v>
      </c>
      <c r="T14" s="1">
        <f t="shared" si="3"/>
        <v>742563.37092042319</v>
      </c>
      <c r="U14" s="4">
        <f t="shared" si="1"/>
        <v>30</v>
      </c>
      <c r="V14" s="1">
        <f t="shared" si="4"/>
        <v>5</v>
      </c>
      <c r="W14" s="1">
        <f t="shared" si="5"/>
        <v>123760.56182007052</v>
      </c>
      <c r="X14" s="1">
        <f t="shared" si="2"/>
        <v>14851.267418408464</v>
      </c>
    </row>
    <row r="15" spans="1:30" x14ac:dyDescent="0.35">
      <c r="O15">
        <v>14</v>
      </c>
      <c r="P15">
        <v>0</v>
      </c>
      <c r="Q15" s="1">
        <f t="shared" si="0"/>
        <v>1732598.5646895512</v>
      </c>
      <c r="S15" s="2" t="s">
        <v>42</v>
      </c>
      <c r="T15" s="1">
        <f>SUM(T4:T14)</f>
        <v>53380689.938387513</v>
      </c>
      <c r="W15" s="1">
        <f>SUM(W4:W14)</f>
        <v>31010449.551132351</v>
      </c>
      <c r="X15" s="1">
        <f>SUM(X4:X14)</f>
        <v>918834.01095226174</v>
      </c>
    </row>
    <row r="16" spans="1:30" x14ac:dyDescent="0.35">
      <c r="O16">
        <v>15</v>
      </c>
      <c r="P16">
        <v>0</v>
      </c>
      <c r="Q16" s="1">
        <f t="shared" si="0"/>
        <v>1819228.4929240283</v>
      </c>
    </row>
    <row r="17" spans="14:17" x14ac:dyDescent="0.35">
      <c r="O17">
        <v>16</v>
      </c>
      <c r="P17">
        <v>0</v>
      </c>
      <c r="Q17" s="1">
        <f t="shared" si="0"/>
        <v>1910189.9175702303</v>
      </c>
    </row>
    <row r="18" spans="14:17" x14ac:dyDescent="0.35">
      <c r="O18">
        <v>17</v>
      </c>
      <c r="P18">
        <v>0</v>
      </c>
      <c r="Q18" s="1">
        <f t="shared" si="0"/>
        <v>2005699.4134487417</v>
      </c>
    </row>
    <row r="19" spans="14:17" x14ac:dyDescent="0.35">
      <c r="O19">
        <v>18</v>
      </c>
      <c r="P19">
        <v>0</v>
      </c>
      <c r="Q19" s="1">
        <f t="shared" si="0"/>
        <v>2105984.3841211791</v>
      </c>
    </row>
    <row r="20" spans="14:17" x14ac:dyDescent="0.35">
      <c r="O20">
        <v>19</v>
      </c>
      <c r="P20">
        <v>0</v>
      </c>
      <c r="Q20" s="1">
        <f t="shared" si="0"/>
        <v>2211283.603327238</v>
      </c>
    </row>
    <row r="21" spans="14:17" x14ac:dyDescent="0.35">
      <c r="O21">
        <v>20</v>
      </c>
      <c r="P21" s="1">
        <v>0</v>
      </c>
      <c r="Q21" s="1">
        <f t="shared" si="0"/>
        <v>2321847.7834935999</v>
      </c>
    </row>
    <row r="22" spans="14:17" x14ac:dyDescent="0.35">
      <c r="N22" t="s">
        <v>20</v>
      </c>
      <c r="O22">
        <v>21</v>
      </c>
      <c r="P22" s="1">
        <f>$B$8*(1+$AC$2)^(O22-1)</f>
        <v>6367914.4923466099</v>
      </c>
      <c r="Q22" s="1">
        <f t="shared" si="0"/>
        <v>2437940.1726682796</v>
      </c>
    </row>
    <row r="23" spans="14:17" x14ac:dyDescent="0.35">
      <c r="O23">
        <v>22</v>
      </c>
      <c r="P23">
        <v>0</v>
      </c>
      <c r="Q23" s="1">
        <f t="shared" si="0"/>
        <v>2559837.1813016939</v>
      </c>
    </row>
    <row r="24" spans="14:17" x14ac:dyDescent="0.35">
      <c r="N24" t="s">
        <v>26</v>
      </c>
      <c r="O24">
        <v>23</v>
      </c>
      <c r="P24" s="1">
        <f>$B$10*(1+$AC$2)^(O24-1)</f>
        <v>24133400.939354222</v>
      </c>
      <c r="Q24" s="1">
        <f t="shared" si="0"/>
        <v>2687829.0403667782</v>
      </c>
    </row>
    <row r="25" spans="14:17" x14ac:dyDescent="0.35">
      <c r="O25">
        <v>24</v>
      </c>
      <c r="P25">
        <v>0</v>
      </c>
      <c r="Q25" s="1">
        <f t="shared" si="0"/>
        <v>2822220.4923851178</v>
      </c>
    </row>
    <row r="26" spans="14:17" x14ac:dyDescent="0.35">
      <c r="O26">
        <v>25</v>
      </c>
      <c r="P26">
        <v>0</v>
      </c>
      <c r="Q26" s="1">
        <f t="shared" si="0"/>
        <v>2963331.517004373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F99D-B8FF-424F-84B0-A360A1098E61}">
  <dimension ref="A1:AD26"/>
  <sheetViews>
    <sheetView workbookViewId="0">
      <selection activeCell="N1" sqref="N1:AD26"/>
    </sheetView>
  </sheetViews>
  <sheetFormatPr baseColWidth="10" defaultRowHeight="14.5" x14ac:dyDescent="0.35"/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291347</v>
      </c>
      <c r="O2">
        <v>1</v>
      </c>
      <c r="P2" s="1">
        <f>T15</f>
        <v>1813151117.0765545</v>
      </c>
      <c r="Q2" s="1">
        <f>($X$15+$H$5*$H$6)*(1+$AD$2)^(O2-1)</f>
        <v>45520319.455321282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1506263.99</v>
      </c>
      <c r="O3">
        <v>2</v>
      </c>
      <c r="P3">
        <v>0</v>
      </c>
      <c r="Q3" s="1">
        <f t="shared" ref="Q3:Q26" si="0">($X$15+$H$5*$H$6)*(1+$AD$2)^(O3-1)</f>
        <v>47796335.428087346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742855200</v>
      </c>
      <c r="C4">
        <v>25</v>
      </c>
      <c r="D4" s="1">
        <f>B4*0.028</f>
        <v>20799945.600000001</v>
      </c>
      <c r="E4" s="1"/>
      <c r="J4" s="2" t="s">
        <v>13</v>
      </c>
      <c r="K4" s="3" t="s">
        <v>10</v>
      </c>
      <c r="L4">
        <v>234814</v>
      </c>
      <c r="O4">
        <v>3</v>
      </c>
      <c r="P4">
        <v>0</v>
      </c>
      <c r="Q4" s="1">
        <f t="shared" si="0"/>
        <v>50186152.199491717</v>
      </c>
      <c r="S4" s="2" t="s">
        <v>15</v>
      </c>
      <c r="T4" s="1">
        <f>B4</f>
        <v>742855200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20799945.600000001</v>
      </c>
      <c r="Y4">
        <f>T4/AA4</f>
        <v>600</v>
      </c>
      <c r="Z4" t="s">
        <v>27</v>
      </c>
      <c r="AA4">
        <v>1238092</v>
      </c>
    </row>
    <row r="5" spans="1:30" x14ac:dyDescent="0.35">
      <c r="A5" s="2" t="s">
        <v>16</v>
      </c>
      <c r="B5" s="1">
        <v>350667500</v>
      </c>
      <c r="C5">
        <v>25</v>
      </c>
      <c r="D5" s="1">
        <f>B5*0.017</f>
        <v>5961347.5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52695459.809466302</v>
      </c>
      <c r="S5" s="2" t="s">
        <v>16</v>
      </c>
      <c r="T5" s="1">
        <f t="shared" ref="T5:T14" si="3">B5</f>
        <v>350667500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5961347.5</v>
      </c>
      <c r="Y5">
        <f>T5/AA5</f>
        <v>625</v>
      </c>
      <c r="Z5" t="s">
        <v>27</v>
      </c>
      <c r="AA5">
        <v>561068</v>
      </c>
    </row>
    <row r="6" spans="1:30" x14ac:dyDescent="0.35">
      <c r="A6" s="2" t="s">
        <v>18</v>
      </c>
      <c r="B6" s="1">
        <v>10800000</v>
      </c>
      <c r="C6">
        <v>40</v>
      </c>
      <c r="D6" s="1">
        <f>B6*0.007</f>
        <v>75600</v>
      </c>
      <c r="E6" s="1"/>
      <c r="F6" s="2" t="s">
        <v>30</v>
      </c>
      <c r="G6" t="s">
        <v>10</v>
      </c>
      <c r="H6">
        <v>2872857.5291439574</v>
      </c>
      <c r="O6">
        <v>5</v>
      </c>
      <c r="P6">
        <v>0</v>
      </c>
      <c r="Q6" s="1">
        <f t="shared" si="0"/>
        <v>55330232.799939618</v>
      </c>
      <c r="S6" s="2" t="s">
        <v>18</v>
      </c>
      <c r="T6" s="1">
        <f t="shared" si="3"/>
        <v>10800000</v>
      </c>
      <c r="U6" s="4">
        <f t="shared" si="1"/>
        <v>40</v>
      </c>
      <c r="V6" s="1">
        <f t="shared" si="4"/>
        <v>15</v>
      </c>
      <c r="W6" s="1">
        <f t="shared" si="5"/>
        <v>4050000</v>
      </c>
      <c r="X6" s="1">
        <f t="shared" si="2"/>
        <v>75600</v>
      </c>
    </row>
    <row r="7" spans="1:30" x14ac:dyDescent="0.35">
      <c r="A7" s="2" t="s">
        <v>19</v>
      </c>
      <c r="B7" s="1">
        <v>87477325</v>
      </c>
      <c r="C7">
        <v>40</v>
      </c>
      <c r="D7" s="1">
        <f>B7*0.02</f>
        <v>1749546.5</v>
      </c>
      <c r="E7" s="1"/>
      <c r="O7">
        <v>6</v>
      </c>
      <c r="P7">
        <v>0</v>
      </c>
      <c r="Q7" s="1">
        <f t="shared" si="0"/>
        <v>58096744.439936601</v>
      </c>
      <c r="S7" s="2" t="s">
        <v>19</v>
      </c>
      <c r="T7" s="1">
        <f t="shared" si="3"/>
        <v>87477325</v>
      </c>
      <c r="U7" s="4">
        <f t="shared" si="1"/>
        <v>40</v>
      </c>
      <c r="V7" s="1">
        <f t="shared" si="4"/>
        <v>15</v>
      </c>
      <c r="W7" s="1">
        <f t="shared" si="5"/>
        <v>32803996.875</v>
      </c>
      <c r="X7" s="1">
        <f t="shared" si="2"/>
        <v>1749546.5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61001581.661933422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f>P22*(V8/U8)</f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64051660.745030105</v>
      </c>
      <c r="S9" s="2" t="s">
        <v>25</v>
      </c>
      <c r="T9" s="1">
        <f t="shared" si="3"/>
        <v>108749999.99999999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2174999.9999999995</v>
      </c>
    </row>
    <row r="10" spans="1:30" x14ac:dyDescent="0.35">
      <c r="A10" s="2" t="s">
        <v>26</v>
      </c>
      <c r="B10" s="1">
        <f>0.71*375000000</f>
        <v>266250000</v>
      </c>
      <c r="C10">
        <v>10.44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67254243.782281607</v>
      </c>
      <c r="S10" s="2" t="s">
        <v>26</v>
      </c>
      <c r="T10" s="1">
        <f t="shared" si="3"/>
        <v>266250000</v>
      </c>
      <c r="U10" s="4">
        <f t="shared" si="1"/>
        <v>10.44</v>
      </c>
      <c r="V10" s="4">
        <f t="shared" si="4"/>
        <v>6.3199999999999985</v>
      </c>
      <c r="W10" s="1">
        <f>P23*(V10/U10)</f>
        <v>449036326.71157491</v>
      </c>
      <c r="X10" s="1">
        <f t="shared" si="2"/>
        <v>5325000</v>
      </c>
    </row>
    <row r="11" spans="1:30" x14ac:dyDescent="0.35">
      <c r="A11" s="2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70616955.971395686</v>
      </c>
      <c r="S11" s="2" t="s">
        <v>21</v>
      </c>
      <c r="T11" s="1">
        <f t="shared" si="3"/>
        <v>16728892.88928893</v>
      </c>
      <c r="U11" s="4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2" t="s">
        <v>22</v>
      </c>
      <c r="B12" s="1">
        <v>42429189.062592924</v>
      </c>
      <c r="C12">
        <v>30</v>
      </c>
      <c r="D12" s="1">
        <f>B12*0.01</f>
        <v>424291.89062592923</v>
      </c>
      <c r="E12" s="1"/>
      <c r="N12" t="s">
        <v>26</v>
      </c>
      <c r="O12">
        <v>11</v>
      </c>
      <c r="P12" s="1">
        <f>$B$10*(1+$AC$2)^(O12-1)</f>
        <v>433693194.37949383</v>
      </c>
      <c r="Q12" s="1">
        <f t="shared" si="0"/>
        <v>74147803.76996547</v>
      </c>
      <c r="S12" s="2" t="s">
        <v>22</v>
      </c>
      <c r="T12" s="1">
        <f t="shared" si="3"/>
        <v>42429189.062592924</v>
      </c>
      <c r="U12" s="4">
        <f t="shared" si="1"/>
        <v>30</v>
      </c>
      <c r="V12" s="1">
        <f t="shared" si="4"/>
        <v>5</v>
      </c>
      <c r="W12" s="1">
        <f t="shared" si="5"/>
        <v>7071531.5104321539</v>
      </c>
      <c r="X12" s="1">
        <f t="shared" si="2"/>
        <v>424291.89062592923</v>
      </c>
    </row>
    <row r="13" spans="1:30" x14ac:dyDescent="0.35">
      <c r="A13" s="2" t="s">
        <v>23</v>
      </c>
      <c r="B13" s="1">
        <v>126437825.2311835</v>
      </c>
      <c r="C13">
        <v>30</v>
      </c>
      <c r="D13" s="1">
        <f>B13*0.02</f>
        <v>2528756.5046236701</v>
      </c>
      <c r="E13" s="1"/>
      <c r="O13">
        <v>12</v>
      </c>
      <c r="P13">
        <v>0</v>
      </c>
      <c r="Q13" s="1">
        <f t="shared" si="0"/>
        <v>77855193.958463758</v>
      </c>
      <c r="S13" s="2" t="s">
        <v>23</v>
      </c>
      <c r="T13" s="1">
        <f t="shared" si="3"/>
        <v>126437825.2311835</v>
      </c>
      <c r="U13" s="4">
        <f t="shared" si="1"/>
        <v>30</v>
      </c>
      <c r="V13" s="1">
        <f t="shared" si="4"/>
        <v>5</v>
      </c>
      <c r="W13" s="1">
        <f t="shared" si="5"/>
        <v>21072970.871863917</v>
      </c>
      <c r="X13" s="1">
        <f t="shared" si="2"/>
        <v>2528756.5046236701</v>
      </c>
    </row>
    <row r="14" spans="1:30" x14ac:dyDescent="0.35">
      <c r="A14" s="2" t="s">
        <v>24</v>
      </c>
      <c r="B14" s="1">
        <v>60755184.893489167</v>
      </c>
      <c r="C14">
        <v>30</v>
      </c>
      <c r="D14" s="1">
        <f>B14*0.02</f>
        <v>1215103.6978697833</v>
      </c>
      <c r="E14" s="1"/>
      <c r="O14">
        <v>13</v>
      </c>
      <c r="P14">
        <v>0</v>
      </c>
      <c r="Q14" s="1">
        <f t="shared" si="0"/>
        <v>81747953.656386927</v>
      </c>
      <c r="S14" s="2" t="s">
        <v>24</v>
      </c>
      <c r="T14" s="1">
        <f t="shared" si="3"/>
        <v>60755184.893489167</v>
      </c>
      <c r="U14" s="4">
        <f t="shared" si="1"/>
        <v>30</v>
      </c>
      <c r="V14" s="1">
        <f t="shared" si="4"/>
        <v>5</v>
      </c>
      <c r="W14" s="1">
        <f t="shared" si="5"/>
        <v>10125864.148914861</v>
      </c>
      <c r="X14" s="1">
        <f t="shared" si="2"/>
        <v>1215103.6978697833</v>
      </c>
    </row>
    <row r="15" spans="1:30" x14ac:dyDescent="0.35">
      <c r="O15">
        <v>14</v>
      </c>
      <c r="P15">
        <v>0</v>
      </c>
      <c r="Q15" s="1">
        <f t="shared" si="0"/>
        <v>85835351.339206293</v>
      </c>
      <c r="S15" s="2" t="s">
        <v>42</v>
      </c>
      <c r="T15" s="1">
        <f>SUM(T4:T14)</f>
        <v>1813151117.0765545</v>
      </c>
      <c r="W15" s="1">
        <f>SUM(W4:W14)</f>
        <v>526948838.93266737</v>
      </c>
      <c r="X15" s="1">
        <f>SUM(X4:X14)</f>
        <v>40923747.408690952</v>
      </c>
    </row>
    <row r="16" spans="1:30" x14ac:dyDescent="0.35">
      <c r="O16">
        <v>15</v>
      </c>
      <c r="P16">
        <v>0</v>
      </c>
      <c r="Q16" s="1">
        <f t="shared" si="0"/>
        <v>90127118.906166583</v>
      </c>
    </row>
    <row r="17" spans="14:17" x14ac:dyDescent="0.35">
      <c r="O17">
        <v>16</v>
      </c>
      <c r="P17">
        <v>0</v>
      </c>
      <c r="Q17" s="1">
        <f t="shared" si="0"/>
        <v>94633474.851474941</v>
      </c>
    </row>
    <row r="18" spans="14:17" x14ac:dyDescent="0.35">
      <c r="O18">
        <v>17</v>
      </c>
      <c r="P18">
        <v>0</v>
      </c>
      <c r="Q18" s="1">
        <f t="shared" si="0"/>
        <v>99365148.594048679</v>
      </c>
    </row>
    <row r="19" spans="14:17" x14ac:dyDescent="0.35">
      <c r="O19">
        <v>18</v>
      </c>
      <c r="P19">
        <v>0</v>
      </c>
      <c r="Q19" s="1">
        <f t="shared" si="0"/>
        <v>104333406.02375112</v>
      </c>
    </row>
    <row r="20" spans="14:17" x14ac:dyDescent="0.35">
      <c r="O20">
        <v>19</v>
      </c>
      <c r="P20">
        <v>0</v>
      </c>
      <c r="Q20" s="1">
        <f t="shared" si="0"/>
        <v>109550076.32493868</v>
      </c>
    </row>
    <row r="21" spans="14:17" x14ac:dyDescent="0.35">
      <c r="O21">
        <v>20</v>
      </c>
      <c r="P21" s="1">
        <v>0</v>
      </c>
      <c r="Q21" s="1">
        <f t="shared" si="0"/>
        <v>115027580.14118561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120778959.14824489</v>
      </c>
    </row>
    <row r="23" spans="14:17" x14ac:dyDescent="0.35">
      <c r="N23" t="s">
        <v>26</v>
      </c>
      <c r="O23">
        <v>22</v>
      </c>
      <c r="P23" s="1">
        <f>$B$10*(1+$AC$2)^(O23-1)</f>
        <v>741762539.69443715</v>
      </c>
      <c r="Q23" s="1">
        <f t="shared" si="0"/>
        <v>126817907.10565713</v>
      </c>
    </row>
    <row r="24" spans="14:17" x14ac:dyDescent="0.35">
      <c r="O24">
        <v>23</v>
      </c>
      <c r="P24">
        <v>0</v>
      </c>
      <c r="Q24" s="1">
        <f t="shared" si="0"/>
        <v>133158802.46093999</v>
      </c>
    </row>
    <row r="25" spans="14:17" x14ac:dyDescent="0.35">
      <c r="O25">
        <v>24</v>
      </c>
      <c r="P25">
        <v>0</v>
      </c>
      <c r="Q25" s="1">
        <f t="shared" si="0"/>
        <v>139816742.583987</v>
      </c>
    </row>
    <row r="26" spans="14:17" x14ac:dyDescent="0.35">
      <c r="O26">
        <v>25</v>
      </c>
      <c r="P26">
        <v>0</v>
      </c>
      <c r="Q26" s="1">
        <f t="shared" si="0"/>
        <v>146807579.71318635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988-2977-485D-9954-F2FA746601A8}">
  <dimension ref="A1:AD26"/>
  <sheetViews>
    <sheetView workbookViewId="0">
      <selection activeCell="N1" sqref="N1:AD26"/>
    </sheetView>
  </sheetViews>
  <sheetFormatPr baseColWidth="10" defaultRowHeight="14.5" x14ac:dyDescent="0.35"/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60216</v>
      </c>
      <c r="O2">
        <v>1</v>
      </c>
      <c r="P2" s="1">
        <f>T15</f>
        <v>431888255.27468812</v>
      </c>
      <c r="Q2" s="1">
        <f>($X$15+$H$5*$H$6)*(1+$AD$2)^(O2-1)</f>
        <v>10391774.696542898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311316.71999999997</v>
      </c>
      <c r="O3">
        <v>2</v>
      </c>
      <c r="P3">
        <v>0</v>
      </c>
      <c r="Q3" s="1">
        <f t="shared" ref="Q3:Q26" si="0">($X$15+$H$5*$H$6)*(1+$AD$2)^(O3-1)</f>
        <v>10911363.431370044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154761500</v>
      </c>
      <c r="C4">
        <v>25</v>
      </c>
      <c r="D4" s="1">
        <f>B4*0.028</f>
        <v>4333322</v>
      </c>
      <c r="E4" s="1"/>
      <c r="J4" s="2" t="s">
        <v>13</v>
      </c>
      <c r="K4" s="3" t="s">
        <v>10</v>
      </c>
      <c r="L4">
        <v>61143</v>
      </c>
      <c r="O4">
        <v>3</v>
      </c>
      <c r="P4">
        <v>0</v>
      </c>
      <c r="Q4" s="1">
        <f t="shared" si="0"/>
        <v>11456931.602938546</v>
      </c>
      <c r="S4" s="2" t="s">
        <v>15</v>
      </c>
      <c r="T4" s="1">
        <f>B4</f>
        <v>154761500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4333322</v>
      </c>
      <c r="Y4">
        <f>T4/AA4</f>
        <v>125</v>
      </c>
      <c r="Z4" t="s">
        <v>27</v>
      </c>
      <c r="AA4">
        <v>1238092</v>
      </c>
    </row>
    <row r="5" spans="1:30" x14ac:dyDescent="0.35">
      <c r="A5" s="2" t="s">
        <v>16</v>
      </c>
      <c r="B5" s="1">
        <v>75744180</v>
      </c>
      <c r="C5">
        <v>25</v>
      </c>
      <c r="D5" s="1">
        <f>B5*0.017</f>
        <v>1287651.06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12029778.183085473</v>
      </c>
      <c r="S5" s="2" t="s">
        <v>16</v>
      </c>
      <c r="T5" s="1">
        <f t="shared" ref="T5:T14" si="3">B5</f>
        <v>75744180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1287651.06</v>
      </c>
      <c r="Y5">
        <f>T5/AA5</f>
        <v>135</v>
      </c>
      <c r="Z5" t="s">
        <v>27</v>
      </c>
      <c r="AA5">
        <v>561068</v>
      </c>
    </row>
    <row r="6" spans="1:30" x14ac:dyDescent="0.35">
      <c r="A6" s="2" t="s">
        <v>18</v>
      </c>
      <c r="B6" s="1">
        <v>9250000</v>
      </c>
      <c r="C6">
        <v>40</v>
      </c>
      <c r="D6" s="1">
        <f>B6*0.007</f>
        <v>64750</v>
      </c>
      <c r="E6" s="1"/>
      <c r="F6" s="2" t="s">
        <v>30</v>
      </c>
      <c r="G6" t="s">
        <v>10</v>
      </c>
      <c r="H6">
        <v>593131.72626400576</v>
      </c>
      <c r="O6">
        <v>5</v>
      </c>
      <c r="P6">
        <v>0</v>
      </c>
      <c r="Q6" s="1">
        <f t="shared" si="0"/>
        <v>12631267.092239747</v>
      </c>
      <c r="S6" s="2" t="s">
        <v>18</v>
      </c>
      <c r="T6" s="1">
        <f t="shared" si="3"/>
        <v>9250000</v>
      </c>
      <c r="U6" s="4">
        <f t="shared" si="1"/>
        <v>40</v>
      </c>
      <c r="V6" s="1">
        <f t="shared" si="4"/>
        <v>15</v>
      </c>
      <c r="W6" s="1">
        <f t="shared" si="5"/>
        <v>3468750</v>
      </c>
      <c r="X6" s="1">
        <f t="shared" si="2"/>
        <v>64750</v>
      </c>
    </row>
    <row r="7" spans="1:30" x14ac:dyDescent="0.35">
      <c r="A7" s="2" t="s">
        <v>19</v>
      </c>
      <c r="B7" s="1">
        <v>18234710</v>
      </c>
      <c r="C7">
        <v>40</v>
      </c>
      <c r="D7" s="1">
        <f>B7*0.02</f>
        <v>364694.2</v>
      </c>
      <c r="E7" s="1"/>
      <c r="O7">
        <v>6</v>
      </c>
      <c r="P7">
        <v>0</v>
      </c>
      <c r="Q7" s="1">
        <f t="shared" si="0"/>
        <v>13262830.446851734</v>
      </c>
      <c r="S7" s="2" t="s">
        <v>19</v>
      </c>
      <c r="T7" s="1">
        <f t="shared" si="3"/>
        <v>18234710</v>
      </c>
      <c r="U7" s="4">
        <f t="shared" si="1"/>
        <v>40</v>
      </c>
      <c r="V7" s="1">
        <f t="shared" si="4"/>
        <v>15</v>
      </c>
      <c r="W7" s="1">
        <f t="shared" si="5"/>
        <v>6838016.25</v>
      </c>
      <c r="X7" s="1">
        <f t="shared" si="2"/>
        <v>364694.2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13925971.969194319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f>P22*(V8/U8)</f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14622270.567654038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10.44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15353384.096036738</v>
      </c>
      <c r="S10" s="2" t="s">
        <v>26</v>
      </c>
      <c r="T10" s="1">
        <f t="shared" si="3"/>
        <v>65000000</v>
      </c>
      <c r="U10" s="4">
        <f t="shared" si="1"/>
        <v>10.44</v>
      </c>
      <c r="V10" s="4">
        <f t="shared" si="4"/>
        <v>6.3199999999999985</v>
      </c>
      <c r="W10" s="1">
        <f>P23*(V10/U10)</f>
        <v>109623891.96714504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16121053.300838577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105878150.74053369</v>
      </c>
      <c r="Q12" s="1">
        <f t="shared" si="0"/>
        <v>16927105.965880506</v>
      </c>
      <c r="S12" s="2" t="s">
        <v>22</v>
      </c>
      <c r="T12" s="1">
        <f t="shared" si="3"/>
        <v>15252620.253043231</v>
      </c>
      <c r="U12" s="4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2" t="s">
        <v>23</v>
      </c>
      <c r="B13" s="1">
        <v>43148429.465089269</v>
      </c>
      <c r="C13">
        <v>30</v>
      </c>
      <c r="D13" s="1">
        <f>B13*0.02</f>
        <v>862968.58930178545</v>
      </c>
      <c r="E13" s="1"/>
      <c r="O13">
        <v>12</v>
      </c>
      <c r="P13">
        <v>0</v>
      </c>
      <c r="Q13" s="1">
        <f t="shared" si="0"/>
        <v>17773461.264174532</v>
      </c>
      <c r="S13" s="2" t="s">
        <v>23</v>
      </c>
      <c r="T13" s="1">
        <f t="shared" si="3"/>
        <v>43148429.465089269</v>
      </c>
      <c r="U13" s="4">
        <f t="shared" si="1"/>
        <v>30</v>
      </c>
      <c r="V13" s="1">
        <f t="shared" si="4"/>
        <v>5</v>
      </c>
      <c r="W13" s="1">
        <f t="shared" si="5"/>
        <v>7191404.9108482115</v>
      </c>
      <c r="X13" s="1">
        <f t="shared" si="2"/>
        <v>862968.58930178545</v>
      </c>
    </row>
    <row r="14" spans="1:30" x14ac:dyDescent="0.35">
      <c r="A14" s="2" t="s">
        <v>24</v>
      </c>
      <c r="B14" s="1">
        <v>12151036.978697831</v>
      </c>
      <c r="C14">
        <v>30</v>
      </c>
      <c r="D14" s="1">
        <f>B14*0.02</f>
        <v>243020.73957395661</v>
      </c>
      <c r="E14" s="1"/>
      <c r="O14">
        <v>13</v>
      </c>
      <c r="P14">
        <v>0</v>
      </c>
      <c r="Q14" s="1">
        <f t="shared" si="0"/>
        <v>18662134.327383257</v>
      </c>
      <c r="S14" s="2" t="s">
        <v>24</v>
      </c>
      <c r="T14" s="1">
        <f t="shared" si="3"/>
        <v>12151036.978697831</v>
      </c>
      <c r="U14" s="4">
        <f t="shared" si="1"/>
        <v>30</v>
      </c>
      <c r="V14" s="1">
        <f t="shared" si="4"/>
        <v>5</v>
      </c>
      <c r="W14" s="1">
        <f t="shared" si="5"/>
        <v>2025172.8297829716</v>
      </c>
      <c r="X14" s="1">
        <f t="shared" si="2"/>
        <v>243020.73957395661</v>
      </c>
    </row>
    <row r="15" spans="1:30" x14ac:dyDescent="0.35">
      <c r="O15">
        <v>14</v>
      </c>
      <c r="P15">
        <v>0</v>
      </c>
      <c r="Q15" s="1">
        <f t="shared" si="0"/>
        <v>19595241.043752421</v>
      </c>
      <c r="S15" s="2" t="s">
        <v>42</v>
      </c>
      <c r="T15" s="1">
        <f>SUM(T4:T14)</f>
        <v>431888255.27468812</v>
      </c>
      <c r="W15" s="1">
        <f>SUM(W4:W14)</f>
        <v>132246969.09625974</v>
      </c>
      <c r="X15" s="1">
        <f>SUM(X4:X14)</f>
        <v>9442763.9345204886</v>
      </c>
    </row>
    <row r="16" spans="1:30" x14ac:dyDescent="0.35">
      <c r="O16">
        <v>15</v>
      </c>
      <c r="P16">
        <v>0</v>
      </c>
      <c r="Q16" s="1">
        <f t="shared" si="0"/>
        <v>20575003.095940039</v>
      </c>
    </row>
    <row r="17" spans="14:17" x14ac:dyDescent="0.35">
      <c r="O17">
        <v>16</v>
      </c>
      <c r="P17">
        <v>0</v>
      </c>
      <c r="Q17" s="1">
        <f t="shared" si="0"/>
        <v>21603753.250737049</v>
      </c>
    </row>
    <row r="18" spans="14:17" x14ac:dyDescent="0.35">
      <c r="O18">
        <v>17</v>
      </c>
      <c r="P18">
        <v>0</v>
      </c>
      <c r="Q18" s="1">
        <f t="shared" si="0"/>
        <v>22683940.913273897</v>
      </c>
    </row>
    <row r="19" spans="14:17" x14ac:dyDescent="0.35">
      <c r="O19">
        <v>18</v>
      </c>
      <c r="P19">
        <v>0</v>
      </c>
      <c r="Q19" s="1">
        <f t="shared" si="0"/>
        <v>23818137.958937597</v>
      </c>
    </row>
    <row r="20" spans="14:17" x14ac:dyDescent="0.35">
      <c r="O20">
        <v>19</v>
      </c>
      <c r="P20">
        <v>0</v>
      </c>
      <c r="Q20" s="1">
        <f t="shared" si="0"/>
        <v>25009044.856884476</v>
      </c>
    </row>
    <row r="21" spans="14:17" x14ac:dyDescent="0.35">
      <c r="O21">
        <v>20</v>
      </c>
      <c r="P21" s="1">
        <v>0</v>
      </c>
      <c r="Q21" s="1">
        <f t="shared" si="0"/>
        <v>26259497.0997287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27572471.954715133</v>
      </c>
    </row>
    <row r="23" spans="14:17" x14ac:dyDescent="0.35">
      <c r="N23" t="s">
        <v>26</v>
      </c>
      <c r="O23">
        <v>22</v>
      </c>
      <c r="P23" s="1">
        <f>$B$10*(1+$AC$2)^(O23-1)</f>
        <v>181087568.37610671</v>
      </c>
      <c r="Q23" s="1">
        <f t="shared" si="0"/>
        <v>28951095.552450888</v>
      </c>
    </row>
    <row r="24" spans="14:17" x14ac:dyDescent="0.35">
      <c r="O24">
        <v>23</v>
      </c>
      <c r="P24">
        <v>0</v>
      </c>
      <c r="Q24" s="1">
        <f t="shared" si="0"/>
        <v>30398650.330073431</v>
      </c>
    </row>
    <row r="25" spans="14:17" x14ac:dyDescent="0.35">
      <c r="O25">
        <v>24</v>
      </c>
      <c r="P25">
        <v>0</v>
      </c>
      <c r="Q25" s="1">
        <f t="shared" si="0"/>
        <v>31918582.846577108</v>
      </c>
    </row>
    <row r="26" spans="14:17" x14ac:dyDescent="0.35">
      <c r="O26">
        <v>25</v>
      </c>
      <c r="P26">
        <v>0</v>
      </c>
      <c r="Q26" s="1">
        <f t="shared" si="0"/>
        <v>33514511.988905959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7833-9637-4DAD-9FC7-17432E271BAD}">
  <dimension ref="A1:AD26"/>
  <sheetViews>
    <sheetView workbookViewId="0">
      <selection activeCell="F22" sqref="F22"/>
    </sheetView>
  </sheetViews>
  <sheetFormatPr baseColWidth="10" defaultRowHeight="14.5" x14ac:dyDescent="0.35"/>
  <cols>
    <col min="21" max="21" width="7.726562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6420</v>
      </c>
      <c r="O2">
        <v>1</v>
      </c>
      <c r="P2" s="1">
        <f>T15</f>
        <v>63682193.709693804</v>
      </c>
      <c r="Q2" s="1">
        <f>($X$15+$H$5*$H$6)*(1+$AD$2)^(O2-1)</f>
        <v>1442471.7061380632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33191.4</v>
      </c>
      <c r="O3">
        <v>2</v>
      </c>
      <c r="P3">
        <v>0</v>
      </c>
      <c r="Q3" s="1">
        <f t="shared" ref="Q3:Q26" si="0">($X$15+$H$5*$H$6)*(1+$AD$2)^(O3-1)</f>
        <v>1514595.2914449663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17333288</v>
      </c>
      <c r="C4">
        <v>25</v>
      </c>
      <c r="D4" s="1">
        <f>B4*0.028</f>
        <v>485332.06400000001</v>
      </c>
      <c r="E4" s="1"/>
      <c r="J4" s="2" t="s">
        <v>13</v>
      </c>
      <c r="K4" s="3" t="s">
        <v>10</v>
      </c>
      <c r="L4">
        <v>11441</v>
      </c>
      <c r="O4">
        <v>3</v>
      </c>
      <c r="P4">
        <v>0</v>
      </c>
      <c r="Q4" s="1">
        <f t="shared" si="0"/>
        <v>1590325.0560172147</v>
      </c>
      <c r="S4" s="2" t="s">
        <v>15</v>
      </c>
      <c r="T4" s="1">
        <f>B4</f>
        <v>17333288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485332.06400000001</v>
      </c>
      <c r="Y4">
        <f>T4/AA4</f>
        <v>14</v>
      </c>
      <c r="Z4" t="s">
        <v>27</v>
      </c>
      <c r="AA4">
        <v>1238092</v>
      </c>
    </row>
    <row r="5" spans="1:30" x14ac:dyDescent="0.35">
      <c r="A5" s="2" t="s">
        <v>16</v>
      </c>
      <c r="B5" s="1">
        <v>8977088</v>
      </c>
      <c r="C5">
        <v>25</v>
      </c>
      <c r="D5" s="1">
        <f>B5*0.017</f>
        <v>152610.49600000001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1669841.3088180756</v>
      </c>
      <c r="S5" s="2" t="s">
        <v>16</v>
      </c>
      <c r="T5" s="1">
        <f t="shared" ref="T5:T14" si="3">B5</f>
        <v>8977088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152610.49600000001</v>
      </c>
      <c r="Y5">
        <f>T5/AA5</f>
        <v>16</v>
      </c>
      <c r="Z5" t="s">
        <v>27</v>
      </c>
      <c r="AA5">
        <v>561068</v>
      </c>
    </row>
    <row r="6" spans="1:30" x14ac:dyDescent="0.35">
      <c r="A6" s="2" t="s">
        <v>18</v>
      </c>
      <c r="B6" s="1">
        <v>2000000</v>
      </c>
      <c r="C6">
        <v>40</v>
      </c>
      <c r="D6" s="1">
        <f>B6*0.007</f>
        <v>14000</v>
      </c>
      <c r="E6" s="1"/>
      <c r="F6" s="2" t="s">
        <v>30</v>
      </c>
      <c r="G6" t="s">
        <v>10</v>
      </c>
      <c r="H6">
        <v>63094.298599797126</v>
      </c>
      <c r="O6">
        <v>5</v>
      </c>
      <c r="P6">
        <v>0</v>
      </c>
      <c r="Q6" s="1">
        <f t="shared" si="0"/>
        <v>1753333.3742589792</v>
      </c>
      <c r="S6" s="2" t="s">
        <v>18</v>
      </c>
      <c r="T6" s="1">
        <f t="shared" si="3"/>
        <v>2000000</v>
      </c>
      <c r="U6" s="4">
        <f t="shared" si="1"/>
        <v>40</v>
      </c>
      <c r="V6" s="1">
        <f t="shared" si="4"/>
        <v>15</v>
      </c>
      <c r="W6" s="1">
        <f t="shared" si="5"/>
        <v>750000</v>
      </c>
      <c r="X6" s="1">
        <f t="shared" si="2"/>
        <v>14000</v>
      </c>
    </row>
    <row r="7" spans="1:30" x14ac:dyDescent="0.35">
      <c r="A7" s="2" t="s">
        <v>19</v>
      </c>
      <c r="B7" s="1">
        <v>6899620</v>
      </c>
      <c r="C7">
        <v>40</v>
      </c>
      <c r="D7" s="1">
        <f>B7*0.02</f>
        <v>137992.4</v>
      </c>
      <c r="E7" s="1"/>
      <c r="O7">
        <v>6</v>
      </c>
      <c r="P7">
        <v>0</v>
      </c>
      <c r="Q7" s="1">
        <f t="shared" si="0"/>
        <v>1841000.0429719284</v>
      </c>
      <c r="S7" s="2" t="s">
        <v>19</v>
      </c>
      <c r="T7" s="1">
        <f t="shared" si="3"/>
        <v>6899620</v>
      </c>
      <c r="U7" s="4">
        <f t="shared" si="1"/>
        <v>40</v>
      </c>
      <c r="V7" s="1">
        <f t="shared" si="4"/>
        <v>15</v>
      </c>
      <c r="W7" s="1">
        <f t="shared" si="5"/>
        <v>2587357.5</v>
      </c>
      <c r="X7" s="1">
        <f t="shared" si="2"/>
        <v>137992.4</v>
      </c>
    </row>
    <row r="8" spans="1:30" x14ac:dyDescent="0.35">
      <c r="A8" s="2" t="s">
        <v>20</v>
      </c>
      <c r="B8" s="1">
        <v>400000</v>
      </c>
      <c r="C8">
        <v>20</v>
      </c>
      <c r="D8" s="1">
        <f>B8*0.015</f>
        <v>6000</v>
      </c>
      <c r="E8" s="1"/>
      <c r="O8">
        <v>7</v>
      </c>
      <c r="P8">
        <v>0</v>
      </c>
      <c r="Q8" s="1">
        <f t="shared" si="0"/>
        <v>1933050.0451205245</v>
      </c>
      <c r="S8" s="2" t="s">
        <v>20</v>
      </c>
      <c r="T8" s="1">
        <f t="shared" si="3"/>
        <v>400000</v>
      </c>
      <c r="U8" s="4">
        <f t="shared" si="1"/>
        <v>20</v>
      </c>
      <c r="V8" s="1">
        <f t="shared" si="4"/>
        <v>15</v>
      </c>
      <c r="W8" s="1">
        <f>P22*(V8/U8)</f>
        <v>795989.31154332613</v>
      </c>
      <c r="X8" s="1">
        <f t="shared" si="2"/>
        <v>6000</v>
      </c>
      <c r="Y8">
        <f>T8/AA8</f>
        <v>1.3333333333333333</v>
      </c>
      <c r="Z8" t="s">
        <v>27</v>
      </c>
      <c r="AA8">
        <v>300000</v>
      </c>
    </row>
    <row r="9" spans="1:30" x14ac:dyDescent="0.35">
      <c r="A9" s="2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2029702.5473765512</v>
      </c>
      <c r="S9" s="2" t="s">
        <v>25</v>
      </c>
      <c r="T9" s="1">
        <f t="shared" si="3"/>
        <v>6750000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135000</v>
      </c>
    </row>
    <row r="10" spans="1:30" x14ac:dyDescent="0.35">
      <c r="A10" s="2" t="s">
        <v>26</v>
      </c>
      <c r="B10" s="1">
        <f>0.55*15000000</f>
        <v>8250000.0000000009</v>
      </c>
      <c r="C10">
        <v>10.61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2131187.6747453786</v>
      </c>
      <c r="S10" s="2" t="s">
        <v>26</v>
      </c>
      <c r="T10" s="1">
        <f t="shared" si="3"/>
        <v>8250000.0000000009</v>
      </c>
      <c r="U10" s="4">
        <f t="shared" si="1"/>
        <v>10.61</v>
      </c>
      <c r="V10" s="4">
        <f t="shared" si="4"/>
        <v>6.8299999999999983</v>
      </c>
      <c r="W10" s="1">
        <f>P23*(V10/U10)</f>
        <v>14795667.018158013</v>
      </c>
      <c r="X10" s="1">
        <f t="shared" si="2"/>
        <v>165000.00000000003</v>
      </c>
    </row>
    <row r="11" spans="1:30" x14ac:dyDescent="0.35">
      <c r="A11" s="2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2237747.0584826474</v>
      </c>
      <c r="S11" s="2" t="s">
        <v>21</v>
      </c>
      <c r="T11" s="1">
        <f t="shared" si="3"/>
        <v>334577.85778577859</v>
      </c>
      <c r="U11" s="4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2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13438380.670913894</v>
      </c>
      <c r="Q12" s="1">
        <f t="shared" si="0"/>
        <v>2349634.4114067797</v>
      </c>
      <c r="S12" s="2" t="s">
        <v>22</v>
      </c>
      <c r="T12" s="1">
        <f t="shared" si="3"/>
        <v>2254964.297120431</v>
      </c>
      <c r="U12" s="4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2" t="s">
        <v>23</v>
      </c>
      <c r="B13" s="1">
        <v>9267551.8569178134</v>
      </c>
      <c r="C13">
        <v>30</v>
      </c>
      <c r="D13" s="1">
        <f>B13*0.02</f>
        <v>185351.03713835627</v>
      </c>
      <c r="E13" s="1"/>
      <c r="O13">
        <v>12</v>
      </c>
      <c r="P13">
        <v>0</v>
      </c>
      <c r="Q13" s="1">
        <f t="shared" si="0"/>
        <v>2467116.131977119</v>
      </c>
      <c r="S13" s="2" t="s">
        <v>23</v>
      </c>
      <c r="T13" s="1">
        <f t="shared" si="3"/>
        <v>9267551.8569178134</v>
      </c>
      <c r="U13" s="4">
        <f t="shared" si="1"/>
        <v>30</v>
      </c>
      <c r="V13" s="1">
        <f t="shared" si="4"/>
        <v>5</v>
      </c>
      <c r="W13" s="1">
        <f t="shared" si="5"/>
        <v>1544591.9761529688</v>
      </c>
      <c r="X13" s="1">
        <f t="shared" si="2"/>
        <v>185351.03713835627</v>
      </c>
    </row>
    <row r="14" spans="1:30" x14ac:dyDescent="0.35">
      <c r="A14" s="2" t="s">
        <v>24</v>
      </c>
      <c r="B14" s="1">
        <v>1215103.697869783</v>
      </c>
      <c r="C14">
        <v>30</v>
      </c>
      <c r="D14" s="1">
        <f>B14*0.02</f>
        <v>24302.07395739566</v>
      </c>
      <c r="E14" s="1"/>
      <c r="O14">
        <v>13</v>
      </c>
      <c r="P14">
        <v>0</v>
      </c>
      <c r="Q14" s="1">
        <f t="shared" si="0"/>
        <v>2590471.9385759747</v>
      </c>
      <c r="S14" s="2" t="s">
        <v>24</v>
      </c>
      <c r="T14" s="1">
        <f t="shared" si="3"/>
        <v>1215103.697869783</v>
      </c>
      <c r="U14" s="4">
        <f t="shared" si="1"/>
        <v>30</v>
      </c>
      <c r="V14" s="1">
        <f t="shared" si="4"/>
        <v>5</v>
      </c>
      <c r="W14" s="1">
        <f t="shared" si="5"/>
        <v>202517.28297829715</v>
      </c>
      <c r="X14" s="1">
        <f t="shared" si="2"/>
        <v>24302.07395739566</v>
      </c>
    </row>
    <row r="15" spans="1:30" x14ac:dyDescent="0.35">
      <c r="O15">
        <v>14</v>
      </c>
      <c r="P15">
        <v>0</v>
      </c>
      <c r="Q15" s="1">
        <f t="shared" si="0"/>
        <v>2719995.5355047737</v>
      </c>
      <c r="S15" s="2" t="s">
        <v>42</v>
      </c>
      <c r="T15" s="1">
        <f>SUM(T4:T14)</f>
        <v>63682193.709693804</v>
      </c>
      <c r="W15" s="1">
        <f>SUM(W4:W14)</f>
        <v>21107713.447983634</v>
      </c>
      <c r="X15" s="1">
        <f>SUM(X4:X14)</f>
        <v>1341520.8283783877</v>
      </c>
    </row>
    <row r="16" spans="1:30" x14ac:dyDescent="0.35">
      <c r="O16">
        <v>15</v>
      </c>
      <c r="P16">
        <v>0</v>
      </c>
      <c r="Q16" s="1">
        <f t="shared" si="0"/>
        <v>2855995.3122800118</v>
      </c>
    </row>
    <row r="17" spans="14:17" x14ac:dyDescent="0.35">
      <c r="O17">
        <v>16</v>
      </c>
      <c r="P17">
        <v>0</v>
      </c>
      <c r="Q17" s="1">
        <f t="shared" si="0"/>
        <v>2998795.0778940134</v>
      </c>
    </row>
    <row r="18" spans="14:17" x14ac:dyDescent="0.35">
      <c r="O18">
        <v>17</v>
      </c>
      <c r="P18">
        <v>0</v>
      </c>
      <c r="Q18" s="1">
        <f t="shared" si="0"/>
        <v>3148734.8317887136</v>
      </c>
    </row>
    <row r="19" spans="14:17" x14ac:dyDescent="0.35">
      <c r="O19">
        <v>18</v>
      </c>
      <c r="P19">
        <v>0</v>
      </c>
      <c r="Q19" s="1">
        <f t="shared" si="0"/>
        <v>3306171.5733781499</v>
      </c>
    </row>
    <row r="20" spans="14:17" x14ac:dyDescent="0.35">
      <c r="O20">
        <v>19</v>
      </c>
      <c r="P20">
        <v>0</v>
      </c>
      <c r="Q20" s="1">
        <f t="shared" si="0"/>
        <v>3471480.1520470572</v>
      </c>
    </row>
    <row r="21" spans="14:17" x14ac:dyDescent="0.35">
      <c r="O21">
        <v>20</v>
      </c>
      <c r="P21" s="1">
        <v>0</v>
      </c>
      <c r="Q21" s="1">
        <f t="shared" si="0"/>
        <v>3645054.1596494103</v>
      </c>
    </row>
    <row r="22" spans="14:17" x14ac:dyDescent="0.35">
      <c r="N22" t="s">
        <v>20</v>
      </c>
      <c r="O22">
        <v>21</v>
      </c>
      <c r="P22" s="1">
        <f>$B$8*(1+$AC$2)^(O22-1)</f>
        <v>1061319.0820577682</v>
      </c>
      <c r="Q22" s="1">
        <f t="shared" si="0"/>
        <v>3827306.8676318806</v>
      </c>
    </row>
    <row r="23" spans="14:17" x14ac:dyDescent="0.35">
      <c r="N23" t="s">
        <v>26</v>
      </c>
      <c r="O23">
        <v>22</v>
      </c>
      <c r="P23" s="1">
        <f>$B$10*(1+$AC$2)^(O23-1)</f>
        <v>22984191.370813549</v>
      </c>
      <c r="Q23" s="1">
        <f t="shared" si="0"/>
        <v>4018672.2110134745</v>
      </c>
    </row>
    <row r="24" spans="14:17" x14ac:dyDescent="0.35">
      <c r="O24">
        <v>23</v>
      </c>
      <c r="P24">
        <v>0</v>
      </c>
      <c r="Q24" s="1">
        <f t="shared" si="0"/>
        <v>4219605.8215641482</v>
      </c>
    </row>
    <row r="25" spans="14:17" x14ac:dyDescent="0.35">
      <c r="O25">
        <v>24</v>
      </c>
      <c r="P25">
        <v>0</v>
      </c>
      <c r="Q25" s="1">
        <f t="shared" si="0"/>
        <v>4430586.1126423562</v>
      </c>
    </row>
    <row r="26" spans="14:17" x14ac:dyDescent="0.35">
      <c r="O26">
        <v>25</v>
      </c>
      <c r="P26">
        <v>0</v>
      </c>
      <c r="Q26" s="1">
        <f t="shared" si="0"/>
        <v>4652115.4182744734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277C-45AE-4B3A-A37F-1972173678B2}">
  <dimension ref="A1:AD26"/>
  <sheetViews>
    <sheetView topLeftCell="B1" workbookViewId="0">
      <selection activeCell="N1" sqref="N1:AD27"/>
    </sheetView>
  </sheetViews>
  <sheetFormatPr baseColWidth="10" defaultRowHeight="14.5" x14ac:dyDescent="0.35"/>
  <cols>
    <col min="1" max="1" width="22.54296875" bestFit="1" customWidth="1"/>
    <col min="6" max="6" width="14.453125" bestFit="1" customWidth="1"/>
    <col min="23" max="23" width="13.2695312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62843</v>
      </c>
      <c r="O2">
        <v>1</v>
      </c>
      <c r="P2" s="1">
        <f>T15</f>
        <v>489272535.27468812</v>
      </c>
      <c r="Q2" s="1">
        <f>($X$15+$H$5*$H$6)*(1+$AD$2)^(O2-1)</f>
        <v>11382891.637089277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324898.31</v>
      </c>
      <c r="O3">
        <v>2</v>
      </c>
      <c r="P3">
        <v>0</v>
      </c>
      <c r="Q3" s="1">
        <f t="shared" ref="Q3:Q26" si="0">($X$15+$H$5*$H$6)*(1+$AD$2)^(O3-1)</f>
        <v>11952036.218943741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167142420</v>
      </c>
      <c r="C4">
        <v>25</v>
      </c>
      <c r="D4" s="1">
        <f>B4*0.028</f>
        <v>4679987.76</v>
      </c>
      <c r="E4" s="1"/>
      <c r="J4" s="2" t="s">
        <v>13</v>
      </c>
      <c r="K4" s="3" t="s">
        <v>10</v>
      </c>
      <c r="L4">
        <v>85088</v>
      </c>
      <c r="O4">
        <v>3</v>
      </c>
      <c r="P4">
        <v>0</v>
      </c>
      <c r="Q4" s="1">
        <f t="shared" si="0"/>
        <v>12549638.029890928</v>
      </c>
      <c r="S4" s="2" t="s">
        <v>15</v>
      </c>
      <c r="T4" s="1">
        <f>B4</f>
        <v>167142420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4679987.76</v>
      </c>
      <c r="Y4">
        <f>T4/AA4</f>
        <v>135</v>
      </c>
      <c r="Z4" t="s">
        <v>27</v>
      </c>
      <c r="AA4">
        <v>1238092</v>
      </c>
    </row>
    <row r="5" spans="1:30" x14ac:dyDescent="0.35">
      <c r="A5" s="2" t="s">
        <v>16</v>
      </c>
      <c r="B5" s="1">
        <v>92576220</v>
      </c>
      <c r="C5">
        <v>25</v>
      </c>
      <c r="D5" s="1">
        <f>B5*0.017</f>
        <v>1573795.7400000002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13177119.931385476</v>
      </c>
      <c r="S5" s="2" t="s">
        <v>16</v>
      </c>
      <c r="T5" s="1">
        <f t="shared" ref="T5:T14" si="3">B5</f>
        <v>92576220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1573795.7400000002</v>
      </c>
      <c r="Y5">
        <f>T5/AA5</f>
        <v>165</v>
      </c>
      <c r="Z5" t="s">
        <v>27</v>
      </c>
      <c r="AA5">
        <v>561068</v>
      </c>
    </row>
    <row r="6" spans="1:30" x14ac:dyDescent="0.35">
      <c r="A6" s="2" t="s">
        <v>18</v>
      </c>
      <c r="B6" s="1">
        <v>31450000</v>
      </c>
      <c r="C6">
        <v>40</v>
      </c>
      <c r="D6" s="1">
        <f>B6*0.007</f>
        <v>220150</v>
      </c>
      <c r="E6" s="1"/>
      <c r="F6" s="2" t="s">
        <v>30</v>
      </c>
      <c r="G6" t="s">
        <v>10</v>
      </c>
      <c r="H6">
        <v>657806.78910549369</v>
      </c>
      <c r="O6">
        <v>5</v>
      </c>
      <c r="P6">
        <v>0</v>
      </c>
      <c r="Q6" s="1">
        <f t="shared" si="0"/>
        <v>13835975.927954748</v>
      </c>
      <c r="S6" s="2" t="s">
        <v>18</v>
      </c>
      <c r="T6" s="1">
        <f t="shared" si="3"/>
        <v>31450000</v>
      </c>
      <c r="U6" s="4">
        <f t="shared" si="1"/>
        <v>40</v>
      </c>
      <c r="V6" s="1">
        <f t="shared" si="4"/>
        <v>15</v>
      </c>
      <c r="W6" s="1">
        <f t="shared" si="5"/>
        <v>11793750</v>
      </c>
      <c r="X6" s="1">
        <f t="shared" si="2"/>
        <v>220150</v>
      </c>
    </row>
    <row r="7" spans="1:30" x14ac:dyDescent="0.35">
      <c r="A7" s="2" t="s">
        <v>19</v>
      </c>
      <c r="B7" s="1">
        <v>20206030</v>
      </c>
      <c r="C7">
        <v>40</v>
      </c>
      <c r="D7" s="1">
        <f>B7*0.02</f>
        <v>404120.60000000003</v>
      </c>
      <c r="E7" s="1"/>
      <c r="O7">
        <v>6</v>
      </c>
      <c r="P7">
        <v>0</v>
      </c>
      <c r="Q7" s="1">
        <f t="shared" si="0"/>
        <v>14527774.724352486</v>
      </c>
      <c r="S7" s="2" t="s">
        <v>19</v>
      </c>
      <c r="T7" s="1">
        <f t="shared" si="3"/>
        <v>20206030</v>
      </c>
      <c r="U7" s="4">
        <f t="shared" si="1"/>
        <v>40</v>
      </c>
      <c r="V7" s="1">
        <f t="shared" si="4"/>
        <v>15</v>
      </c>
      <c r="W7" s="1">
        <f t="shared" si="5"/>
        <v>7577261.25</v>
      </c>
      <c r="X7" s="1">
        <f t="shared" si="2"/>
        <v>404120.60000000003</v>
      </c>
    </row>
    <row r="8" spans="1:30" x14ac:dyDescent="0.35">
      <c r="A8" s="2" t="s">
        <v>20</v>
      </c>
      <c r="B8" s="1">
        <v>4000000</v>
      </c>
      <c r="C8">
        <v>20</v>
      </c>
      <c r="D8" s="1">
        <f>B8*0.015</f>
        <v>60000</v>
      </c>
      <c r="E8" s="1"/>
      <c r="O8">
        <v>7</v>
      </c>
      <c r="P8">
        <v>0</v>
      </c>
      <c r="Q8" s="1">
        <f t="shared" si="0"/>
        <v>15254163.460570108</v>
      </c>
      <c r="S8" s="2" t="s">
        <v>20</v>
      </c>
      <c r="T8" s="1">
        <f t="shared" si="3"/>
        <v>4000000</v>
      </c>
      <c r="U8" s="4">
        <f t="shared" si="1"/>
        <v>20</v>
      </c>
      <c r="V8" s="1">
        <f t="shared" si="4"/>
        <v>15</v>
      </c>
      <c r="W8" s="1">
        <f>P22*(V8/U8)</f>
        <v>7959893.1154332627</v>
      </c>
      <c r="X8" s="1">
        <f t="shared" si="2"/>
        <v>60000</v>
      </c>
      <c r="Y8">
        <f>T8/AA8</f>
        <v>13.333333333333334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16016871.633598618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10.7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16817715.215278547</v>
      </c>
      <c r="S10" s="2" t="s">
        <v>26</v>
      </c>
      <c r="T10" s="1">
        <f t="shared" si="3"/>
        <v>65000000</v>
      </c>
      <c r="U10" s="4">
        <f t="shared" si="1"/>
        <v>10.7</v>
      </c>
      <c r="V10" s="4">
        <f t="shared" si="4"/>
        <v>7.0999999999999979</v>
      </c>
      <c r="W10" s="1">
        <f>P24*(V10/U10)</f>
        <v>126168955.34989488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17658600.976042476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105878150.74053369</v>
      </c>
      <c r="Q12" s="1">
        <f t="shared" si="0"/>
        <v>18541531.024844598</v>
      </c>
      <c r="S12" s="2" t="s">
        <v>22</v>
      </c>
      <c r="T12" s="1">
        <f t="shared" si="3"/>
        <v>15252620.253043231</v>
      </c>
      <c r="U12" s="4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2" t="s">
        <v>23</v>
      </c>
      <c r="B13" s="1">
        <v>43148429.465089269</v>
      </c>
      <c r="C13">
        <v>30</v>
      </c>
      <c r="D13" s="1">
        <f>B13*0.02</f>
        <v>862968.58930178545</v>
      </c>
      <c r="E13" s="1"/>
      <c r="O13">
        <v>12</v>
      </c>
      <c r="P13">
        <v>0</v>
      </c>
      <c r="Q13" s="1">
        <f t="shared" si="0"/>
        <v>19468607.57608683</v>
      </c>
      <c r="S13" s="2" t="s">
        <v>23</v>
      </c>
      <c r="T13" s="1">
        <f t="shared" si="3"/>
        <v>43148429.465089269</v>
      </c>
      <c r="U13" s="4">
        <f t="shared" si="1"/>
        <v>30</v>
      </c>
      <c r="V13" s="1">
        <f t="shared" si="4"/>
        <v>5</v>
      </c>
      <c r="W13" s="1">
        <f t="shared" si="5"/>
        <v>7191404.9108482115</v>
      </c>
      <c r="X13" s="1">
        <f t="shared" si="2"/>
        <v>862968.58930178545</v>
      </c>
    </row>
    <row r="14" spans="1:30" x14ac:dyDescent="0.35">
      <c r="A14" s="2" t="s">
        <v>24</v>
      </c>
      <c r="B14" s="1">
        <v>12151036.978697831</v>
      </c>
      <c r="C14">
        <v>30</v>
      </c>
      <c r="D14" s="1">
        <f>B14*0.02</f>
        <v>243020.73957395661</v>
      </c>
      <c r="E14" s="1"/>
      <c r="O14">
        <v>13</v>
      </c>
      <c r="P14">
        <v>0</v>
      </c>
      <c r="Q14" s="1">
        <f t="shared" si="0"/>
        <v>20442037.954891168</v>
      </c>
      <c r="S14" s="2" t="s">
        <v>24</v>
      </c>
      <c r="T14" s="1">
        <f t="shared" si="3"/>
        <v>12151036.978697831</v>
      </c>
      <c r="U14" s="4">
        <f t="shared" si="1"/>
        <v>30</v>
      </c>
      <c r="V14" s="1">
        <f t="shared" si="4"/>
        <v>5</v>
      </c>
      <c r="W14" s="1">
        <f t="shared" si="5"/>
        <v>2025172.8297829716</v>
      </c>
      <c r="X14" s="1">
        <f t="shared" si="2"/>
        <v>243020.73957395661</v>
      </c>
    </row>
    <row r="15" spans="1:30" x14ac:dyDescent="0.35">
      <c r="O15">
        <v>14</v>
      </c>
      <c r="P15">
        <v>0</v>
      </c>
      <c r="Q15" s="1">
        <f t="shared" si="0"/>
        <v>21464139.85263573</v>
      </c>
      <c r="S15" s="2" t="s">
        <v>42</v>
      </c>
      <c r="T15" s="1">
        <f>SUM(T4:T14)</f>
        <v>489272535.27468812</v>
      </c>
      <c r="W15" s="1">
        <f>SUM(W4:W14)</f>
        <v>165816170.59444281</v>
      </c>
      <c r="X15" s="1">
        <f>SUM(X4:X14)</f>
        <v>10330400.774520487</v>
      </c>
    </row>
    <row r="16" spans="1:30" x14ac:dyDescent="0.35">
      <c r="O16">
        <v>15</v>
      </c>
      <c r="P16">
        <v>0</v>
      </c>
      <c r="Q16" s="1">
        <f t="shared" si="0"/>
        <v>22537346.845267512</v>
      </c>
    </row>
    <row r="17" spans="14:17" x14ac:dyDescent="0.35">
      <c r="O17">
        <v>16</v>
      </c>
      <c r="P17">
        <v>0</v>
      </c>
      <c r="Q17" s="1">
        <f t="shared" si="0"/>
        <v>23664214.187530894</v>
      </c>
    </row>
    <row r="18" spans="14:17" x14ac:dyDescent="0.35">
      <c r="O18">
        <v>17</v>
      </c>
      <c r="P18">
        <v>0</v>
      </c>
      <c r="Q18" s="1">
        <f t="shared" si="0"/>
        <v>24847424.896907438</v>
      </c>
    </row>
    <row r="19" spans="14:17" x14ac:dyDescent="0.35">
      <c r="O19">
        <v>18</v>
      </c>
      <c r="P19">
        <v>0</v>
      </c>
      <c r="Q19" s="1">
        <f t="shared" si="0"/>
        <v>26089796.141752813</v>
      </c>
    </row>
    <row r="20" spans="14:17" x14ac:dyDescent="0.35">
      <c r="O20">
        <v>19</v>
      </c>
      <c r="P20">
        <v>0</v>
      </c>
      <c r="Q20" s="1">
        <f t="shared" si="0"/>
        <v>27394285.948840454</v>
      </c>
    </row>
    <row r="21" spans="14:17" x14ac:dyDescent="0.35">
      <c r="O21">
        <v>20</v>
      </c>
      <c r="P21" s="1">
        <v>0</v>
      </c>
      <c r="Q21" s="1">
        <f t="shared" si="0"/>
        <v>28764000.246282477</v>
      </c>
    </row>
    <row r="22" spans="14:17" x14ac:dyDescent="0.35">
      <c r="N22" t="s">
        <v>20</v>
      </c>
      <c r="O22">
        <v>21</v>
      </c>
      <c r="P22" s="1">
        <f>$B$8*(1+$AC$2)^(O22-1)</f>
        <v>10613190.820577683</v>
      </c>
      <c r="Q22" s="1">
        <f t="shared" si="0"/>
        <v>30202200.258596599</v>
      </c>
    </row>
    <row r="23" spans="14:17" x14ac:dyDescent="0.35">
      <c r="O23">
        <v>22</v>
      </c>
      <c r="P23" s="1">
        <v>0</v>
      </c>
      <c r="Q23" s="1">
        <f t="shared" si="0"/>
        <v>31712310.271526426</v>
      </c>
    </row>
    <row r="24" spans="14:17" x14ac:dyDescent="0.35">
      <c r="N24" t="s">
        <v>26</v>
      </c>
      <c r="O24">
        <v>23</v>
      </c>
      <c r="P24" s="1">
        <f>$B$10*(1+$AC$2)^(O24-1)</f>
        <v>190141946.79491204</v>
      </c>
      <c r="Q24" s="1">
        <f t="shared" si="0"/>
        <v>33297925.785102747</v>
      </c>
    </row>
    <row r="25" spans="14:17" x14ac:dyDescent="0.35">
      <c r="O25">
        <v>24</v>
      </c>
      <c r="P25">
        <v>0</v>
      </c>
      <c r="Q25" s="1">
        <f t="shared" si="0"/>
        <v>34962822.07435789</v>
      </c>
    </row>
    <row r="26" spans="14:17" x14ac:dyDescent="0.35">
      <c r="O26">
        <v>25</v>
      </c>
      <c r="P26">
        <v>0</v>
      </c>
      <c r="Q26" s="1">
        <f t="shared" si="0"/>
        <v>36710963.178075783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D8089-08D9-4575-9B2C-DEDAB389D427}">
  <dimension ref="A1:AD26"/>
  <sheetViews>
    <sheetView workbookViewId="0">
      <selection activeCell="N1" sqref="N1:AD27"/>
    </sheetView>
  </sheetViews>
  <sheetFormatPr baseColWidth="10" defaultRowHeight="14.5" x14ac:dyDescent="0.35"/>
  <cols>
    <col min="1" max="1" width="22.5429687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6682</v>
      </c>
      <c r="O2">
        <v>1</v>
      </c>
      <c r="P2" s="1">
        <f>T15</f>
        <v>72521503.46273756</v>
      </c>
      <c r="Q2" s="1">
        <f>($X$15+$H$5*$H$6)*(1+$AD$2)^(O2-1)</f>
        <v>1578955.2602438489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34545.94</v>
      </c>
      <c r="O3">
        <v>2</v>
      </c>
      <c r="P3">
        <v>0</v>
      </c>
      <c r="Q3" s="1">
        <f t="shared" ref="Q3:Q26" si="0">($X$15+$H$5*$H$6)*(1+$AD$2)^(O3-1)</f>
        <v>1657903.0232560413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>
        <v>19190426</v>
      </c>
      <c r="C4">
        <v>25</v>
      </c>
      <c r="D4" s="1">
        <f>B4*0.028</f>
        <v>537331.92799999996</v>
      </c>
      <c r="E4" s="1"/>
      <c r="J4" s="2" t="s">
        <v>13</v>
      </c>
      <c r="K4" s="3" t="s">
        <v>10</v>
      </c>
      <c r="L4">
        <v>14257</v>
      </c>
      <c r="O4">
        <v>3</v>
      </c>
      <c r="P4">
        <v>0</v>
      </c>
      <c r="Q4" s="1">
        <f t="shared" si="0"/>
        <v>1740798.1744188434</v>
      </c>
      <c r="S4" s="2" t="s">
        <v>15</v>
      </c>
      <c r="T4" s="1">
        <f>B4</f>
        <v>19190426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537331.92799999996</v>
      </c>
      <c r="Y4">
        <f>T4/AA4</f>
        <v>15.5</v>
      </c>
      <c r="Z4" t="s">
        <v>27</v>
      </c>
      <c r="AA4">
        <v>1238092</v>
      </c>
    </row>
    <row r="5" spans="1:30" x14ac:dyDescent="0.35">
      <c r="A5" s="2" t="s">
        <v>16</v>
      </c>
      <c r="B5">
        <v>10379758</v>
      </c>
      <c r="C5">
        <v>25</v>
      </c>
      <c r="D5" s="1">
        <f>B5*0.017</f>
        <v>176455.886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1827838.0831397858</v>
      </c>
      <c r="S5" s="2" t="s">
        <v>16</v>
      </c>
      <c r="T5" s="1">
        <f t="shared" ref="T5:T14" si="3">B5</f>
        <v>10379758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176455.886</v>
      </c>
      <c r="Y5">
        <f>T5/AA5</f>
        <v>18.5</v>
      </c>
      <c r="Z5" t="s">
        <v>27</v>
      </c>
      <c r="AA5">
        <v>561068</v>
      </c>
    </row>
    <row r="6" spans="1:30" x14ac:dyDescent="0.35">
      <c r="A6" s="2" t="s">
        <v>18</v>
      </c>
      <c r="B6">
        <v>6800000</v>
      </c>
      <c r="C6">
        <v>40</v>
      </c>
      <c r="D6" s="1">
        <f>B6*0.007</f>
        <v>47600</v>
      </c>
      <c r="E6" s="1"/>
      <c r="F6" s="2" t="s">
        <v>30</v>
      </c>
      <c r="G6" t="s">
        <v>10</v>
      </c>
      <c r="H6">
        <v>70249.46425286647</v>
      </c>
      <c r="O6">
        <v>5</v>
      </c>
      <c r="P6">
        <v>0</v>
      </c>
      <c r="Q6" s="1">
        <f t="shared" si="0"/>
        <v>1919229.987296775</v>
      </c>
      <c r="S6" s="2" t="s">
        <v>18</v>
      </c>
      <c r="T6" s="1">
        <f t="shared" si="3"/>
        <v>6800000</v>
      </c>
      <c r="U6" s="4">
        <f t="shared" si="1"/>
        <v>40</v>
      </c>
      <c r="V6" s="1">
        <f t="shared" si="4"/>
        <v>15</v>
      </c>
      <c r="W6" s="1">
        <f t="shared" si="5"/>
        <v>2550000</v>
      </c>
      <c r="X6" s="1">
        <f t="shared" si="2"/>
        <v>47600</v>
      </c>
    </row>
    <row r="7" spans="1:30" x14ac:dyDescent="0.35">
      <c r="A7" s="2" t="s">
        <v>19</v>
      </c>
      <c r="B7">
        <v>7096752</v>
      </c>
      <c r="C7">
        <v>40</v>
      </c>
      <c r="D7" s="1">
        <f>B7*0.02</f>
        <v>141935.04000000001</v>
      </c>
      <c r="E7" s="1"/>
      <c r="O7">
        <v>6</v>
      </c>
      <c r="P7">
        <v>0</v>
      </c>
      <c r="Q7" s="1">
        <f t="shared" si="0"/>
        <v>2015191.4866616139</v>
      </c>
      <c r="S7" s="2" t="s">
        <v>19</v>
      </c>
      <c r="T7" s="1">
        <f t="shared" si="3"/>
        <v>7096752</v>
      </c>
      <c r="U7" s="4">
        <f t="shared" si="1"/>
        <v>40</v>
      </c>
      <c r="V7" s="1">
        <f t="shared" si="4"/>
        <v>15</v>
      </c>
      <c r="W7" s="1">
        <f t="shared" si="5"/>
        <v>2661282</v>
      </c>
      <c r="X7" s="1">
        <f t="shared" si="2"/>
        <v>141935.04000000001</v>
      </c>
    </row>
    <row r="8" spans="1:30" x14ac:dyDescent="0.35">
      <c r="A8" s="2" t="s">
        <v>20</v>
      </c>
      <c r="B8">
        <v>400000</v>
      </c>
      <c r="C8">
        <v>20</v>
      </c>
      <c r="D8" s="1">
        <f>B8*0.015</f>
        <v>6000</v>
      </c>
      <c r="E8" s="1"/>
      <c r="O8">
        <v>7</v>
      </c>
      <c r="P8">
        <v>0</v>
      </c>
      <c r="Q8" s="1">
        <f t="shared" si="0"/>
        <v>2115951.060994694</v>
      </c>
      <c r="S8" s="2" t="s">
        <v>20</v>
      </c>
      <c r="T8" s="1">
        <f t="shared" si="3"/>
        <v>400000</v>
      </c>
      <c r="U8" s="4">
        <f t="shared" si="1"/>
        <v>20</v>
      </c>
      <c r="V8" s="1">
        <f t="shared" si="4"/>
        <v>15</v>
      </c>
      <c r="W8" s="1">
        <f>P22*(V8/U8)</f>
        <v>795989.31154332613</v>
      </c>
      <c r="X8" s="1">
        <f t="shared" si="2"/>
        <v>6000</v>
      </c>
      <c r="Y8">
        <f>T8/AA8</f>
        <v>1.3333333333333333</v>
      </c>
      <c r="Z8" t="s">
        <v>27</v>
      </c>
      <c r="AA8">
        <v>300000</v>
      </c>
    </row>
    <row r="9" spans="1:30" x14ac:dyDescent="0.35">
      <c r="A9" s="2" t="s">
        <v>25</v>
      </c>
      <c r="B9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2221748.6140444293</v>
      </c>
      <c r="S9" s="2" t="s">
        <v>25</v>
      </c>
      <c r="T9" s="1">
        <f t="shared" si="3"/>
        <v>6750000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135000</v>
      </c>
    </row>
    <row r="10" spans="1:30" x14ac:dyDescent="0.35">
      <c r="A10" s="2" t="s">
        <v>26</v>
      </c>
      <c r="B10">
        <f>0.55*15000000</f>
        <v>8250000.0000000009</v>
      </c>
      <c r="C10">
        <v>10.67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2332836.0447466504</v>
      </c>
      <c r="S10" s="2" t="s">
        <v>26</v>
      </c>
      <c r="T10" s="1">
        <f t="shared" si="3"/>
        <v>8250000.0000000009</v>
      </c>
      <c r="U10" s="4">
        <f t="shared" si="1"/>
        <v>10.67</v>
      </c>
      <c r="V10" s="4">
        <f t="shared" si="4"/>
        <v>7.01</v>
      </c>
      <c r="W10" s="1">
        <f>P24*(V10/U10)</f>
        <v>15855214.67524584</v>
      </c>
      <c r="X10" s="1">
        <f t="shared" si="2"/>
        <v>165000.00000000003</v>
      </c>
    </row>
    <row r="11" spans="1:30" x14ac:dyDescent="0.35">
      <c r="A11" s="2" t="s">
        <v>21</v>
      </c>
      <c r="B1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2449477.8469839832</v>
      </c>
      <c r="S11" s="2" t="s">
        <v>21</v>
      </c>
      <c r="T11" s="1">
        <f t="shared" si="3"/>
        <v>334577.85778577859</v>
      </c>
      <c r="U11" s="4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2" t="s">
        <v>22</v>
      </c>
      <c r="B12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13438380.670913894</v>
      </c>
      <c r="Q12" s="1">
        <f t="shared" si="0"/>
        <v>2571951.7393331826</v>
      </c>
      <c r="S12" s="2" t="s">
        <v>22</v>
      </c>
      <c r="T12" s="1">
        <f t="shared" si="3"/>
        <v>2254964.297120431</v>
      </c>
      <c r="U12" s="4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2" t="s">
        <v>23</v>
      </c>
      <c r="B13">
        <v>9782415.8489688039</v>
      </c>
      <c r="C13">
        <v>30</v>
      </c>
      <c r="D13" s="1">
        <f>B13*0.02</f>
        <v>195648.31697937608</v>
      </c>
      <c r="E13" s="1"/>
      <c r="O13">
        <v>12</v>
      </c>
      <c r="P13">
        <v>0</v>
      </c>
      <c r="Q13" s="1">
        <f t="shared" si="0"/>
        <v>2700549.3262998415</v>
      </c>
      <c r="S13" s="2" t="s">
        <v>23</v>
      </c>
      <c r="T13" s="1">
        <f t="shared" si="3"/>
        <v>9782415.8489688039</v>
      </c>
      <c r="U13" s="4">
        <f t="shared" si="1"/>
        <v>30</v>
      </c>
      <c r="V13" s="1">
        <f t="shared" si="4"/>
        <v>5</v>
      </c>
      <c r="W13" s="1">
        <f t="shared" si="5"/>
        <v>1630402.6414948006</v>
      </c>
      <c r="X13" s="1">
        <f t="shared" si="2"/>
        <v>195648.31697937608</v>
      </c>
    </row>
    <row r="14" spans="1:30" x14ac:dyDescent="0.35">
      <c r="A14" s="2" t="s">
        <v>24</v>
      </c>
      <c r="B14">
        <v>1282609.4588625489</v>
      </c>
      <c r="C14">
        <v>30</v>
      </c>
      <c r="D14" s="1">
        <f>B14*0.02</f>
        <v>25652.189177250981</v>
      </c>
      <c r="E14" s="1"/>
      <c r="O14">
        <v>13</v>
      </c>
      <c r="P14">
        <v>0</v>
      </c>
      <c r="Q14" s="1">
        <f t="shared" si="0"/>
        <v>2835576.7926148335</v>
      </c>
      <c r="S14" s="2" t="s">
        <v>24</v>
      </c>
      <c r="T14" s="1">
        <f t="shared" si="3"/>
        <v>1282609.4588625489</v>
      </c>
      <c r="U14" s="4">
        <f t="shared" si="1"/>
        <v>30</v>
      </c>
      <c r="V14" s="1">
        <f t="shared" si="4"/>
        <v>5</v>
      </c>
      <c r="W14" s="1">
        <f t="shared" si="5"/>
        <v>213768.24314375815</v>
      </c>
      <c r="X14" s="1">
        <f t="shared" si="2"/>
        <v>25652.189177250981</v>
      </c>
    </row>
    <row r="15" spans="1:30" x14ac:dyDescent="0.35">
      <c r="O15">
        <v>14</v>
      </c>
      <c r="P15">
        <v>0</v>
      </c>
      <c r="Q15" s="1">
        <f t="shared" si="0"/>
        <v>2977355.6322455755</v>
      </c>
      <c r="S15" s="2" t="s">
        <v>42</v>
      </c>
      <c r="T15" s="1">
        <f>SUM(T4:T14)</f>
        <v>72521503.46273756</v>
      </c>
      <c r="W15" s="1">
        <f>SUM(W4:W14)</f>
        <v>24138247.230578758</v>
      </c>
      <c r="X15" s="1">
        <f>SUM(X4:X14)</f>
        <v>1466556.1174392626</v>
      </c>
    </row>
    <row r="16" spans="1:30" x14ac:dyDescent="0.35">
      <c r="O16">
        <v>15</v>
      </c>
      <c r="P16">
        <v>0</v>
      </c>
      <c r="Q16" s="1">
        <f t="shared" si="0"/>
        <v>3126223.4138578535</v>
      </c>
    </row>
    <row r="17" spans="14:17" x14ac:dyDescent="0.35">
      <c r="O17">
        <v>16</v>
      </c>
      <c r="P17">
        <v>0</v>
      </c>
      <c r="Q17" s="1">
        <f t="shared" si="0"/>
        <v>3282534.5845507472</v>
      </c>
    </row>
    <row r="18" spans="14:17" x14ac:dyDescent="0.35">
      <c r="O18">
        <v>17</v>
      </c>
      <c r="P18">
        <v>0</v>
      </c>
      <c r="Q18" s="1">
        <f t="shared" si="0"/>
        <v>3446661.3137782845</v>
      </c>
    </row>
    <row r="19" spans="14:17" x14ac:dyDescent="0.35">
      <c r="O19">
        <v>18</v>
      </c>
      <c r="P19">
        <v>0</v>
      </c>
      <c r="Q19" s="1">
        <f t="shared" si="0"/>
        <v>3618994.3794671991</v>
      </c>
    </row>
    <row r="20" spans="14:17" x14ac:dyDescent="0.35">
      <c r="O20">
        <v>19</v>
      </c>
      <c r="P20">
        <v>0</v>
      </c>
      <c r="Q20" s="1">
        <f t="shared" si="0"/>
        <v>3799944.0984405591</v>
      </c>
    </row>
    <row r="21" spans="14:17" x14ac:dyDescent="0.35">
      <c r="O21">
        <v>20</v>
      </c>
      <c r="P21" s="1">
        <v>0</v>
      </c>
      <c r="Q21" s="1">
        <f t="shared" si="0"/>
        <v>3989941.303362587</v>
      </c>
    </row>
    <row r="22" spans="14:17" x14ac:dyDescent="0.35">
      <c r="N22" t="s">
        <v>20</v>
      </c>
      <c r="O22">
        <v>21</v>
      </c>
      <c r="P22" s="1">
        <f>$B$8*(1+$AC$2)^(O22-1)</f>
        <v>1061319.0820577682</v>
      </c>
      <c r="Q22" s="1">
        <f t="shared" si="0"/>
        <v>4189438.3685307163</v>
      </c>
    </row>
    <row r="23" spans="14:17" x14ac:dyDescent="0.35">
      <c r="O23">
        <v>22</v>
      </c>
      <c r="P23" s="1">
        <v>0</v>
      </c>
      <c r="Q23" s="1">
        <f t="shared" si="0"/>
        <v>4398910.2869572518</v>
      </c>
    </row>
    <row r="24" spans="14:17" x14ac:dyDescent="0.35">
      <c r="N24" t="s">
        <v>26</v>
      </c>
      <c r="O24">
        <v>23</v>
      </c>
      <c r="P24" s="1">
        <f>$B$10*(1+$AC$2)^(O24-1)</f>
        <v>24133400.939354222</v>
      </c>
      <c r="Q24" s="1">
        <f t="shared" si="0"/>
        <v>4618855.8013051143</v>
      </c>
    </row>
    <row r="25" spans="14:17" x14ac:dyDescent="0.35">
      <c r="O25">
        <v>24</v>
      </c>
      <c r="P25">
        <v>0</v>
      </c>
      <c r="Q25" s="1">
        <f t="shared" si="0"/>
        <v>4849798.5913703712</v>
      </c>
    </row>
    <row r="26" spans="14:17" x14ac:dyDescent="0.35">
      <c r="O26">
        <v>25</v>
      </c>
      <c r="P26">
        <v>0</v>
      </c>
      <c r="Q26" s="1">
        <f t="shared" si="0"/>
        <v>5092288.5209388891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124F-CA1A-482B-81F6-E4497C23A478}">
  <dimension ref="A1:AH27"/>
  <sheetViews>
    <sheetView tabSelected="1" topLeftCell="B1" workbookViewId="0">
      <selection activeCell="S42" sqref="S42"/>
    </sheetView>
  </sheetViews>
  <sheetFormatPr baseColWidth="10" defaultRowHeight="14.5" x14ac:dyDescent="0.35"/>
  <cols>
    <col min="1" max="1" width="22.54296875" bestFit="1" customWidth="1"/>
    <col min="16" max="16" width="18.453125" bestFit="1" customWidth="1"/>
    <col min="17" max="17" width="12.453125" bestFit="1" customWidth="1"/>
  </cols>
  <sheetData>
    <row r="1" spans="1:34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  <c r="AF1" s="2"/>
      <c r="AH1" s="2"/>
    </row>
    <row r="2" spans="1:34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310498</v>
      </c>
      <c r="O2">
        <v>1</v>
      </c>
      <c r="P2" s="1">
        <f>T15</f>
        <v>1630325575.391705</v>
      </c>
      <c r="Q2" s="1">
        <f t="shared" ref="Q2:Q26" si="0">($X$15+$H$5*$H$6)*(1+$AD$2)^(O2-1)</f>
        <v>37117778.075314306</v>
      </c>
      <c r="R2" s="1"/>
      <c r="AC2">
        <v>0.05</v>
      </c>
      <c r="AD2">
        <v>0.05</v>
      </c>
    </row>
    <row r="3" spans="1:34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1605274.66</v>
      </c>
      <c r="O3">
        <v>2</v>
      </c>
      <c r="P3">
        <v>0</v>
      </c>
      <c r="Q3" s="1">
        <f t="shared" si="0"/>
        <v>38973666.979080021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4" x14ac:dyDescent="0.35">
      <c r="A4" s="2" t="s">
        <v>15</v>
      </c>
      <c r="B4" s="1">
        <v>773807500</v>
      </c>
      <c r="C4">
        <v>25</v>
      </c>
      <c r="D4" s="1">
        <f>B4*0.028</f>
        <v>21666610</v>
      </c>
      <c r="E4" s="1"/>
      <c r="J4" s="2" t="s">
        <v>13</v>
      </c>
      <c r="K4" s="3" t="s">
        <v>10</v>
      </c>
      <c r="L4">
        <v>123204</v>
      </c>
      <c r="O4">
        <v>3</v>
      </c>
      <c r="P4">
        <v>0</v>
      </c>
      <c r="Q4" s="1">
        <f t="shared" si="0"/>
        <v>40922350.328034021</v>
      </c>
      <c r="S4" s="2" t="s">
        <v>15</v>
      </c>
      <c r="T4" s="1">
        <f t="shared" ref="T4:T14" si="1">B4</f>
        <v>773807500</v>
      </c>
      <c r="U4" s="4">
        <f t="shared" ref="U4:U14" si="2">C4</f>
        <v>25</v>
      </c>
      <c r="V4" s="1">
        <f>IF(U4&gt;=25,U4-25,U4-MOD(25,U4))</f>
        <v>0</v>
      </c>
      <c r="W4" s="1">
        <f>T4*(V4/U4)</f>
        <v>0</v>
      </c>
      <c r="X4" s="1">
        <f t="shared" ref="X4:X14" si="3">D4</f>
        <v>21666610</v>
      </c>
      <c r="Y4">
        <f>T4/AA4</f>
        <v>625</v>
      </c>
      <c r="Z4" t="s">
        <v>27</v>
      </c>
      <c r="AA4">
        <v>1238092</v>
      </c>
    </row>
    <row r="5" spans="1:34" x14ac:dyDescent="0.35">
      <c r="A5" s="2" t="s">
        <v>16</v>
      </c>
      <c r="B5" s="1">
        <v>42080100</v>
      </c>
      <c r="C5">
        <v>25</v>
      </c>
      <c r="D5" s="1">
        <f>B5*0.017</f>
        <v>715361.70000000007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42968467.844435729</v>
      </c>
      <c r="S5" s="2" t="s">
        <v>16</v>
      </c>
      <c r="T5" s="1">
        <f t="shared" si="1"/>
        <v>42080100</v>
      </c>
      <c r="U5" s="4">
        <f t="shared" si="2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3"/>
        <v>715361.70000000007</v>
      </c>
      <c r="Y5">
        <f>T5/AA5</f>
        <v>75</v>
      </c>
      <c r="Z5" t="s">
        <v>27</v>
      </c>
      <c r="AA5">
        <v>561068</v>
      </c>
    </row>
    <row r="6" spans="1:34" x14ac:dyDescent="0.35">
      <c r="A6" s="2" t="s">
        <v>18</v>
      </c>
      <c r="B6" s="1">
        <v>118800000</v>
      </c>
      <c r="C6">
        <v>40</v>
      </c>
      <c r="D6" s="1">
        <f>B6*0.007</f>
        <v>831600</v>
      </c>
      <c r="E6" s="1"/>
      <c r="F6" s="2" t="s">
        <v>30</v>
      </c>
      <c r="G6" t="s">
        <v>10</v>
      </c>
      <c r="H6">
        <v>0</v>
      </c>
      <c r="O6">
        <v>5</v>
      </c>
      <c r="P6">
        <v>0</v>
      </c>
      <c r="Q6" s="1">
        <f t="shared" si="0"/>
        <v>45116891.236657508</v>
      </c>
      <c r="S6" s="2" t="s">
        <v>18</v>
      </c>
      <c r="T6" s="1">
        <f t="shared" si="1"/>
        <v>118800000</v>
      </c>
      <c r="U6" s="4">
        <f t="shared" si="2"/>
        <v>40</v>
      </c>
      <c r="V6" s="1">
        <f t="shared" si="4"/>
        <v>15</v>
      </c>
      <c r="W6" s="1">
        <f t="shared" si="5"/>
        <v>44550000</v>
      </c>
      <c r="X6" s="1">
        <f t="shared" si="3"/>
        <v>831600</v>
      </c>
    </row>
    <row r="7" spans="1:34" x14ac:dyDescent="0.35">
      <c r="A7" s="2" t="s">
        <v>19</v>
      </c>
      <c r="B7" s="1">
        <v>61603750</v>
      </c>
      <c r="C7">
        <v>40</v>
      </c>
      <c r="D7" s="1">
        <f>B7*0.02</f>
        <v>1232075</v>
      </c>
      <c r="E7" s="1"/>
      <c r="O7">
        <v>6</v>
      </c>
      <c r="P7">
        <v>0</v>
      </c>
      <c r="Q7" s="1">
        <f t="shared" si="0"/>
        <v>47372735.79849039</v>
      </c>
      <c r="S7" s="2" t="s">
        <v>19</v>
      </c>
      <c r="T7" s="1">
        <f t="shared" si="1"/>
        <v>61603750</v>
      </c>
      <c r="U7" s="4">
        <f t="shared" si="2"/>
        <v>40</v>
      </c>
      <c r="V7" s="1">
        <f t="shared" si="4"/>
        <v>15</v>
      </c>
      <c r="W7" s="1">
        <f t="shared" si="5"/>
        <v>23101406.25</v>
      </c>
      <c r="X7" s="1">
        <f t="shared" si="3"/>
        <v>1232075</v>
      </c>
    </row>
    <row r="8" spans="1:34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49741372.5884149</v>
      </c>
      <c r="S8" s="2" t="s">
        <v>20</v>
      </c>
      <c r="T8" s="1">
        <f t="shared" si="1"/>
        <v>0</v>
      </c>
      <c r="U8" s="4">
        <f t="shared" si="2"/>
        <v>20</v>
      </c>
      <c r="V8" s="1">
        <f t="shared" si="4"/>
        <v>15</v>
      </c>
      <c r="W8" s="1">
        <f>P22*(V8/U8)</f>
        <v>0</v>
      </c>
      <c r="X8" s="1">
        <f t="shared" si="3"/>
        <v>0</v>
      </c>
      <c r="Y8">
        <f>T8/AA8</f>
        <v>0</v>
      </c>
      <c r="Z8" t="s">
        <v>27</v>
      </c>
      <c r="AA8">
        <v>300000</v>
      </c>
    </row>
    <row r="9" spans="1:34" x14ac:dyDescent="0.35">
      <c r="A9" s="2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52228441.217835657</v>
      </c>
      <c r="S9" s="2" t="s">
        <v>25</v>
      </c>
      <c r="T9" s="1">
        <f t="shared" si="1"/>
        <v>108749999.99999999</v>
      </c>
      <c r="U9" s="4">
        <f t="shared" si="2"/>
        <v>25</v>
      </c>
      <c r="V9" s="1">
        <f t="shared" si="4"/>
        <v>0</v>
      </c>
      <c r="W9" s="1">
        <f>T9*(V9/U9)</f>
        <v>0</v>
      </c>
      <c r="X9" s="1">
        <f t="shared" si="3"/>
        <v>2174999.9999999995</v>
      </c>
    </row>
    <row r="10" spans="1:34" x14ac:dyDescent="0.35">
      <c r="A10" s="2" t="s">
        <v>26</v>
      </c>
      <c r="B10" s="1">
        <f>0.71*375000000</f>
        <v>266250000</v>
      </c>
      <c r="C10">
        <v>10.37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54839863.278727435</v>
      </c>
      <c r="S10" s="2" t="s">
        <v>26</v>
      </c>
      <c r="T10" s="1">
        <f t="shared" si="1"/>
        <v>266250000</v>
      </c>
      <c r="U10" s="4">
        <f t="shared" si="2"/>
        <v>10.37</v>
      </c>
      <c r="V10" s="4">
        <f t="shared" si="4"/>
        <v>6.1099999999999977</v>
      </c>
      <c r="W10" s="1">
        <f>P23*(V10/U10)</f>
        <v>437046202.26933557</v>
      </c>
      <c r="X10" s="1">
        <f t="shared" si="3"/>
        <v>5325000</v>
      </c>
    </row>
    <row r="11" spans="1:34" x14ac:dyDescent="0.35">
      <c r="A11" s="2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57581856.442663811</v>
      </c>
      <c r="S11" s="2" t="s">
        <v>21</v>
      </c>
      <c r="T11" s="1">
        <f t="shared" si="1"/>
        <v>16728892.88928893</v>
      </c>
      <c r="U11" s="4">
        <f t="shared" si="2"/>
        <v>30</v>
      </c>
      <c r="V11" s="1">
        <f t="shared" si="4"/>
        <v>5</v>
      </c>
      <c r="W11" s="1">
        <f t="shared" si="5"/>
        <v>2788148.8148814882</v>
      </c>
      <c r="X11" s="1">
        <f t="shared" si="3"/>
        <v>669155.71557155717</v>
      </c>
    </row>
    <row r="12" spans="1:34" x14ac:dyDescent="0.35">
      <c r="A12" s="2" t="s">
        <v>22</v>
      </c>
      <c r="B12" s="1">
        <v>34313099.030557692</v>
      </c>
      <c r="C12">
        <v>30</v>
      </c>
      <c r="D12" s="1">
        <f>B12*0.01</f>
        <v>343130.99030557694</v>
      </c>
      <c r="E12" s="1"/>
      <c r="N12" t="s">
        <v>26</v>
      </c>
      <c r="O12">
        <v>11</v>
      </c>
      <c r="P12" s="1">
        <f>$B$10*(1+$AC$2)^(O12-1)</f>
        <v>433693194.37949383</v>
      </c>
      <c r="Q12" s="1">
        <f t="shared" si="0"/>
        <v>60460949.264797002</v>
      </c>
      <c r="S12" s="2" t="s">
        <v>22</v>
      </c>
      <c r="T12" s="1">
        <f t="shared" si="1"/>
        <v>34313099.030557692</v>
      </c>
      <c r="U12" s="4">
        <f t="shared" si="2"/>
        <v>30</v>
      </c>
      <c r="V12" s="1">
        <f t="shared" si="4"/>
        <v>5</v>
      </c>
      <c r="W12" s="1">
        <f t="shared" si="5"/>
        <v>5718849.8384262817</v>
      </c>
      <c r="X12" s="1">
        <f t="shared" si="3"/>
        <v>343130.99030557694</v>
      </c>
    </row>
    <row r="13" spans="1:34" x14ac:dyDescent="0.35">
      <c r="A13" s="2" t="s">
        <v>23</v>
      </c>
      <c r="B13" s="1">
        <v>140486472.47909281</v>
      </c>
      <c r="C13">
        <v>30</v>
      </c>
      <c r="D13" s="1">
        <f>B13*0.02</f>
        <v>2809729.4495818564</v>
      </c>
      <c r="E13" s="1"/>
      <c r="O13">
        <v>12</v>
      </c>
      <c r="P13">
        <v>0</v>
      </c>
      <c r="Q13" s="1">
        <f t="shared" si="0"/>
        <v>63483996.728036851</v>
      </c>
      <c r="S13" s="2" t="s">
        <v>23</v>
      </c>
      <c r="T13" s="1">
        <f t="shared" si="1"/>
        <v>140486472.47909281</v>
      </c>
      <c r="U13" s="4">
        <f t="shared" si="2"/>
        <v>30</v>
      </c>
      <c r="V13" s="1">
        <f t="shared" si="4"/>
        <v>5</v>
      </c>
      <c r="W13" s="1">
        <f t="shared" si="5"/>
        <v>23414412.0798488</v>
      </c>
      <c r="X13" s="1">
        <f t="shared" si="3"/>
        <v>2809729.4495818564</v>
      </c>
    </row>
    <row r="14" spans="1:34" x14ac:dyDescent="0.35">
      <c r="A14" s="2" t="s">
        <v>24</v>
      </c>
      <c r="B14" s="1">
        <v>67505760.99276574</v>
      </c>
      <c r="C14">
        <v>30</v>
      </c>
      <c r="D14" s="1">
        <f>B14*0.02</f>
        <v>1350115.2198553148</v>
      </c>
      <c r="E14" s="1"/>
      <c r="O14">
        <v>13</v>
      </c>
      <c r="P14">
        <v>0</v>
      </c>
      <c r="Q14" s="1">
        <f t="shared" si="0"/>
        <v>66658196.564438686</v>
      </c>
      <c r="S14" s="2" t="s">
        <v>24</v>
      </c>
      <c r="T14" s="1">
        <f t="shared" si="1"/>
        <v>67505760.99276574</v>
      </c>
      <c r="U14" s="4">
        <f t="shared" si="2"/>
        <v>30</v>
      </c>
      <c r="V14" s="1">
        <f t="shared" si="4"/>
        <v>5</v>
      </c>
      <c r="W14" s="1">
        <f t="shared" si="5"/>
        <v>11250960.165460955</v>
      </c>
      <c r="X14" s="1">
        <f t="shared" si="3"/>
        <v>1350115.2198553148</v>
      </c>
    </row>
    <row r="15" spans="1:34" x14ac:dyDescent="0.35">
      <c r="O15">
        <v>14</v>
      </c>
      <c r="P15">
        <v>0</v>
      </c>
      <c r="Q15" s="1">
        <f t="shared" si="0"/>
        <v>69991106.392660633</v>
      </c>
      <c r="S15" s="2" t="s">
        <v>42</v>
      </c>
      <c r="T15" s="1">
        <f>SUM(T4:T14)</f>
        <v>1630325575.391705</v>
      </c>
      <c r="W15" s="1">
        <f>SUM(W4:W14)</f>
        <v>547869979.41795313</v>
      </c>
      <c r="X15" s="1">
        <f>SUM(X4:X14)</f>
        <v>37117778.075314306</v>
      </c>
    </row>
    <row r="16" spans="1:34" x14ac:dyDescent="0.35">
      <c r="D16" s="1"/>
      <c r="O16">
        <v>15</v>
      </c>
      <c r="P16">
        <v>0</v>
      </c>
      <c r="Q16" s="1">
        <f t="shared" si="0"/>
        <v>73490661.712293655</v>
      </c>
    </row>
    <row r="17" spans="14:17" x14ac:dyDescent="0.35">
      <c r="O17">
        <v>16</v>
      </c>
      <c r="P17">
        <v>0</v>
      </c>
      <c r="Q17" s="1">
        <f t="shared" si="0"/>
        <v>77165194.797908351</v>
      </c>
    </row>
    <row r="18" spans="14:17" x14ac:dyDescent="0.35">
      <c r="O18">
        <v>17</v>
      </c>
      <c r="P18">
        <v>0</v>
      </c>
      <c r="Q18" s="1">
        <f t="shared" si="0"/>
        <v>81023454.537803769</v>
      </c>
    </row>
    <row r="19" spans="14:17" x14ac:dyDescent="0.35">
      <c r="O19">
        <v>18</v>
      </c>
      <c r="P19">
        <v>0</v>
      </c>
      <c r="Q19" s="1">
        <f t="shared" si="0"/>
        <v>85074627.264693961</v>
      </c>
    </row>
    <row r="20" spans="14:17" x14ac:dyDescent="0.35">
      <c r="O20">
        <v>19</v>
      </c>
      <c r="P20">
        <v>0</v>
      </c>
      <c r="Q20" s="1">
        <f t="shared" si="0"/>
        <v>89328358.627928659</v>
      </c>
    </row>
    <row r="21" spans="14:17" x14ac:dyDescent="0.35">
      <c r="O21">
        <v>20</v>
      </c>
      <c r="P21" s="1">
        <v>0</v>
      </c>
      <c r="Q21" s="1">
        <f t="shared" si="0"/>
        <v>93794776.559325099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98484515.387291342</v>
      </c>
    </row>
    <row r="23" spans="14:17" x14ac:dyDescent="0.35">
      <c r="N23" t="s">
        <v>26</v>
      </c>
      <c r="O23">
        <v>22</v>
      </c>
      <c r="P23" s="1">
        <f>$B$10*(1+$AC$2)^(O23-1)</f>
        <v>741762539.69443715</v>
      </c>
      <c r="Q23" s="1">
        <f t="shared" si="0"/>
        <v>103408741.15665591</v>
      </c>
    </row>
    <row r="24" spans="14:17" x14ac:dyDescent="0.35">
      <c r="O24">
        <v>23</v>
      </c>
      <c r="P24">
        <v>0</v>
      </c>
      <c r="Q24" s="1">
        <f t="shared" si="0"/>
        <v>108579178.2144887</v>
      </c>
    </row>
    <row r="25" spans="14:17" x14ac:dyDescent="0.35">
      <c r="O25">
        <v>24</v>
      </c>
      <c r="P25">
        <v>0</v>
      </c>
      <c r="Q25" s="1">
        <f t="shared" si="0"/>
        <v>114008137.12521316</v>
      </c>
    </row>
    <row r="26" spans="14:17" x14ac:dyDescent="0.35">
      <c r="O26">
        <v>25</v>
      </c>
      <c r="P26">
        <v>0</v>
      </c>
      <c r="Q26" s="1">
        <f t="shared" si="0"/>
        <v>119708543.9814738</v>
      </c>
    </row>
    <row r="27" spans="14:17" x14ac:dyDescent="0.35">
      <c r="P27" s="1"/>
      <c r="Q27" s="1"/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9828-E654-475F-9FB7-ADEAE5A2E35A}">
  <dimension ref="A1:AD26"/>
  <sheetViews>
    <sheetView topLeftCell="B1" workbookViewId="0">
      <selection activeCell="K49" sqref="K49"/>
    </sheetView>
  </sheetViews>
  <sheetFormatPr baseColWidth="10" defaultRowHeight="14.5" x14ac:dyDescent="0.35"/>
  <cols>
    <col min="1" max="1" width="22.54296875" bestFit="1" customWidth="1"/>
    <col min="6" max="6" width="21.7265625" bestFit="1" customWidth="1"/>
    <col min="10" max="10" width="17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28</v>
      </c>
      <c r="G2" s="3" t="s">
        <v>9</v>
      </c>
      <c r="H2">
        <v>65</v>
      </c>
      <c r="J2" s="5" t="s">
        <v>12</v>
      </c>
      <c r="K2" s="3" t="s">
        <v>14</v>
      </c>
      <c r="L2">
        <v>65537</v>
      </c>
      <c r="O2">
        <v>1</v>
      </c>
      <c r="P2" s="1">
        <f>T15</f>
        <v>381246953.04972708</v>
      </c>
      <c r="Q2" s="1">
        <f>($X$15+$H$5*$H$6)*(1+$AD$2)^(O2-1)</f>
        <v>9723019.7125746068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338826.29</v>
      </c>
      <c r="O3">
        <v>2</v>
      </c>
      <c r="P3">
        <v>0</v>
      </c>
      <c r="Q3" s="1">
        <f t="shared" ref="Q3:Q26" si="0">($X$15+$H$5*$H$6)*(1+$AD$2)^(O3-1)</f>
        <v>10209170.698203338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154761500</v>
      </c>
      <c r="C4">
        <v>25</v>
      </c>
      <c r="D4" s="1">
        <f>B4*0.028</f>
        <v>4333322</v>
      </c>
      <c r="E4" s="1"/>
      <c r="J4" s="2" t="s">
        <v>13</v>
      </c>
      <c r="K4" s="3" t="s">
        <v>10</v>
      </c>
      <c r="L4">
        <v>57528</v>
      </c>
      <c r="O4">
        <v>3</v>
      </c>
      <c r="P4">
        <v>0</v>
      </c>
      <c r="Q4" s="1">
        <f t="shared" si="0"/>
        <v>10719629.233113505</v>
      </c>
      <c r="S4" s="2" t="s">
        <v>15</v>
      </c>
      <c r="T4" s="1">
        <f>B4</f>
        <v>154761500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4333322</v>
      </c>
      <c r="Y4">
        <f>T4/AA4</f>
        <v>125</v>
      </c>
      <c r="Z4" t="s">
        <v>27</v>
      </c>
      <c r="AA4">
        <v>1238092</v>
      </c>
    </row>
    <row r="5" spans="1:30" x14ac:dyDescent="0.35">
      <c r="A5" s="2" t="s">
        <v>16</v>
      </c>
      <c r="B5" s="1">
        <v>30858740</v>
      </c>
      <c r="C5">
        <v>25</v>
      </c>
      <c r="D5" s="1">
        <f>B5*0.017</f>
        <v>524598.58000000007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11255610.694769179</v>
      </c>
      <c r="S5" s="2" t="s">
        <v>16</v>
      </c>
      <c r="T5" s="1">
        <f t="shared" ref="T5:T14" si="3">B5</f>
        <v>30858740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524598.58000000007</v>
      </c>
      <c r="Y5">
        <f>T5/AA5</f>
        <v>55</v>
      </c>
      <c r="Z5" t="s">
        <v>27</v>
      </c>
      <c r="AA5">
        <v>561068</v>
      </c>
    </row>
    <row r="6" spans="1:30" x14ac:dyDescent="0.35">
      <c r="A6" s="2" t="s">
        <v>18</v>
      </c>
      <c r="B6" s="1">
        <v>7400000</v>
      </c>
      <c r="C6">
        <v>40</v>
      </c>
      <c r="D6" s="1">
        <f>B6*0.007</f>
        <v>51800</v>
      </c>
      <c r="E6" s="1"/>
      <c r="F6" s="2" t="s">
        <v>30</v>
      </c>
      <c r="G6" t="s">
        <v>10</v>
      </c>
      <c r="H6">
        <v>670812.14293720224</v>
      </c>
      <c r="O6">
        <v>5</v>
      </c>
      <c r="P6">
        <v>0</v>
      </c>
      <c r="Q6" s="1">
        <f t="shared" si="0"/>
        <v>11818391.229507638</v>
      </c>
      <c r="S6" s="2" t="s">
        <v>18</v>
      </c>
      <c r="T6" s="1">
        <f t="shared" si="3"/>
        <v>7400000</v>
      </c>
      <c r="U6" s="4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2" t="s">
        <v>19</v>
      </c>
      <c r="B7" s="1">
        <v>14292070</v>
      </c>
      <c r="C7">
        <v>40</v>
      </c>
      <c r="D7" s="1">
        <f>B7*0.02</f>
        <v>285841.40000000002</v>
      </c>
      <c r="E7" s="1"/>
      <c r="O7">
        <v>6</v>
      </c>
      <c r="P7">
        <v>0</v>
      </c>
      <c r="Q7" s="1">
        <f t="shared" si="0"/>
        <v>12409310.790983021</v>
      </c>
      <c r="S7" s="2" t="s">
        <v>19</v>
      </c>
      <c r="T7" s="1">
        <f t="shared" si="3"/>
        <v>14292070</v>
      </c>
      <c r="U7" s="4">
        <f t="shared" si="1"/>
        <v>40</v>
      </c>
      <c r="V7" s="1">
        <f t="shared" si="4"/>
        <v>15</v>
      </c>
      <c r="W7" s="1">
        <f t="shared" si="5"/>
        <v>5359526.25</v>
      </c>
      <c r="X7" s="1">
        <f t="shared" si="2"/>
        <v>285841.40000000002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13029776.330532171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f>P22*(V8/U8)</f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13681265.147058781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10.4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14365328.40441172</v>
      </c>
      <c r="S10" s="2" t="s">
        <v>26</v>
      </c>
      <c r="T10" s="1">
        <f t="shared" si="3"/>
        <v>65000000</v>
      </c>
      <c r="U10" s="4">
        <f t="shared" si="1"/>
        <v>10.4</v>
      </c>
      <c r="V10" s="4">
        <f t="shared" si="4"/>
        <v>6.2000000000000011</v>
      </c>
      <c r="W10" s="1">
        <f>P23*(V10/U10)</f>
        <v>107956050.37806363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15083594.824632306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9145012.8676614165</v>
      </c>
      <c r="C12">
        <v>30</v>
      </c>
      <c r="D12" s="1">
        <f>B12*0.01</f>
        <v>91450.128676614171</v>
      </c>
      <c r="E12" s="1"/>
      <c r="N12" t="s">
        <v>26</v>
      </c>
      <c r="O12">
        <v>11</v>
      </c>
      <c r="P12" s="1">
        <f>$B$10*(1+$AC$2)^(O12-1)</f>
        <v>105878150.74053369</v>
      </c>
      <c r="Q12" s="1">
        <f t="shared" si="0"/>
        <v>15837774.56586392</v>
      </c>
      <c r="S12" s="2" t="s">
        <v>22</v>
      </c>
      <c r="T12" s="1">
        <f t="shared" si="3"/>
        <v>9145012.8676614165</v>
      </c>
      <c r="U12" s="4">
        <f t="shared" si="1"/>
        <v>30</v>
      </c>
      <c r="V12" s="1">
        <f t="shared" si="4"/>
        <v>5</v>
      </c>
      <c r="W12" s="1">
        <f t="shared" si="5"/>
        <v>1524168.8112769027</v>
      </c>
      <c r="X12" s="1">
        <f t="shared" si="2"/>
        <v>91450.128676614171</v>
      </c>
    </row>
    <row r="13" spans="1:30" x14ac:dyDescent="0.35">
      <c r="A13" s="2" t="s">
        <v>23</v>
      </c>
      <c r="B13" s="1">
        <v>47942699.405654743</v>
      </c>
      <c r="C13">
        <v>30</v>
      </c>
      <c r="D13" s="1">
        <f>B13*0.02</f>
        <v>958853.98811309494</v>
      </c>
      <c r="E13" s="1"/>
      <c r="O13">
        <v>12</v>
      </c>
      <c r="P13">
        <v>0</v>
      </c>
      <c r="Q13" s="1">
        <f t="shared" si="0"/>
        <v>16629663.294157118</v>
      </c>
      <c r="S13" s="2" t="s">
        <v>23</v>
      </c>
      <c r="T13" s="1">
        <f t="shared" si="3"/>
        <v>47942699.405654743</v>
      </c>
      <c r="U13" s="4">
        <f t="shared" si="1"/>
        <v>30</v>
      </c>
      <c r="V13" s="1">
        <f t="shared" si="4"/>
        <v>5</v>
      </c>
      <c r="W13" s="1">
        <f t="shared" si="5"/>
        <v>7990449.9009424569</v>
      </c>
      <c r="X13" s="1">
        <f t="shared" si="2"/>
        <v>958853.98811309494</v>
      </c>
    </row>
    <row r="14" spans="1:30" x14ac:dyDescent="0.35">
      <c r="A14" s="2" t="s">
        <v>24</v>
      </c>
      <c r="B14" s="1">
        <v>13501152.198553151</v>
      </c>
      <c r="C14">
        <v>30</v>
      </c>
      <c r="D14" s="1">
        <f>B14*0.02</f>
        <v>270023.04397106299</v>
      </c>
      <c r="E14" s="1"/>
      <c r="O14">
        <v>13</v>
      </c>
      <c r="P14">
        <v>0</v>
      </c>
      <c r="Q14" s="1">
        <f t="shared" si="0"/>
        <v>17461146.458864972</v>
      </c>
      <c r="S14" s="2" t="s">
        <v>24</v>
      </c>
      <c r="T14" s="1">
        <f t="shared" si="3"/>
        <v>13501152.198553151</v>
      </c>
      <c r="U14" s="4">
        <f t="shared" si="1"/>
        <v>30</v>
      </c>
      <c r="V14" s="1">
        <f t="shared" si="4"/>
        <v>5</v>
      </c>
      <c r="W14" s="1">
        <f t="shared" si="5"/>
        <v>2250192.0330921914</v>
      </c>
      <c r="X14" s="1">
        <f t="shared" si="2"/>
        <v>270023.04397106299</v>
      </c>
    </row>
    <row r="15" spans="1:30" x14ac:dyDescent="0.35">
      <c r="O15">
        <v>14</v>
      </c>
      <c r="P15">
        <v>0</v>
      </c>
      <c r="Q15" s="1">
        <f t="shared" si="0"/>
        <v>18334203.781808224</v>
      </c>
      <c r="S15" s="2" t="s">
        <v>42</v>
      </c>
      <c r="T15" s="1">
        <f>SUM(T4:T14)</f>
        <v>381246953.04972708</v>
      </c>
      <c r="W15" s="1">
        <f>SUM(W4:W14)</f>
        <v>128413017.13635148</v>
      </c>
      <c r="X15" s="1">
        <f>SUM(X4:X14)</f>
        <v>8649720.2838750836</v>
      </c>
    </row>
    <row r="16" spans="1:30" x14ac:dyDescent="0.35">
      <c r="O16">
        <v>15</v>
      </c>
      <c r="P16">
        <v>0</v>
      </c>
      <c r="Q16" s="1">
        <f t="shared" si="0"/>
        <v>19250913.970898632</v>
      </c>
    </row>
    <row r="17" spans="14:17" x14ac:dyDescent="0.35">
      <c r="O17">
        <v>16</v>
      </c>
      <c r="P17">
        <v>0</v>
      </c>
      <c r="Q17" s="1">
        <f t="shared" si="0"/>
        <v>20213459.66944357</v>
      </c>
    </row>
    <row r="18" spans="14:17" x14ac:dyDescent="0.35">
      <c r="O18">
        <v>17</v>
      </c>
      <c r="P18">
        <v>0</v>
      </c>
      <c r="Q18" s="1">
        <f t="shared" si="0"/>
        <v>21224132.652915746</v>
      </c>
    </row>
    <row r="19" spans="14:17" x14ac:dyDescent="0.35">
      <c r="O19">
        <v>18</v>
      </c>
      <c r="P19">
        <v>0</v>
      </c>
      <c r="Q19" s="1">
        <f t="shared" si="0"/>
        <v>22285339.285561536</v>
      </c>
    </row>
    <row r="20" spans="14:17" x14ac:dyDescent="0.35">
      <c r="O20">
        <v>19</v>
      </c>
      <c r="P20">
        <v>0</v>
      </c>
      <c r="Q20" s="1">
        <f t="shared" si="0"/>
        <v>23399606.249839611</v>
      </c>
    </row>
    <row r="21" spans="14:17" x14ac:dyDescent="0.35">
      <c r="O21">
        <v>20</v>
      </c>
      <c r="P21" s="1">
        <v>0</v>
      </c>
      <c r="Q21" s="1">
        <f t="shared" si="0"/>
        <v>24569586.562331591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25798065.890448172</v>
      </c>
    </row>
    <row r="23" spans="14:17" x14ac:dyDescent="0.35">
      <c r="N23" t="s">
        <v>26</v>
      </c>
      <c r="O23">
        <v>22</v>
      </c>
      <c r="P23" s="1">
        <f>$B$10*(1+$AC$2)^(O23-1)</f>
        <v>181087568.37610671</v>
      </c>
      <c r="Q23" s="1">
        <f t="shared" si="0"/>
        <v>27087969.18497058</v>
      </c>
    </row>
    <row r="24" spans="14:17" x14ac:dyDescent="0.35">
      <c r="O24">
        <v>23</v>
      </c>
      <c r="P24">
        <v>0</v>
      </c>
      <c r="Q24" s="1">
        <f t="shared" si="0"/>
        <v>28442367.644219104</v>
      </c>
    </row>
    <row r="25" spans="14:17" x14ac:dyDescent="0.35">
      <c r="O25">
        <v>24</v>
      </c>
      <c r="P25">
        <v>0</v>
      </c>
      <c r="Q25" s="1">
        <f t="shared" si="0"/>
        <v>29864486.026430067</v>
      </c>
    </row>
    <row r="26" spans="14:17" x14ac:dyDescent="0.35">
      <c r="O26">
        <v>25</v>
      </c>
      <c r="P26">
        <v>0</v>
      </c>
      <c r="Q26" s="1">
        <f t="shared" si="0"/>
        <v>31357710.327751566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2E77-D668-43C2-8DF8-B550F6446896}">
  <dimension ref="A1:AD26"/>
  <sheetViews>
    <sheetView workbookViewId="0">
      <selection activeCell="N1" sqref="N1:AD27"/>
    </sheetView>
  </sheetViews>
  <sheetFormatPr baseColWidth="10" defaultRowHeight="14.5" x14ac:dyDescent="0.35"/>
  <cols>
    <col min="1" max="1" width="22.5429687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65088</v>
      </c>
      <c r="O2">
        <v>1</v>
      </c>
      <c r="P2" s="1">
        <f>T15</f>
        <v>378178857.85489851</v>
      </c>
      <c r="Q2" s="1">
        <f>($X$15+$H$5*$H$6)*(1+$AD$2)^(O2-1)</f>
        <v>9606146.5198605526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1191.5629530353258</v>
      </c>
      <c r="J3" s="5"/>
      <c r="K3" s="3" t="s">
        <v>10</v>
      </c>
      <c r="L3">
        <f>L2*5.17</f>
        <v>336504.96</v>
      </c>
      <c r="O3">
        <v>2</v>
      </c>
      <c r="P3">
        <v>0</v>
      </c>
      <c r="Q3" s="1">
        <f t="shared" ref="Q3:Q26" si="0">($X$15+$H$5*$H$6)*(1+$AD$2)^(O3-1)</f>
        <v>10086453.84585358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154761500</v>
      </c>
      <c r="C4">
        <v>25</v>
      </c>
      <c r="D4" s="1">
        <f>B4*0.028</f>
        <v>4333322</v>
      </c>
      <c r="E4" s="1"/>
      <c r="J4" s="2" t="s">
        <v>13</v>
      </c>
      <c r="K4" s="3" t="s">
        <v>10</v>
      </c>
      <c r="L4">
        <v>65088</v>
      </c>
      <c r="O4">
        <v>3</v>
      </c>
      <c r="P4">
        <v>0</v>
      </c>
      <c r="Q4" s="1">
        <f t="shared" si="0"/>
        <v>10590776.538146259</v>
      </c>
      <c r="S4" s="2" t="s">
        <v>15</v>
      </c>
      <c r="T4" s="1">
        <f>B4</f>
        <v>154761500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4333322</v>
      </c>
      <c r="Y4">
        <f>T4/AA4</f>
        <v>125</v>
      </c>
      <c r="Z4" t="s">
        <v>27</v>
      </c>
      <c r="AA4">
        <v>1238092</v>
      </c>
    </row>
    <row r="5" spans="1:30" x14ac:dyDescent="0.35">
      <c r="A5" s="2" t="s">
        <v>16</v>
      </c>
      <c r="B5" s="1">
        <v>25248060</v>
      </c>
      <c r="C5">
        <v>25</v>
      </c>
      <c r="D5" s="1">
        <f>B5*0.017</f>
        <v>429217.02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11120315.365053574</v>
      </c>
      <c r="S5" s="2" t="s">
        <v>16</v>
      </c>
      <c r="T5" s="1">
        <f t="shared" ref="T5:T14" si="3">B5</f>
        <v>25248060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429217.02</v>
      </c>
      <c r="Y5">
        <f>T5/AA5</f>
        <v>45</v>
      </c>
      <c r="Z5" t="s">
        <v>27</v>
      </c>
      <c r="AA5">
        <v>561068</v>
      </c>
    </row>
    <row r="6" spans="1:30" x14ac:dyDescent="0.35">
      <c r="A6" s="2" t="s">
        <v>18</v>
      </c>
      <c r="B6" s="1">
        <v>7400000</v>
      </c>
      <c r="C6">
        <v>40</v>
      </c>
      <c r="D6" s="1">
        <f>B6*0.007</f>
        <v>51800</v>
      </c>
      <c r="E6" s="1"/>
      <c r="F6" s="2" t="s">
        <v>30</v>
      </c>
      <c r="G6" t="s">
        <v>10</v>
      </c>
      <c r="H6">
        <v>663770.1085849118</v>
      </c>
      <c r="O6">
        <v>5</v>
      </c>
      <c r="P6">
        <v>0</v>
      </c>
      <c r="Q6" s="1">
        <f t="shared" si="0"/>
        <v>11676331.133306252</v>
      </c>
      <c r="S6" s="2" t="s">
        <v>18</v>
      </c>
      <c r="T6" s="1">
        <f t="shared" si="3"/>
        <v>7400000</v>
      </c>
      <c r="U6" s="4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2" t="s">
        <v>19</v>
      </c>
      <c r="B7" s="1">
        <v>13799240</v>
      </c>
      <c r="C7">
        <v>40</v>
      </c>
      <c r="D7" s="1">
        <f>B7*0.02</f>
        <v>275984.8</v>
      </c>
      <c r="E7" s="1"/>
      <c r="O7">
        <v>6</v>
      </c>
      <c r="P7">
        <v>0</v>
      </c>
      <c r="Q7" s="1">
        <f t="shared" si="0"/>
        <v>12260147.689971564</v>
      </c>
      <c r="S7" s="2" t="s">
        <v>19</v>
      </c>
      <c r="T7" s="1">
        <f t="shared" si="3"/>
        <v>13799240</v>
      </c>
      <c r="U7" s="4">
        <f t="shared" si="1"/>
        <v>40</v>
      </c>
      <c r="V7" s="1">
        <f t="shared" si="4"/>
        <v>15</v>
      </c>
      <c r="W7" s="1">
        <f t="shared" si="5"/>
        <v>5174715</v>
      </c>
      <c r="X7" s="1">
        <f t="shared" si="2"/>
        <v>275984.8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12873155.074470142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f>P22*(V8/U8)</f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13516812.828193652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10.71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14192653.469603332</v>
      </c>
      <c r="S10" s="2" t="s">
        <v>26</v>
      </c>
      <c r="T10" s="1">
        <f t="shared" si="3"/>
        <v>65000000</v>
      </c>
      <c r="U10" s="4">
        <f t="shared" si="1"/>
        <v>10.71</v>
      </c>
      <c r="V10" s="4">
        <f t="shared" si="4"/>
        <v>7.1300000000000026</v>
      </c>
      <c r="W10" s="1">
        <f>P24*(V10/U10)</f>
        <v>126583761.03153345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14902286.1430835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15252620.253043231</v>
      </c>
      <c r="C12">
        <v>30</v>
      </c>
      <c r="D12" s="1">
        <f>B12*0.01</f>
        <v>152526.20253043232</v>
      </c>
      <c r="E12" s="1"/>
      <c r="N12" t="s">
        <v>26</v>
      </c>
      <c r="O12">
        <v>11</v>
      </c>
      <c r="P12" s="1">
        <f>$B$10*(1+$AC$2)^(O12-1)</f>
        <v>105878150.74053369</v>
      </c>
      <c r="Q12" s="1">
        <f t="shared" si="0"/>
        <v>15647400.450237675</v>
      </c>
      <c r="S12" s="2" t="s">
        <v>22</v>
      </c>
      <c r="T12" s="1">
        <f t="shared" si="3"/>
        <v>15252620.253043231</v>
      </c>
      <c r="U12" s="4">
        <f t="shared" si="1"/>
        <v>30</v>
      </c>
      <c r="V12" s="1">
        <f t="shared" si="4"/>
        <v>5</v>
      </c>
      <c r="W12" s="1">
        <f t="shared" si="5"/>
        <v>2542103.3755072048</v>
      </c>
      <c r="X12" s="1">
        <f t="shared" si="2"/>
        <v>152526.20253043232</v>
      </c>
    </row>
    <row r="13" spans="1:30" x14ac:dyDescent="0.35">
      <c r="A13" s="2" t="s">
        <v>23</v>
      </c>
      <c r="B13" s="1">
        <v>45545564.43537201</v>
      </c>
      <c r="C13">
        <v>30</v>
      </c>
      <c r="D13" s="1">
        <f>B13*0.02</f>
        <v>910911.28870744025</v>
      </c>
      <c r="E13" s="1"/>
      <c r="O13">
        <v>12</v>
      </c>
      <c r="P13">
        <v>0</v>
      </c>
      <c r="Q13" s="1">
        <f t="shared" si="0"/>
        <v>16429770.472749559</v>
      </c>
      <c r="S13" s="2" t="s">
        <v>23</v>
      </c>
      <c r="T13" s="1">
        <f t="shared" si="3"/>
        <v>45545564.43537201</v>
      </c>
      <c r="U13" s="4">
        <f t="shared" si="1"/>
        <v>30</v>
      </c>
      <c r="V13" s="1">
        <f t="shared" si="4"/>
        <v>5</v>
      </c>
      <c r="W13" s="1">
        <f t="shared" si="5"/>
        <v>7590927.4058953347</v>
      </c>
      <c r="X13" s="1">
        <f t="shared" si="2"/>
        <v>910911.28870744025</v>
      </c>
    </row>
    <row r="14" spans="1:30" x14ac:dyDescent="0.35">
      <c r="A14" s="2" t="s">
        <v>24</v>
      </c>
      <c r="B14" s="1">
        <v>12826094.588625491</v>
      </c>
      <c r="C14">
        <v>30</v>
      </c>
      <c r="D14" s="1">
        <f>B14*0.02</f>
        <v>256521.89177250981</v>
      </c>
      <c r="E14" s="1"/>
      <c r="O14">
        <v>13</v>
      </c>
      <c r="P14">
        <v>0</v>
      </c>
      <c r="Q14" s="1">
        <f t="shared" si="0"/>
        <v>17251258.996387035</v>
      </c>
      <c r="S14" s="2" t="s">
        <v>24</v>
      </c>
      <c r="T14" s="1">
        <f t="shared" si="3"/>
        <v>12826094.588625491</v>
      </c>
      <c r="U14" s="4">
        <f t="shared" si="1"/>
        <v>30</v>
      </c>
      <c r="V14" s="1">
        <f t="shared" si="4"/>
        <v>5</v>
      </c>
      <c r="W14" s="1">
        <f t="shared" si="5"/>
        <v>2137682.4314375818</v>
      </c>
      <c r="X14" s="1">
        <f t="shared" si="2"/>
        <v>256521.89177250981</v>
      </c>
    </row>
    <row r="15" spans="1:30" x14ac:dyDescent="0.35">
      <c r="O15">
        <v>14</v>
      </c>
      <c r="P15">
        <v>0</v>
      </c>
      <c r="Q15" s="1">
        <f t="shared" si="0"/>
        <v>18113821.946206391</v>
      </c>
      <c r="S15" s="2" t="s">
        <v>42</v>
      </c>
      <c r="T15" s="1">
        <f>SUM(T4:T14)</f>
        <v>378178857.85489851</v>
      </c>
      <c r="W15" s="1">
        <f>SUM(W4:W14)</f>
        <v>147361819.00734985</v>
      </c>
      <c r="X15" s="1">
        <f>SUM(X4:X14)</f>
        <v>8544114.3461246938</v>
      </c>
    </row>
    <row r="16" spans="1:30" x14ac:dyDescent="0.35">
      <c r="O16">
        <v>15</v>
      </c>
      <c r="P16">
        <v>0</v>
      </c>
      <c r="Q16" s="1">
        <f t="shared" si="0"/>
        <v>19019513.043516703</v>
      </c>
    </row>
    <row r="17" spans="14:17" x14ac:dyDescent="0.35">
      <c r="O17">
        <v>16</v>
      </c>
      <c r="P17">
        <v>0</v>
      </c>
      <c r="Q17" s="1">
        <f t="shared" si="0"/>
        <v>19970488.695692547</v>
      </c>
    </row>
    <row r="18" spans="14:17" x14ac:dyDescent="0.35">
      <c r="O18">
        <v>17</v>
      </c>
      <c r="P18">
        <v>0</v>
      </c>
      <c r="Q18" s="1">
        <f t="shared" si="0"/>
        <v>20969013.130477171</v>
      </c>
    </row>
    <row r="19" spans="14:17" x14ac:dyDescent="0.35">
      <c r="O19">
        <v>18</v>
      </c>
      <c r="P19">
        <v>0</v>
      </c>
      <c r="Q19" s="1">
        <f t="shared" si="0"/>
        <v>22017463.787001032</v>
      </c>
    </row>
    <row r="20" spans="14:17" x14ac:dyDescent="0.35">
      <c r="O20">
        <v>19</v>
      </c>
      <c r="P20">
        <v>0</v>
      </c>
      <c r="Q20" s="1">
        <f t="shared" si="0"/>
        <v>23118336.976351082</v>
      </c>
    </row>
    <row r="21" spans="14:17" x14ac:dyDescent="0.35">
      <c r="O21">
        <v>20</v>
      </c>
      <c r="P21" s="1">
        <v>0</v>
      </c>
      <c r="Q21" s="1">
        <f t="shared" si="0"/>
        <v>24274253.825168639</v>
      </c>
    </row>
    <row r="22" spans="14:17" x14ac:dyDescent="0.35">
      <c r="N22" t="s">
        <v>20</v>
      </c>
      <c r="O22">
        <v>21</v>
      </c>
      <c r="P22" s="1">
        <f>$B$8*(1+$AC$2)^(O22-1)</f>
        <v>0</v>
      </c>
      <c r="Q22" s="1">
        <f t="shared" si="0"/>
        <v>25487966.51642707</v>
      </c>
    </row>
    <row r="23" spans="14:17" x14ac:dyDescent="0.35">
      <c r="O23">
        <v>22</v>
      </c>
      <c r="P23" s="1">
        <v>0</v>
      </c>
      <c r="Q23" s="1">
        <f t="shared" si="0"/>
        <v>26762364.842248421</v>
      </c>
    </row>
    <row r="24" spans="14:17" x14ac:dyDescent="0.35">
      <c r="N24" t="s">
        <v>26</v>
      </c>
      <c r="O24">
        <v>23</v>
      </c>
      <c r="P24" s="1">
        <f>$B$10*(1+$AC$2)^(O24-1)</f>
        <v>190141946.79491204</v>
      </c>
      <c r="Q24" s="1">
        <f t="shared" si="0"/>
        <v>28100483.084360842</v>
      </c>
    </row>
    <row r="25" spans="14:17" x14ac:dyDescent="0.35">
      <c r="O25">
        <v>24</v>
      </c>
      <c r="P25">
        <v>0</v>
      </c>
      <c r="Q25" s="1">
        <f t="shared" si="0"/>
        <v>29505507.23857889</v>
      </c>
    </row>
    <row r="26" spans="14:17" x14ac:dyDescent="0.35">
      <c r="O26">
        <v>25</v>
      </c>
      <c r="P26">
        <v>0</v>
      </c>
      <c r="Q26" s="1">
        <f t="shared" si="0"/>
        <v>30980782.600507829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8691-9890-4E1B-A9C5-20B9A617AE44}">
  <dimension ref="A1:AD26"/>
  <sheetViews>
    <sheetView topLeftCell="B1" workbookViewId="0">
      <selection activeCell="N1" sqref="N1:AD26"/>
    </sheetView>
  </sheetViews>
  <sheetFormatPr baseColWidth="10" defaultRowHeight="14.5" x14ac:dyDescent="0.35"/>
  <cols>
    <col min="1" max="1" width="22.54296875" bestFit="1" customWidth="1"/>
    <col min="19" max="19" width="20.726562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78554</v>
      </c>
      <c r="O2">
        <v>1</v>
      </c>
      <c r="P2" s="1">
        <f>T15</f>
        <v>347687900.18206567</v>
      </c>
      <c r="Q2" s="1">
        <f>($X$15+$H$5*$H$6)*(1+$AD$2)^(O2-1)</f>
        <v>9154849.7115209438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157703.3910008893</v>
      </c>
      <c r="J3" s="5"/>
      <c r="K3" s="3" t="s">
        <v>10</v>
      </c>
      <c r="L3">
        <f>L2*5.17</f>
        <v>406124.18</v>
      </c>
      <c r="O3">
        <v>2</v>
      </c>
      <c r="P3">
        <v>0</v>
      </c>
      <c r="Q3" s="1">
        <f t="shared" ref="Q3:Q26" si="0">($X$15+$H$5*$H$6)*(1+$AD$2)^(O3-1)</f>
        <v>9612592.1970969923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>
        <v>154761500</v>
      </c>
      <c r="C4">
        <v>25</v>
      </c>
      <c r="D4" s="1">
        <f>B4*0.028</f>
        <v>4333322</v>
      </c>
      <c r="E4" s="1"/>
      <c r="J4" s="2" t="s">
        <v>13</v>
      </c>
      <c r="K4" s="3" t="s">
        <v>10</v>
      </c>
      <c r="L4">
        <v>23268</v>
      </c>
      <c r="O4">
        <v>3</v>
      </c>
      <c r="P4">
        <v>0</v>
      </c>
      <c r="Q4" s="1">
        <f t="shared" si="0"/>
        <v>10093221.806951841</v>
      </c>
      <c r="S4" s="2" t="s">
        <v>15</v>
      </c>
      <c r="T4" s="1">
        <f>B4</f>
        <v>154761500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4333322</v>
      </c>
      <c r="Y4">
        <f>T4/AA4</f>
        <v>125</v>
      </c>
      <c r="Z4" t="s">
        <v>27</v>
      </c>
      <c r="AA4">
        <v>1238092</v>
      </c>
    </row>
    <row r="5" spans="1:30" x14ac:dyDescent="0.35">
      <c r="A5" s="2" t="s">
        <v>16</v>
      </c>
      <c r="B5">
        <v>8416020</v>
      </c>
      <c r="C5">
        <v>25</v>
      </c>
      <c r="D5" s="1">
        <f>B5*0.017</f>
        <v>143072.34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10597882.897299433</v>
      </c>
      <c r="S5" s="2" t="s">
        <v>16</v>
      </c>
      <c r="T5" s="1">
        <f t="shared" ref="T5:T14" si="3">B5</f>
        <v>8416020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143072.34</v>
      </c>
      <c r="Y5">
        <f>T5/AA5</f>
        <v>15</v>
      </c>
      <c r="Z5" t="s">
        <v>27</v>
      </c>
      <c r="AA5">
        <v>561068</v>
      </c>
    </row>
    <row r="6" spans="1:30" x14ac:dyDescent="0.35">
      <c r="A6" s="2" t="s">
        <v>18</v>
      </c>
      <c r="B6">
        <v>7400000</v>
      </c>
      <c r="C6">
        <v>40</v>
      </c>
      <c r="D6" s="1">
        <f>B6*0.007</f>
        <v>51800</v>
      </c>
      <c r="E6" s="1"/>
      <c r="F6" s="2" t="s">
        <v>30</v>
      </c>
      <c r="G6" t="s">
        <v>10</v>
      </c>
      <c r="H6">
        <v>635957.62270154606</v>
      </c>
      <c r="O6">
        <v>5</v>
      </c>
      <c r="P6">
        <v>0</v>
      </c>
      <c r="Q6" s="1">
        <f t="shared" si="0"/>
        <v>11127777.042164404</v>
      </c>
      <c r="S6" s="2" t="s">
        <v>18</v>
      </c>
      <c r="T6" s="1">
        <f t="shared" si="3"/>
        <v>7400000</v>
      </c>
      <c r="U6" s="4">
        <f t="shared" si="1"/>
        <v>40</v>
      </c>
      <c r="V6" s="1">
        <f t="shared" si="4"/>
        <v>15</v>
      </c>
      <c r="W6" s="1">
        <f t="shared" si="5"/>
        <v>2775000</v>
      </c>
      <c r="X6" s="1">
        <f t="shared" si="2"/>
        <v>51800</v>
      </c>
    </row>
    <row r="7" spans="1:30" x14ac:dyDescent="0.35">
      <c r="A7" s="2" t="s">
        <v>19</v>
      </c>
      <c r="B7">
        <v>12320750</v>
      </c>
      <c r="C7">
        <v>40</v>
      </c>
      <c r="D7" s="1">
        <f>B7*0.02</f>
        <v>246415</v>
      </c>
      <c r="E7" s="1"/>
      <c r="O7">
        <v>6</v>
      </c>
      <c r="P7">
        <v>0</v>
      </c>
      <c r="Q7" s="1">
        <f t="shared" si="0"/>
        <v>11684165.894272625</v>
      </c>
      <c r="S7" s="2" t="s">
        <v>19</v>
      </c>
      <c r="T7" s="1">
        <f t="shared" si="3"/>
        <v>12320750</v>
      </c>
      <c r="U7" s="4">
        <f t="shared" si="1"/>
        <v>40</v>
      </c>
      <c r="V7" s="1">
        <f t="shared" si="4"/>
        <v>15</v>
      </c>
      <c r="W7" s="1">
        <f t="shared" si="5"/>
        <v>4620281.25</v>
      </c>
      <c r="X7" s="1">
        <f t="shared" si="2"/>
        <v>246415</v>
      </c>
    </row>
    <row r="8" spans="1:30" x14ac:dyDescent="0.35">
      <c r="A8" s="2" t="s">
        <v>20</v>
      </c>
      <c r="B8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12268374.188986255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0.35*100000000</f>
        <v>35000000</v>
      </c>
      <c r="C9">
        <v>25</v>
      </c>
      <c r="D9" s="1">
        <f>B9*0.02</f>
        <v>700000</v>
      </c>
      <c r="E9" s="1"/>
      <c r="O9">
        <v>8</v>
      </c>
      <c r="P9">
        <v>0</v>
      </c>
      <c r="Q9" s="1">
        <f t="shared" si="0"/>
        <v>12881792.89843557</v>
      </c>
      <c r="S9" s="2" t="s">
        <v>25</v>
      </c>
      <c r="T9" s="1">
        <f t="shared" si="3"/>
        <v>35000000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700000</v>
      </c>
    </row>
    <row r="10" spans="1:30" x14ac:dyDescent="0.35">
      <c r="A10" s="2" t="s">
        <v>26</v>
      </c>
      <c r="B10" s="1">
        <f>0.65*100000000</f>
        <v>65000000</v>
      </c>
      <c r="C10">
        <v>10.27</v>
      </c>
      <c r="D10" s="1">
        <f>B10*0.02</f>
        <v>1300000</v>
      </c>
      <c r="E10" s="1"/>
      <c r="O10">
        <v>9</v>
      </c>
      <c r="P10">
        <v>0</v>
      </c>
      <c r="Q10" s="1">
        <f t="shared" si="0"/>
        <v>13525882.543357348</v>
      </c>
      <c r="S10" s="2" t="s">
        <v>26</v>
      </c>
      <c r="T10" s="1">
        <f t="shared" si="3"/>
        <v>65000000</v>
      </c>
      <c r="U10" s="4">
        <f t="shared" si="1"/>
        <v>10.27</v>
      </c>
      <c r="V10" s="4">
        <f t="shared" si="4"/>
        <v>5.8099999999999987</v>
      </c>
      <c r="W10" s="1">
        <f>P22*(V10/U10)</f>
        <v>97567466.246133432</v>
      </c>
      <c r="X10" s="1">
        <f t="shared" si="2"/>
        <v>1300000</v>
      </c>
    </row>
    <row r="11" spans="1:30" x14ac:dyDescent="0.35">
      <c r="A11" s="2" t="s">
        <v>21</v>
      </c>
      <c r="B11" s="1">
        <v>3345778.5778577859</v>
      </c>
      <c r="C11">
        <v>30</v>
      </c>
      <c r="D11" s="1">
        <f>B11*0.04</f>
        <v>133831.14311431145</v>
      </c>
      <c r="E11" s="1"/>
      <c r="O11">
        <v>10</v>
      </c>
      <c r="P11">
        <v>0</v>
      </c>
      <c r="Q11" s="1">
        <f t="shared" si="0"/>
        <v>14202176.670525216</v>
      </c>
      <c r="S11" s="2" t="s">
        <v>21</v>
      </c>
      <c r="T11" s="1">
        <f t="shared" si="3"/>
        <v>3345778.5778577859</v>
      </c>
      <c r="U11" s="4">
        <f t="shared" si="1"/>
        <v>30</v>
      </c>
      <c r="V11" s="1">
        <f t="shared" si="4"/>
        <v>5</v>
      </c>
      <c r="W11" s="1">
        <f t="shared" si="5"/>
        <v>557629.76297629764</v>
      </c>
      <c r="X11" s="1">
        <f t="shared" si="2"/>
        <v>133831.14311431145</v>
      </c>
    </row>
    <row r="12" spans="1:30" x14ac:dyDescent="0.35">
      <c r="A12" s="2" t="s">
        <v>22</v>
      </c>
      <c r="B12" s="1">
        <v>0</v>
      </c>
      <c r="C12">
        <v>30</v>
      </c>
      <c r="D12" s="1">
        <f>B12*0.01</f>
        <v>0</v>
      </c>
      <c r="E12" s="1"/>
      <c r="N12" t="s">
        <v>26</v>
      </c>
      <c r="O12">
        <v>11</v>
      </c>
      <c r="P12" s="1">
        <f>$B$10*(1+$AC$2)^(O12-1)</f>
        <v>105878150.74053369</v>
      </c>
      <c r="Q12" s="1">
        <f t="shared" si="0"/>
        <v>14912285.504051477</v>
      </c>
      <c r="S12" s="2" t="s">
        <v>22</v>
      </c>
      <c r="T12" s="1">
        <f t="shared" si="3"/>
        <v>0</v>
      </c>
      <c r="U12" s="4">
        <f t="shared" si="1"/>
        <v>30</v>
      </c>
      <c r="V12" s="1">
        <f t="shared" si="4"/>
        <v>5</v>
      </c>
      <c r="W12" s="1">
        <f t="shared" si="5"/>
        <v>0</v>
      </c>
      <c r="X12" s="1">
        <f t="shared" si="2"/>
        <v>0</v>
      </c>
    </row>
    <row r="13" spans="1:30" x14ac:dyDescent="0.35">
      <c r="A13" s="2" t="s">
        <v>23</v>
      </c>
      <c r="B13" s="1">
        <v>47942699.405654743</v>
      </c>
      <c r="C13">
        <v>30</v>
      </c>
      <c r="D13" s="1">
        <f>B13*0.02</f>
        <v>958853.98811309494</v>
      </c>
      <c r="E13" s="1"/>
      <c r="O13">
        <v>12</v>
      </c>
      <c r="P13">
        <v>0</v>
      </c>
      <c r="Q13" s="1">
        <f t="shared" si="0"/>
        <v>15657899.779254051</v>
      </c>
      <c r="S13" s="2" t="s">
        <v>23</v>
      </c>
      <c r="T13" s="1">
        <f t="shared" si="3"/>
        <v>47942699.405654743</v>
      </c>
      <c r="U13" s="4">
        <f t="shared" si="1"/>
        <v>30</v>
      </c>
      <c r="V13" s="1">
        <f t="shared" si="4"/>
        <v>5</v>
      </c>
      <c r="W13" s="1">
        <f t="shared" si="5"/>
        <v>7990449.9009424569</v>
      </c>
      <c r="X13" s="1">
        <f t="shared" si="2"/>
        <v>958853.98811309494</v>
      </c>
    </row>
    <row r="14" spans="1:30" x14ac:dyDescent="0.35">
      <c r="A14" s="2" t="s">
        <v>24</v>
      </c>
      <c r="B14" s="1">
        <v>13501152.198553151</v>
      </c>
      <c r="C14">
        <v>30</v>
      </c>
      <c r="D14" s="1">
        <f>B14*0.02</f>
        <v>270023.04397106299</v>
      </c>
      <c r="E14" s="1"/>
      <c r="O14">
        <v>13</v>
      </c>
      <c r="P14">
        <v>0</v>
      </c>
      <c r="Q14" s="1">
        <f t="shared" si="0"/>
        <v>16440794.768216752</v>
      </c>
      <c r="S14" s="2" t="s">
        <v>24</v>
      </c>
      <c r="T14" s="1">
        <f t="shared" si="3"/>
        <v>13501152.198553151</v>
      </c>
      <c r="U14" s="4">
        <f t="shared" si="1"/>
        <v>30</v>
      </c>
      <c r="V14" s="1">
        <f t="shared" si="4"/>
        <v>5</v>
      </c>
      <c r="W14" s="1">
        <f t="shared" si="5"/>
        <v>2250192.0330921914</v>
      </c>
      <c r="X14" s="1">
        <f t="shared" si="2"/>
        <v>270023.04397106299</v>
      </c>
    </row>
    <row r="15" spans="1:30" x14ac:dyDescent="0.35">
      <c r="O15">
        <v>14</v>
      </c>
      <c r="P15">
        <v>0</v>
      </c>
      <c r="Q15" s="1">
        <f t="shared" si="0"/>
        <v>17262834.506627593</v>
      </c>
      <c r="S15" s="2" t="s">
        <v>42</v>
      </c>
      <c r="T15" s="1">
        <f>SUM(T4:T14)</f>
        <v>347687900.18206567</v>
      </c>
      <c r="W15" s="1">
        <f>SUM(W4:W14)</f>
        <v>115761019.19314438</v>
      </c>
      <c r="X15" s="1">
        <f>SUM(X4:X14)</f>
        <v>8137317.5151984692</v>
      </c>
    </row>
    <row r="16" spans="1:30" x14ac:dyDescent="0.35">
      <c r="O16">
        <v>15</v>
      </c>
      <c r="P16">
        <v>0</v>
      </c>
      <c r="Q16" s="1">
        <f t="shared" si="0"/>
        <v>18125976.231958967</v>
      </c>
    </row>
    <row r="17" spans="14:17" x14ac:dyDescent="0.35">
      <c r="O17">
        <v>16</v>
      </c>
      <c r="P17">
        <v>0</v>
      </c>
      <c r="Q17" s="1">
        <f t="shared" si="0"/>
        <v>19032275.043556921</v>
      </c>
    </row>
    <row r="18" spans="14:17" x14ac:dyDescent="0.35">
      <c r="O18">
        <v>17</v>
      </c>
      <c r="P18">
        <v>0</v>
      </c>
      <c r="Q18" s="1">
        <f t="shared" si="0"/>
        <v>19983888.795734767</v>
      </c>
    </row>
    <row r="19" spans="14:17" x14ac:dyDescent="0.35">
      <c r="O19">
        <v>18</v>
      </c>
      <c r="P19">
        <v>0</v>
      </c>
      <c r="Q19" s="1">
        <f t="shared" si="0"/>
        <v>20983083.235521507</v>
      </c>
    </row>
    <row r="20" spans="14:17" x14ac:dyDescent="0.35">
      <c r="O20">
        <v>19</v>
      </c>
      <c r="P20">
        <v>0</v>
      </c>
      <c r="Q20" s="1">
        <f t="shared" si="0"/>
        <v>22032237.397297584</v>
      </c>
    </row>
    <row r="21" spans="14:17" x14ac:dyDescent="0.35">
      <c r="O21">
        <v>20</v>
      </c>
      <c r="P21" s="1">
        <v>0</v>
      </c>
      <c r="Q21" s="1">
        <f t="shared" si="0"/>
        <v>23133849.267162461</v>
      </c>
    </row>
    <row r="22" spans="14:17" x14ac:dyDescent="0.35">
      <c r="N22" t="s">
        <v>43</v>
      </c>
      <c r="O22">
        <v>21</v>
      </c>
      <c r="P22" s="1">
        <f>$B$8*(1+$AC$2)^(O22-1) + $B$10*(1+$AC$2)^(O22-1)</f>
        <v>172464350.83438736</v>
      </c>
      <c r="Q22" s="1">
        <f t="shared" si="0"/>
        <v>24290541.730520584</v>
      </c>
    </row>
    <row r="23" spans="14:17" x14ac:dyDescent="0.35">
      <c r="O23">
        <v>22</v>
      </c>
      <c r="P23" s="1">
        <v>0</v>
      </c>
      <c r="Q23" s="1">
        <f t="shared" si="0"/>
        <v>25505068.817046613</v>
      </c>
    </row>
    <row r="24" spans="14:17" x14ac:dyDescent="0.35">
      <c r="O24">
        <v>23</v>
      </c>
      <c r="P24" s="1">
        <v>0</v>
      </c>
      <c r="Q24" s="1">
        <f t="shared" si="0"/>
        <v>26780322.257898942</v>
      </c>
    </row>
    <row r="25" spans="14:17" x14ac:dyDescent="0.35">
      <c r="O25">
        <v>24</v>
      </c>
      <c r="P25">
        <v>0</v>
      </c>
      <c r="Q25" s="1">
        <f t="shared" si="0"/>
        <v>28119338.370793894</v>
      </c>
    </row>
    <row r="26" spans="14:17" x14ac:dyDescent="0.35">
      <c r="O26">
        <v>25</v>
      </c>
      <c r="P26">
        <v>0</v>
      </c>
      <c r="Q26" s="1">
        <f t="shared" si="0"/>
        <v>29525305.289333586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ADAA-DBC3-4256-8216-628FD8502395}">
  <dimension ref="A1:AD26"/>
  <sheetViews>
    <sheetView workbookViewId="0">
      <selection activeCell="N1" sqref="N1:AD26"/>
    </sheetView>
  </sheetViews>
  <sheetFormatPr baseColWidth="10" defaultRowHeight="14.5" x14ac:dyDescent="0.35"/>
  <cols>
    <col min="1" max="1" width="22.54296875" bestFit="1" customWidth="1"/>
  </cols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7082</v>
      </c>
      <c r="O2">
        <v>1</v>
      </c>
      <c r="P2" s="1">
        <f>T15</f>
        <v>59402627.715781309</v>
      </c>
      <c r="Q2" s="1">
        <f>($X$15+$H$5*$H$6)*(1+$AD$2)^(O2-1)</f>
        <v>1378690.8404635815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36613.94</v>
      </c>
      <c r="O3">
        <v>2</v>
      </c>
      <c r="P3">
        <v>0</v>
      </c>
      <c r="Q3" s="1">
        <f t="shared" ref="Q3:Q26" si="0">($X$15+$H$5*$H$6)*(1+$AD$2)^(O3-1)</f>
        <v>1447625.3824867606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16095196</v>
      </c>
      <c r="C4">
        <v>25</v>
      </c>
      <c r="D4" s="1">
        <f>B4*0.028</f>
        <v>450665.48800000001</v>
      </c>
      <c r="E4" s="1"/>
      <c r="J4" s="2" t="s">
        <v>13</v>
      </c>
      <c r="K4" s="3" t="s">
        <v>10</v>
      </c>
      <c r="L4">
        <v>11376</v>
      </c>
      <c r="O4">
        <v>3</v>
      </c>
      <c r="P4">
        <v>0</v>
      </c>
      <c r="Q4" s="1">
        <f t="shared" si="0"/>
        <v>1520006.6516110986</v>
      </c>
      <c r="S4" s="2" t="s">
        <v>15</v>
      </c>
      <c r="T4" s="1">
        <f>B4</f>
        <v>16095196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450665.48800000001</v>
      </c>
      <c r="Y4">
        <f>T4/AA4</f>
        <v>13</v>
      </c>
      <c r="Z4" t="s">
        <v>27</v>
      </c>
      <c r="AA4">
        <v>1238092</v>
      </c>
    </row>
    <row r="5" spans="1:30" x14ac:dyDescent="0.35">
      <c r="A5" s="2" t="s">
        <v>16</v>
      </c>
      <c r="B5" s="1">
        <v>5891214</v>
      </c>
      <c r="C5">
        <v>25</v>
      </c>
      <c r="D5" s="1">
        <f>B5*0.017</f>
        <v>100150.63800000001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1596006.9841916538</v>
      </c>
      <c r="S5" s="2" t="s">
        <v>16</v>
      </c>
      <c r="T5" s="1">
        <f t="shared" ref="T5:T14" si="3">B5</f>
        <v>5891214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100150.63800000001</v>
      </c>
      <c r="Y5">
        <f>T5/AA5</f>
        <v>10.5</v>
      </c>
      <c r="Z5" t="s">
        <v>27</v>
      </c>
      <c r="AA5">
        <v>561068</v>
      </c>
    </row>
    <row r="6" spans="1:30" x14ac:dyDescent="0.35">
      <c r="A6" s="2" t="s">
        <v>18</v>
      </c>
      <c r="B6" s="1">
        <v>1600000</v>
      </c>
      <c r="C6">
        <v>40</v>
      </c>
      <c r="D6" s="1">
        <f>B6*0.007</f>
        <v>11200</v>
      </c>
      <c r="E6" s="1"/>
      <c r="F6" s="2" t="s">
        <v>30</v>
      </c>
      <c r="G6" t="s">
        <v>10</v>
      </c>
      <c r="H6">
        <v>72630.278727152356</v>
      </c>
      <c r="O6">
        <v>5</v>
      </c>
      <c r="P6">
        <v>0</v>
      </c>
      <c r="Q6" s="1">
        <f t="shared" si="0"/>
        <v>1675807.3334012362</v>
      </c>
      <c r="S6" s="2" t="s">
        <v>18</v>
      </c>
      <c r="T6" s="1">
        <f t="shared" si="3"/>
        <v>1600000</v>
      </c>
      <c r="U6" s="4">
        <f t="shared" si="1"/>
        <v>40</v>
      </c>
      <c r="V6" s="1">
        <f t="shared" si="4"/>
        <v>15</v>
      </c>
      <c r="W6" s="1">
        <f t="shared" si="5"/>
        <v>600000</v>
      </c>
      <c r="X6" s="1">
        <f t="shared" si="2"/>
        <v>11200</v>
      </c>
    </row>
    <row r="7" spans="1:30" x14ac:dyDescent="0.35">
      <c r="A7" s="2" t="s">
        <v>19</v>
      </c>
      <c r="B7" s="1">
        <v>6579280.5</v>
      </c>
      <c r="C7">
        <v>40</v>
      </c>
      <c r="D7" s="1">
        <f>B7*0.02</f>
        <v>131585.61000000002</v>
      </c>
      <c r="E7" s="1"/>
      <c r="O7">
        <v>6</v>
      </c>
      <c r="P7">
        <v>0</v>
      </c>
      <c r="Q7" s="1">
        <f t="shared" si="0"/>
        <v>1759597.7000712983</v>
      </c>
      <c r="S7" s="2" t="s">
        <v>19</v>
      </c>
      <c r="T7" s="1">
        <f t="shared" si="3"/>
        <v>6579280.5</v>
      </c>
      <c r="U7" s="4">
        <f t="shared" si="1"/>
        <v>40</v>
      </c>
      <c r="V7" s="1">
        <f t="shared" si="4"/>
        <v>15</v>
      </c>
      <c r="W7" s="1">
        <f t="shared" si="5"/>
        <v>2467230.1875</v>
      </c>
      <c r="X7" s="1">
        <f t="shared" si="2"/>
        <v>131585.61000000002</v>
      </c>
    </row>
    <row r="8" spans="1:30" x14ac:dyDescent="0.35">
      <c r="A8" s="2" t="s">
        <v>20</v>
      </c>
      <c r="B8" s="1">
        <v>0</v>
      </c>
      <c r="C8">
        <v>20</v>
      </c>
      <c r="D8" s="1">
        <f>B8*0.015</f>
        <v>0</v>
      </c>
      <c r="E8" s="1"/>
      <c r="O8">
        <v>7</v>
      </c>
      <c r="P8">
        <v>0</v>
      </c>
      <c r="Q8" s="1">
        <f t="shared" si="0"/>
        <v>1847577.5850748629</v>
      </c>
      <c r="S8" s="2" t="s">
        <v>20</v>
      </c>
      <c r="T8" s="1">
        <f t="shared" si="3"/>
        <v>0</v>
      </c>
      <c r="U8" s="4">
        <f t="shared" si="1"/>
        <v>20</v>
      </c>
      <c r="V8" s="1">
        <f t="shared" si="4"/>
        <v>15</v>
      </c>
      <c r="W8" s="1">
        <v>0</v>
      </c>
      <c r="X8" s="1">
        <f t="shared" si="2"/>
        <v>0</v>
      </c>
      <c r="Y8">
        <f>T8/AA8</f>
        <v>0</v>
      </c>
      <c r="Z8" t="s">
        <v>27</v>
      </c>
      <c r="AA8">
        <v>300000</v>
      </c>
    </row>
    <row r="9" spans="1:30" x14ac:dyDescent="0.35">
      <c r="A9" s="2" t="s">
        <v>25</v>
      </c>
      <c r="B9" s="1">
        <f>0.45*15000000</f>
        <v>6750000</v>
      </c>
      <c r="C9">
        <v>25</v>
      </c>
      <c r="D9" s="1">
        <f>B9*0.02</f>
        <v>135000</v>
      </c>
      <c r="E9" s="1"/>
      <c r="O9">
        <v>8</v>
      </c>
      <c r="P9">
        <v>0</v>
      </c>
      <c r="Q9" s="1">
        <f t="shared" si="0"/>
        <v>1939956.4643286064</v>
      </c>
      <c r="S9" s="2" t="s">
        <v>25</v>
      </c>
      <c r="T9" s="1">
        <f t="shared" si="3"/>
        <v>6750000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135000</v>
      </c>
    </row>
    <row r="10" spans="1:30" x14ac:dyDescent="0.35">
      <c r="A10" s="2" t="s">
        <v>26</v>
      </c>
      <c r="B10" s="1">
        <f>0.55*15000000</f>
        <v>8250000.0000000009</v>
      </c>
      <c r="C10">
        <v>10.39</v>
      </c>
      <c r="D10" s="1">
        <f>B10*0.02</f>
        <v>165000.00000000003</v>
      </c>
      <c r="E10" s="1"/>
      <c r="O10">
        <v>9</v>
      </c>
      <c r="P10">
        <v>0</v>
      </c>
      <c r="Q10" s="1">
        <f t="shared" si="0"/>
        <v>2036954.2875450365</v>
      </c>
      <c r="S10" s="2" t="s">
        <v>26</v>
      </c>
      <c r="T10" s="1">
        <f t="shared" si="3"/>
        <v>8250000.0000000009</v>
      </c>
      <c r="U10" s="4">
        <f t="shared" si="1"/>
        <v>10.39</v>
      </c>
      <c r="V10" s="4">
        <f t="shared" si="4"/>
        <v>6.1700000000000017</v>
      </c>
      <c r="W10" s="1">
        <f>P22*(V10/U10)</f>
        <v>12998988.107421938</v>
      </c>
      <c r="X10" s="1">
        <f t="shared" si="2"/>
        <v>165000.00000000003</v>
      </c>
    </row>
    <row r="11" spans="1:30" x14ac:dyDescent="0.35">
      <c r="A11" s="2" t="s">
        <v>21</v>
      </c>
      <c r="B11" s="1">
        <v>334577.85778577859</v>
      </c>
      <c r="C11">
        <v>30</v>
      </c>
      <c r="D11" s="1">
        <f>B11*0.04</f>
        <v>13383.114311431144</v>
      </c>
      <c r="E11" s="1"/>
      <c r="O11">
        <v>10</v>
      </c>
      <c r="P11">
        <v>0</v>
      </c>
      <c r="Q11" s="1">
        <f t="shared" si="0"/>
        <v>2138802.0019222884</v>
      </c>
      <c r="S11" s="2" t="s">
        <v>21</v>
      </c>
      <c r="T11" s="1">
        <f t="shared" si="3"/>
        <v>334577.85778577859</v>
      </c>
      <c r="U11" s="4">
        <f t="shared" si="1"/>
        <v>30</v>
      </c>
      <c r="V11" s="1">
        <f t="shared" si="4"/>
        <v>5</v>
      </c>
      <c r="W11" s="1">
        <f t="shared" si="5"/>
        <v>55762.976297629764</v>
      </c>
      <c r="X11" s="1">
        <f t="shared" si="2"/>
        <v>13383.114311431144</v>
      </c>
    </row>
    <row r="12" spans="1:30" x14ac:dyDescent="0.35">
      <c r="A12" s="2" t="s">
        <v>22</v>
      </c>
      <c r="B12" s="1">
        <v>2254964.297120431</v>
      </c>
      <c r="C12">
        <v>30</v>
      </c>
      <c r="D12" s="1">
        <f>B12*0.01</f>
        <v>22549.64297120431</v>
      </c>
      <c r="E12" s="1"/>
      <c r="N12" t="s">
        <v>26</v>
      </c>
      <c r="O12">
        <v>11</v>
      </c>
      <c r="P12" s="1">
        <f>$B$10*(1+$AC$2)^(O12-1)</f>
        <v>13438380.670913894</v>
      </c>
      <c r="Q12" s="1">
        <f t="shared" si="0"/>
        <v>2245742.1020184029</v>
      </c>
      <c r="S12" s="2" t="s">
        <v>22</v>
      </c>
      <c r="T12" s="1">
        <f t="shared" si="3"/>
        <v>2254964.297120431</v>
      </c>
      <c r="U12" s="4">
        <f t="shared" si="1"/>
        <v>30</v>
      </c>
      <c r="V12" s="1">
        <f t="shared" si="4"/>
        <v>5</v>
      </c>
      <c r="W12" s="1">
        <f t="shared" si="5"/>
        <v>375827.38285340514</v>
      </c>
      <c r="X12" s="1">
        <f t="shared" si="2"/>
        <v>22549.64297120431</v>
      </c>
    </row>
    <row r="13" spans="1:30" x14ac:dyDescent="0.35">
      <c r="A13" s="2" t="s">
        <v>23</v>
      </c>
      <c r="B13" s="1">
        <v>10297279.841019791</v>
      </c>
      <c r="C13">
        <v>30</v>
      </c>
      <c r="D13" s="1">
        <f>B13*0.02</f>
        <v>205945.59682039582</v>
      </c>
      <c r="E13" s="1"/>
      <c r="O13">
        <v>12</v>
      </c>
      <c r="P13">
        <v>0</v>
      </c>
      <c r="Q13" s="1">
        <f t="shared" si="0"/>
        <v>2358029.2071193233</v>
      </c>
      <c r="S13" s="2" t="s">
        <v>23</v>
      </c>
      <c r="T13" s="1">
        <f t="shared" si="3"/>
        <v>10297279.841019791</v>
      </c>
      <c r="U13" s="4">
        <f t="shared" si="1"/>
        <v>30</v>
      </c>
      <c r="V13" s="1">
        <f t="shared" si="4"/>
        <v>5</v>
      </c>
      <c r="W13" s="1">
        <f t="shared" si="5"/>
        <v>1716213.3068366316</v>
      </c>
      <c r="X13" s="1">
        <f t="shared" si="2"/>
        <v>205945.59682039582</v>
      </c>
    </row>
    <row r="14" spans="1:30" x14ac:dyDescent="0.35">
      <c r="A14" s="2" t="s">
        <v>24</v>
      </c>
      <c r="B14" s="1">
        <v>1350115.2198553151</v>
      </c>
      <c r="C14">
        <v>30</v>
      </c>
      <c r="D14" s="1">
        <f>B14*0.02</f>
        <v>27002.304397106302</v>
      </c>
      <c r="E14" s="1"/>
      <c r="O14">
        <v>13</v>
      </c>
      <c r="P14">
        <v>0</v>
      </c>
      <c r="Q14" s="1">
        <f t="shared" si="0"/>
        <v>2475930.6674752887</v>
      </c>
      <c r="S14" s="2" t="s">
        <v>24</v>
      </c>
      <c r="T14" s="1">
        <f t="shared" si="3"/>
        <v>1350115.2198553151</v>
      </c>
      <c r="U14" s="4">
        <f t="shared" si="1"/>
        <v>30</v>
      </c>
      <c r="V14" s="1">
        <f t="shared" si="4"/>
        <v>5</v>
      </c>
      <c r="W14" s="1">
        <f t="shared" si="5"/>
        <v>225019.20330921916</v>
      </c>
      <c r="X14" s="1">
        <f t="shared" si="2"/>
        <v>27002.304397106302</v>
      </c>
    </row>
    <row r="15" spans="1:30" x14ac:dyDescent="0.35">
      <c r="O15">
        <v>14</v>
      </c>
      <c r="P15">
        <v>0</v>
      </c>
      <c r="Q15" s="1">
        <f t="shared" si="0"/>
        <v>2599727.2008490539</v>
      </c>
      <c r="S15" s="2" t="s">
        <v>42</v>
      </c>
      <c r="T15" s="1">
        <f>SUM(T4:T14)</f>
        <v>59402627.715781309</v>
      </c>
      <c r="W15" s="1">
        <f>SUM(W4:W14)</f>
        <v>18439041.164218824</v>
      </c>
      <c r="X15" s="1">
        <f>SUM(X4:X14)</f>
        <v>1262482.3945001378</v>
      </c>
    </row>
    <row r="16" spans="1:30" x14ac:dyDescent="0.35">
      <c r="O16">
        <v>15</v>
      </c>
      <c r="P16">
        <v>0</v>
      </c>
      <c r="Q16" s="1">
        <f t="shared" si="0"/>
        <v>2729713.5608915058</v>
      </c>
    </row>
    <row r="17" spans="14:17" x14ac:dyDescent="0.35">
      <c r="O17">
        <v>16</v>
      </c>
      <c r="P17">
        <v>0</v>
      </c>
      <c r="Q17" s="1">
        <f t="shared" si="0"/>
        <v>2866199.238936082</v>
      </c>
    </row>
    <row r="18" spans="14:17" x14ac:dyDescent="0.35">
      <c r="O18">
        <v>17</v>
      </c>
      <c r="P18">
        <v>0</v>
      </c>
      <c r="Q18" s="1">
        <f t="shared" si="0"/>
        <v>3009509.2008828861</v>
      </c>
    </row>
    <row r="19" spans="14:17" x14ac:dyDescent="0.35">
      <c r="O19">
        <v>18</v>
      </c>
      <c r="P19">
        <v>0</v>
      </c>
      <c r="Q19" s="1">
        <f t="shared" si="0"/>
        <v>3159984.6609270307</v>
      </c>
    </row>
    <row r="20" spans="14:17" x14ac:dyDescent="0.35">
      <c r="O20">
        <v>19</v>
      </c>
      <c r="P20">
        <v>0</v>
      </c>
      <c r="Q20" s="1">
        <f t="shared" si="0"/>
        <v>3317983.8939733822</v>
      </c>
    </row>
    <row r="21" spans="14:17" x14ac:dyDescent="0.35">
      <c r="O21">
        <v>20</v>
      </c>
      <c r="P21" s="1">
        <v>0</v>
      </c>
      <c r="Q21" s="1">
        <f t="shared" si="0"/>
        <v>3483883.0886720512</v>
      </c>
    </row>
    <row r="22" spans="14:17" x14ac:dyDescent="0.35">
      <c r="N22" t="s">
        <v>43</v>
      </c>
      <c r="O22">
        <v>21</v>
      </c>
      <c r="P22" s="1">
        <f>$B$8*(1+$AC$2)^(O22-1) + $B$10*(1+$AC$2)^(O22-1)</f>
        <v>21889706.067441475</v>
      </c>
      <c r="Q22" s="1">
        <f t="shared" si="0"/>
        <v>3658077.2431056537</v>
      </c>
    </row>
    <row r="23" spans="14:17" x14ac:dyDescent="0.35">
      <c r="O23">
        <v>22</v>
      </c>
      <c r="P23" s="1">
        <v>0</v>
      </c>
      <c r="Q23" s="1">
        <f t="shared" si="0"/>
        <v>3840981.1052609361</v>
      </c>
    </row>
    <row r="24" spans="14:17" x14ac:dyDescent="0.35">
      <c r="O24">
        <v>23</v>
      </c>
      <c r="P24" s="1">
        <v>0</v>
      </c>
      <c r="Q24" s="1">
        <f t="shared" si="0"/>
        <v>4033030.1605239827</v>
      </c>
    </row>
    <row r="25" spans="14:17" x14ac:dyDescent="0.35">
      <c r="O25">
        <v>24</v>
      </c>
      <c r="P25">
        <v>0</v>
      </c>
      <c r="Q25" s="1">
        <f t="shared" si="0"/>
        <v>4234681.6685501831</v>
      </c>
    </row>
    <row r="26" spans="14:17" x14ac:dyDescent="0.35">
      <c r="O26">
        <v>25</v>
      </c>
      <c r="P26">
        <v>0</v>
      </c>
      <c r="Q26" s="1">
        <f t="shared" si="0"/>
        <v>4446415.7519776914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A78D-3CE7-4598-BDEF-0B160B46E8AB}">
  <dimension ref="A1:AD26"/>
  <sheetViews>
    <sheetView workbookViewId="0">
      <selection activeCell="N1" sqref="N1:AD27"/>
    </sheetView>
  </sheetViews>
  <sheetFormatPr baseColWidth="10" defaultRowHeight="14.5" x14ac:dyDescent="0.35"/>
  <sheetData>
    <row r="1" spans="1:30" x14ac:dyDescent="0.35">
      <c r="A1" s="2" t="s">
        <v>0</v>
      </c>
      <c r="B1" s="2" t="s">
        <v>3</v>
      </c>
      <c r="C1" s="2" t="s">
        <v>1</v>
      </c>
      <c r="D1" s="2" t="s">
        <v>5</v>
      </c>
      <c r="E1" s="2"/>
      <c r="F1" s="2" t="s">
        <v>7</v>
      </c>
      <c r="G1" s="2"/>
      <c r="H1" s="2"/>
      <c r="I1" s="2"/>
      <c r="J1" s="2" t="s">
        <v>11</v>
      </c>
      <c r="K1" s="2"/>
      <c r="L1" s="2"/>
      <c r="N1" s="2" t="s">
        <v>31</v>
      </c>
      <c r="O1" s="2" t="s">
        <v>32</v>
      </c>
      <c r="P1" s="2" t="s">
        <v>33</v>
      </c>
      <c r="Q1" s="2" t="s">
        <v>34</v>
      </c>
      <c r="R1" s="2"/>
      <c r="S1" s="2" t="s">
        <v>0</v>
      </c>
      <c r="T1" s="2" t="s">
        <v>3</v>
      </c>
      <c r="U1" s="2" t="s">
        <v>1</v>
      </c>
      <c r="V1" s="2" t="s">
        <v>35</v>
      </c>
      <c r="W1" s="2" t="s">
        <v>36</v>
      </c>
      <c r="X1" s="2" t="s">
        <v>5</v>
      </c>
      <c r="Y1" s="2" t="s">
        <v>37</v>
      </c>
      <c r="Z1" s="2" t="s">
        <v>38</v>
      </c>
      <c r="AA1" s="2" t="s">
        <v>39</v>
      </c>
      <c r="AB1" s="2"/>
      <c r="AC1" s="2" t="s">
        <v>40</v>
      </c>
      <c r="AD1" s="2" t="s">
        <v>41</v>
      </c>
    </row>
    <row r="2" spans="1:30" x14ac:dyDescent="0.35">
      <c r="F2" s="2" t="s">
        <v>8</v>
      </c>
      <c r="G2" s="3" t="s">
        <v>9</v>
      </c>
      <c r="H2">
        <v>65</v>
      </c>
      <c r="J2" s="5" t="s">
        <v>12</v>
      </c>
      <c r="K2" s="3" t="s">
        <v>14</v>
      </c>
      <c r="L2">
        <v>157857</v>
      </c>
      <c r="O2">
        <v>1</v>
      </c>
      <c r="P2" s="1">
        <f>T15</f>
        <v>1357028010.3614042</v>
      </c>
      <c r="Q2" s="1">
        <f>($X$15+$H$5*$H$6)*(1+$AD$2)^(O2-1)</f>
        <v>24256981.974387929</v>
      </c>
      <c r="R2" s="1"/>
      <c r="AC2">
        <v>0.05</v>
      </c>
      <c r="AD2">
        <v>0.05</v>
      </c>
    </row>
    <row r="3" spans="1:30" x14ac:dyDescent="0.35">
      <c r="B3" s="3" t="s">
        <v>2</v>
      </c>
      <c r="C3" s="3" t="s">
        <v>4</v>
      </c>
      <c r="D3" s="3" t="s">
        <v>6</v>
      </c>
      <c r="F3" s="2" t="s">
        <v>17</v>
      </c>
      <c r="G3" s="3" t="s">
        <v>10</v>
      </c>
      <c r="H3">
        <v>0</v>
      </c>
      <c r="J3" s="5"/>
      <c r="K3" s="3" t="s">
        <v>10</v>
      </c>
      <c r="L3">
        <f>L2*5.17</f>
        <v>816120.69</v>
      </c>
      <c r="O3">
        <v>2</v>
      </c>
      <c r="P3">
        <v>0</v>
      </c>
      <c r="Q3" s="1">
        <f t="shared" ref="Q3:Q26" si="0">($X$15+$H$5*$H$6)*(1+$AD$2)^(O3-1)</f>
        <v>25469831.073107325</v>
      </c>
      <c r="T3" s="3" t="s">
        <v>2</v>
      </c>
      <c r="U3" s="3" t="s">
        <v>4</v>
      </c>
      <c r="V3" s="3" t="s">
        <v>4</v>
      </c>
      <c r="W3" s="3" t="s">
        <v>2</v>
      </c>
      <c r="X3" s="3" t="s">
        <v>6</v>
      </c>
    </row>
    <row r="4" spans="1:30" x14ac:dyDescent="0.35">
      <c r="A4" s="2" t="s">
        <v>15</v>
      </c>
      <c r="B4" s="1">
        <v>0</v>
      </c>
      <c r="C4">
        <v>25</v>
      </c>
      <c r="D4" s="1">
        <f>B4*0.028</f>
        <v>0</v>
      </c>
      <c r="E4" s="1"/>
      <c r="J4" s="2" t="s">
        <v>13</v>
      </c>
      <c r="K4" s="3" t="s">
        <v>10</v>
      </c>
      <c r="L4">
        <v>277556</v>
      </c>
      <c r="O4">
        <v>3</v>
      </c>
      <c r="P4">
        <v>0</v>
      </c>
      <c r="Q4" s="1">
        <f t="shared" si="0"/>
        <v>26743322.626762692</v>
      </c>
      <c r="S4" s="2" t="s">
        <v>15</v>
      </c>
      <c r="T4" s="1">
        <f>B4</f>
        <v>0</v>
      </c>
      <c r="U4" s="4">
        <f t="shared" ref="U4:U14" si="1">C4</f>
        <v>25</v>
      </c>
      <c r="V4" s="1">
        <f>IF(U4&gt;=25,U4-25,U4-MOD(25,U4))</f>
        <v>0</v>
      </c>
      <c r="W4" s="1">
        <f>T4*(V4/U4)</f>
        <v>0</v>
      </c>
      <c r="X4" s="1">
        <f t="shared" ref="X4:X14" si="2">D4</f>
        <v>0</v>
      </c>
      <c r="Y4">
        <f>T4/AA4</f>
        <v>0</v>
      </c>
      <c r="Z4" t="s">
        <v>27</v>
      </c>
      <c r="AA4">
        <v>1238092</v>
      </c>
    </row>
    <row r="5" spans="1:30" x14ac:dyDescent="0.35">
      <c r="A5" s="2" t="s">
        <v>16</v>
      </c>
      <c r="B5" s="1">
        <v>589121400</v>
      </c>
      <c r="C5">
        <v>25</v>
      </c>
      <c r="D5" s="1">
        <f>B5*0.017</f>
        <v>10015063.800000001</v>
      </c>
      <c r="E5" s="1"/>
      <c r="F5" s="2" t="s">
        <v>29</v>
      </c>
      <c r="G5" t="s">
        <v>9</v>
      </c>
      <c r="H5">
        <v>1.6</v>
      </c>
      <c r="O5">
        <v>4</v>
      </c>
      <c r="P5">
        <v>0</v>
      </c>
      <c r="Q5" s="1">
        <f t="shared" si="0"/>
        <v>28080488.75810083</v>
      </c>
      <c r="S5" s="2" t="s">
        <v>16</v>
      </c>
      <c r="T5" s="1">
        <f t="shared" ref="T5:T14" si="3">B5</f>
        <v>589121400</v>
      </c>
      <c r="U5" s="4">
        <f t="shared" si="1"/>
        <v>25</v>
      </c>
      <c r="V5" s="1">
        <f t="shared" ref="V5:V14" si="4">IF(U5&gt;=25,U5-25,U5-MOD(25,U5))</f>
        <v>0</v>
      </c>
      <c r="W5" s="1">
        <f t="shared" ref="W5:W14" si="5">T5*(V5/U5)</f>
        <v>0</v>
      </c>
      <c r="X5" s="1">
        <f t="shared" si="2"/>
        <v>10015063.800000001</v>
      </c>
      <c r="Y5">
        <f>T5/AA5</f>
        <v>1050</v>
      </c>
      <c r="Z5" t="s">
        <v>27</v>
      </c>
      <c r="AA5">
        <v>561068</v>
      </c>
    </row>
    <row r="6" spans="1:30" x14ac:dyDescent="0.35">
      <c r="A6" s="2" t="s">
        <v>18</v>
      </c>
      <c r="B6" s="1">
        <v>40500000</v>
      </c>
      <c r="C6">
        <v>40</v>
      </c>
      <c r="D6" s="1">
        <f>B6*0.007</f>
        <v>283500</v>
      </c>
      <c r="E6" s="1"/>
      <c r="F6" s="2" t="s">
        <v>30</v>
      </c>
      <c r="G6" t="s">
        <v>10</v>
      </c>
      <c r="H6">
        <v>0</v>
      </c>
      <c r="O6">
        <v>5</v>
      </c>
      <c r="P6">
        <v>0</v>
      </c>
      <c r="Q6" s="1">
        <f t="shared" si="0"/>
        <v>29484513.196005866</v>
      </c>
      <c r="S6" s="2" t="s">
        <v>18</v>
      </c>
      <c r="T6" s="1">
        <f t="shared" si="3"/>
        <v>40500000</v>
      </c>
      <c r="U6" s="4">
        <f t="shared" si="1"/>
        <v>40</v>
      </c>
      <c r="V6" s="1">
        <f t="shared" si="4"/>
        <v>15</v>
      </c>
      <c r="W6" s="1">
        <f t="shared" si="5"/>
        <v>15187500</v>
      </c>
      <c r="X6" s="1">
        <f t="shared" si="2"/>
        <v>283500</v>
      </c>
    </row>
    <row r="7" spans="1:30" x14ac:dyDescent="0.35">
      <c r="A7" s="2" t="s">
        <v>19</v>
      </c>
      <c r="B7" s="1">
        <v>78852800</v>
      </c>
      <c r="C7">
        <v>40</v>
      </c>
      <c r="D7" s="1">
        <f>B7*0.02</f>
        <v>1577056</v>
      </c>
      <c r="E7" s="1"/>
      <c r="O7">
        <v>6</v>
      </c>
      <c r="P7">
        <v>0</v>
      </c>
      <c r="Q7" s="1">
        <f t="shared" si="0"/>
        <v>30958738.855806164</v>
      </c>
      <c r="S7" s="2" t="s">
        <v>19</v>
      </c>
      <c r="T7" s="1">
        <f t="shared" si="3"/>
        <v>78852800</v>
      </c>
      <c r="U7" s="4">
        <f t="shared" si="1"/>
        <v>40</v>
      </c>
      <c r="V7" s="1">
        <f t="shared" si="4"/>
        <v>15</v>
      </c>
      <c r="W7" s="1">
        <f t="shared" si="5"/>
        <v>29569800</v>
      </c>
      <c r="X7" s="1">
        <f t="shared" si="2"/>
        <v>1577056</v>
      </c>
    </row>
    <row r="8" spans="1:30" x14ac:dyDescent="0.35">
      <c r="A8" s="2" t="s">
        <v>20</v>
      </c>
      <c r="B8" s="1">
        <v>100000000</v>
      </c>
      <c r="C8">
        <v>20</v>
      </c>
      <c r="D8" s="1">
        <f>B8*0.015</f>
        <v>1500000</v>
      </c>
      <c r="E8" s="1"/>
      <c r="O8">
        <v>7</v>
      </c>
      <c r="P8">
        <v>0</v>
      </c>
      <c r="Q8" s="1">
        <f t="shared" si="0"/>
        <v>32506675.798596468</v>
      </c>
      <c r="S8" s="2" t="s">
        <v>20</v>
      </c>
      <c r="T8" s="1">
        <f t="shared" si="3"/>
        <v>100000000</v>
      </c>
      <c r="U8" s="4">
        <f t="shared" si="1"/>
        <v>20</v>
      </c>
      <c r="V8" s="1">
        <f t="shared" si="4"/>
        <v>15</v>
      </c>
      <c r="W8" s="1">
        <f>P22*(V8/U8)</f>
        <v>198997327.88583156</v>
      </c>
      <c r="X8" s="1">
        <f t="shared" si="2"/>
        <v>1500000</v>
      </c>
      <c r="Y8">
        <f>T8/AA8</f>
        <v>333.33333333333331</v>
      </c>
      <c r="Z8" t="s">
        <v>27</v>
      </c>
      <c r="AA8">
        <v>300000</v>
      </c>
    </row>
    <row r="9" spans="1:30" x14ac:dyDescent="0.35">
      <c r="A9" s="2" t="s">
        <v>25</v>
      </c>
      <c r="B9" s="1">
        <f>0.29*375000000</f>
        <v>108749999.99999999</v>
      </c>
      <c r="C9">
        <v>25</v>
      </c>
      <c r="D9" s="1">
        <f>B9*0.02</f>
        <v>2174999.9999999995</v>
      </c>
      <c r="E9" s="1"/>
      <c r="O9">
        <v>8</v>
      </c>
      <c r="P9">
        <v>0</v>
      </c>
      <c r="Q9" s="1">
        <f t="shared" si="0"/>
        <v>34132009.588526301</v>
      </c>
      <c r="S9" s="2" t="s">
        <v>25</v>
      </c>
      <c r="T9" s="1">
        <f t="shared" si="3"/>
        <v>108749999.99999999</v>
      </c>
      <c r="U9" s="4">
        <f t="shared" si="1"/>
        <v>25</v>
      </c>
      <c r="V9" s="1">
        <f t="shared" si="4"/>
        <v>0</v>
      </c>
      <c r="W9" s="1">
        <f>T9*(V9/U9)</f>
        <v>0</v>
      </c>
      <c r="X9" s="1">
        <f t="shared" si="2"/>
        <v>2174999.9999999995</v>
      </c>
    </row>
    <row r="10" spans="1:30" x14ac:dyDescent="0.35">
      <c r="A10" s="2" t="s">
        <v>26</v>
      </c>
      <c r="B10" s="1">
        <f>0.71*375000000</f>
        <v>266250000</v>
      </c>
      <c r="C10">
        <v>21.76</v>
      </c>
      <c r="D10" s="1">
        <f>B10*0.02</f>
        <v>5325000</v>
      </c>
      <c r="E10" s="1"/>
      <c r="O10">
        <v>9</v>
      </c>
      <c r="P10">
        <v>0</v>
      </c>
      <c r="Q10" s="1">
        <f t="shared" si="0"/>
        <v>35838610.067952611</v>
      </c>
      <c r="S10" s="2" t="s">
        <v>26</v>
      </c>
      <c r="T10" s="1">
        <f t="shared" si="3"/>
        <v>266250000</v>
      </c>
      <c r="U10" s="4">
        <f t="shared" si="1"/>
        <v>21.76</v>
      </c>
      <c r="V10" s="4">
        <f t="shared" si="4"/>
        <v>18.520000000000003</v>
      </c>
      <c r="W10" s="1">
        <f>P24*(V10/U10)</f>
        <v>662882093.14788711</v>
      </c>
      <c r="X10" s="1">
        <f t="shared" si="2"/>
        <v>5325000</v>
      </c>
    </row>
    <row r="11" spans="1:30" x14ac:dyDescent="0.35">
      <c r="A11" s="2" t="s">
        <v>21</v>
      </c>
      <c r="B11" s="1">
        <v>16728892.88928893</v>
      </c>
      <c r="C11">
        <v>30</v>
      </c>
      <c r="D11" s="1">
        <f>B11*0.04</f>
        <v>669155.71557155717</v>
      </c>
      <c r="E11" s="1"/>
      <c r="O11">
        <v>10</v>
      </c>
      <c r="P11">
        <v>0</v>
      </c>
      <c r="Q11" s="1">
        <f t="shared" si="0"/>
        <v>37630540.571350239</v>
      </c>
      <c r="S11" s="2" t="s">
        <v>21</v>
      </c>
      <c r="T11" s="1">
        <f t="shared" si="3"/>
        <v>16728892.88928893</v>
      </c>
      <c r="U11" s="4">
        <f t="shared" si="1"/>
        <v>30</v>
      </c>
      <c r="V11" s="1">
        <f t="shared" si="4"/>
        <v>5</v>
      </c>
      <c r="W11" s="1">
        <f t="shared" si="5"/>
        <v>2788148.8148814882</v>
      </c>
      <c r="X11" s="1">
        <f t="shared" si="2"/>
        <v>669155.71557155717</v>
      </c>
    </row>
    <row r="12" spans="1:30" x14ac:dyDescent="0.35">
      <c r="A12" s="2" t="s">
        <v>22</v>
      </c>
      <c r="B12" s="1">
        <v>42429189.062592924</v>
      </c>
      <c r="C12">
        <v>30</v>
      </c>
      <c r="D12" s="1">
        <f>B12*0.01</f>
        <v>424291.89062592923</v>
      </c>
      <c r="E12" s="1"/>
      <c r="O12">
        <v>11</v>
      </c>
      <c r="P12" s="1">
        <v>0</v>
      </c>
      <c r="Q12" s="1">
        <f t="shared" si="0"/>
        <v>39512067.599917755</v>
      </c>
      <c r="S12" s="2" t="s">
        <v>22</v>
      </c>
      <c r="T12" s="1">
        <f t="shared" si="3"/>
        <v>42429189.062592924</v>
      </c>
      <c r="U12" s="4">
        <f t="shared" si="1"/>
        <v>30</v>
      </c>
      <c r="V12" s="1">
        <f t="shared" si="4"/>
        <v>5</v>
      </c>
      <c r="W12" s="1">
        <f t="shared" si="5"/>
        <v>7071531.5104321539</v>
      </c>
      <c r="X12" s="1">
        <f t="shared" si="2"/>
        <v>424291.89062592923</v>
      </c>
    </row>
    <row r="13" spans="1:30" x14ac:dyDescent="0.35">
      <c r="A13" s="2" t="s">
        <v>23</v>
      </c>
      <c r="B13" s="1">
        <v>77267559.863501057</v>
      </c>
      <c r="C13">
        <v>30</v>
      </c>
      <c r="D13" s="1">
        <f>B13*0.02</f>
        <v>1545351.1972700211</v>
      </c>
      <c r="E13" s="1"/>
      <c r="O13">
        <v>12</v>
      </c>
      <c r="P13">
        <v>0</v>
      </c>
      <c r="Q13" s="1">
        <f t="shared" si="0"/>
        <v>41487670.979913644</v>
      </c>
      <c r="S13" s="2" t="s">
        <v>23</v>
      </c>
      <c r="T13" s="1">
        <f t="shared" si="3"/>
        <v>77267559.863501057</v>
      </c>
      <c r="U13" s="4">
        <f t="shared" si="1"/>
        <v>30</v>
      </c>
      <c r="V13" s="1">
        <f t="shared" si="4"/>
        <v>5</v>
      </c>
      <c r="W13" s="1">
        <f t="shared" si="5"/>
        <v>12877926.643916842</v>
      </c>
      <c r="X13" s="1">
        <f t="shared" si="2"/>
        <v>1545351.1972700211</v>
      </c>
    </row>
    <row r="14" spans="1:30" x14ac:dyDescent="0.35">
      <c r="A14" s="2" t="s">
        <v>24</v>
      </c>
      <c r="B14" s="1">
        <v>37128168.546021163</v>
      </c>
      <c r="C14">
        <v>30</v>
      </c>
      <c r="D14" s="1">
        <f>B14*0.02</f>
        <v>742563.3709204233</v>
      </c>
      <c r="E14" s="1"/>
      <c r="O14">
        <v>13</v>
      </c>
      <c r="P14">
        <v>0</v>
      </c>
      <c r="Q14" s="1">
        <f t="shared" si="0"/>
        <v>43562054.528909318</v>
      </c>
      <c r="S14" s="2" t="s">
        <v>24</v>
      </c>
      <c r="T14" s="1">
        <f t="shared" si="3"/>
        <v>37128168.546021163</v>
      </c>
      <c r="U14" s="4">
        <f t="shared" si="1"/>
        <v>30</v>
      </c>
      <c r="V14" s="1">
        <f t="shared" si="4"/>
        <v>5</v>
      </c>
      <c r="W14" s="1">
        <f t="shared" si="5"/>
        <v>6188028.0910035269</v>
      </c>
      <c r="X14" s="1">
        <f t="shared" si="2"/>
        <v>742563.3709204233</v>
      </c>
    </row>
    <row r="15" spans="1:30" x14ac:dyDescent="0.35">
      <c r="O15">
        <v>14</v>
      </c>
      <c r="P15">
        <v>0</v>
      </c>
      <c r="Q15" s="1">
        <f t="shared" si="0"/>
        <v>45740157.255354792</v>
      </c>
      <c r="S15" s="2" t="s">
        <v>42</v>
      </c>
      <c r="T15" s="1">
        <f>SUM(T4:T14)</f>
        <v>1357028010.3614042</v>
      </c>
      <c r="W15" s="1">
        <f>SUM(W4:W14)</f>
        <v>935562356.09395266</v>
      </c>
      <c r="X15" s="1">
        <f>SUM(X4:X14)</f>
        <v>24256981.974387929</v>
      </c>
    </row>
    <row r="16" spans="1:30" x14ac:dyDescent="0.35">
      <c r="O16">
        <v>15</v>
      </c>
      <c r="P16">
        <v>0</v>
      </c>
      <c r="Q16" s="1">
        <f t="shared" si="0"/>
        <v>48027165.118122526</v>
      </c>
    </row>
    <row r="17" spans="14:17" x14ac:dyDescent="0.35">
      <c r="O17">
        <v>16</v>
      </c>
      <c r="P17">
        <v>0</v>
      </c>
      <c r="Q17" s="1">
        <f t="shared" si="0"/>
        <v>50428523.374028668</v>
      </c>
    </row>
    <row r="18" spans="14:17" x14ac:dyDescent="0.35">
      <c r="O18">
        <v>17</v>
      </c>
      <c r="P18">
        <v>0</v>
      </c>
      <c r="Q18" s="1">
        <f t="shared" si="0"/>
        <v>52949949.542730093</v>
      </c>
    </row>
    <row r="19" spans="14:17" x14ac:dyDescent="0.35">
      <c r="O19">
        <v>18</v>
      </c>
      <c r="P19">
        <v>0</v>
      </c>
      <c r="Q19" s="1">
        <f t="shared" si="0"/>
        <v>55597447.019866608</v>
      </c>
    </row>
    <row r="20" spans="14:17" x14ac:dyDescent="0.35">
      <c r="O20">
        <v>19</v>
      </c>
      <c r="P20">
        <v>0</v>
      </c>
      <c r="Q20" s="1">
        <f t="shared" si="0"/>
        <v>58377319.370859936</v>
      </c>
    </row>
    <row r="21" spans="14:17" x14ac:dyDescent="0.35">
      <c r="O21">
        <v>20</v>
      </c>
      <c r="P21" s="1">
        <v>0</v>
      </c>
      <c r="Q21" s="1">
        <f t="shared" si="0"/>
        <v>61296185.339402929</v>
      </c>
    </row>
    <row r="22" spans="14:17" x14ac:dyDescent="0.35">
      <c r="N22" t="s">
        <v>20</v>
      </c>
      <c r="O22">
        <v>21</v>
      </c>
      <c r="P22" s="1">
        <f>$B$8*(1+$AC$2)^(O22-1)</f>
        <v>265329770.51444209</v>
      </c>
      <c r="Q22" s="1">
        <f t="shared" si="0"/>
        <v>64360994.606373072</v>
      </c>
    </row>
    <row r="23" spans="14:17" x14ac:dyDescent="0.35">
      <c r="O23">
        <v>22</v>
      </c>
      <c r="P23">
        <v>0</v>
      </c>
      <c r="Q23" s="1">
        <f t="shared" si="0"/>
        <v>67579044.336691722</v>
      </c>
    </row>
    <row r="24" spans="14:17" x14ac:dyDescent="0.35">
      <c r="N24" t="s">
        <v>26</v>
      </c>
      <c r="O24">
        <v>23</v>
      </c>
      <c r="P24" s="1">
        <f>$B$10*(1+$AC$2)^(O24-1)</f>
        <v>778850666.67915893</v>
      </c>
      <c r="Q24" s="1">
        <f t="shared" si="0"/>
        <v>70957996.553526312</v>
      </c>
    </row>
    <row r="25" spans="14:17" x14ac:dyDescent="0.35">
      <c r="O25">
        <v>24</v>
      </c>
      <c r="P25">
        <v>0</v>
      </c>
      <c r="Q25" s="1">
        <f t="shared" si="0"/>
        <v>74505896.381202638</v>
      </c>
    </row>
    <row r="26" spans="14:17" x14ac:dyDescent="0.35">
      <c r="O26">
        <v>25</v>
      </c>
      <c r="P26">
        <v>0</v>
      </c>
      <c r="Q26" s="1">
        <f t="shared" si="0"/>
        <v>78231191.200262755</v>
      </c>
    </row>
  </sheetData>
  <mergeCells count="1">
    <mergeCell ref="J2:J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Turkana_Central_500_MW</vt:lpstr>
      <vt:lpstr>Turkana_Central_100_MW</vt:lpstr>
      <vt:lpstr>Turkana_Central_10_MW</vt:lpstr>
      <vt:lpstr>Turkana_South_500_MW</vt:lpstr>
      <vt:lpstr>Turkana_South_100_MW</vt:lpstr>
      <vt:lpstr>Turkana_South_100_MW_Grid_AUX</vt:lpstr>
      <vt:lpstr>Turkana_South_100_MW_Grid</vt:lpstr>
      <vt:lpstr>Turkana_South_10_MW</vt:lpstr>
      <vt:lpstr>Kisumu_500_MW</vt:lpstr>
      <vt:lpstr>Kisumu_100_MW</vt:lpstr>
      <vt:lpstr>Kisumu_10_MW</vt:lpstr>
      <vt:lpstr>Mombasa_500_MW</vt:lpstr>
      <vt:lpstr>Mombasa_100_MW</vt:lpstr>
      <vt:lpstr>Mombasa_10_MW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Fetköter, Johann</dc:creator>
  <cp:lastModifiedBy>Julian Reul</cp:lastModifiedBy>
  <dcterms:created xsi:type="dcterms:W3CDTF">2024-11-07T16:18:22Z</dcterms:created>
  <dcterms:modified xsi:type="dcterms:W3CDTF">2024-11-26T09:15:27Z</dcterms:modified>
</cp:coreProperties>
</file>