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ERC\PyLMDI\documentation\"/>
    </mc:Choice>
  </mc:AlternateContent>
  <xr:revisionPtr revIDLastSave="0" documentId="13_ncr:1_{AF78BAB4-8CBF-46D6-A2C6-B62348D1FE02}" xr6:coauthVersionLast="47" xr6:coauthVersionMax="47" xr10:uidLastSave="{00000000-0000-0000-0000-000000000000}"/>
  <bookViews>
    <workbookView xWindow="-120" yWindow="-120" windowWidth="38640" windowHeight="21240" xr2:uid="{41F93156-9D97-4AF2-A1A9-D4013D42AA5A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I19" i="1"/>
  <c r="I12" i="1"/>
  <c r="G12" i="1"/>
  <c r="U37" i="1"/>
  <c r="T38" i="1"/>
  <c r="T37" i="1"/>
  <c r="T39" i="1"/>
  <c r="T40" i="1"/>
  <c r="S37" i="1"/>
  <c r="R37" i="1"/>
  <c r="P37" i="1"/>
  <c r="Q37" i="1"/>
  <c r="H37" i="1"/>
  <c r="I37" i="1"/>
  <c r="J37" i="1"/>
  <c r="M48" i="1"/>
  <c r="J12" i="1" s="1"/>
  <c r="K49" i="1"/>
  <c r="K50" i="1"/>
  <c r="K51" i="1"/>
  <c r="K48" i="1"/>
  <c r="J49" i="1"/>
  <c r="J50" i="1"/>
  <c r="J51" i="1"/>
  <c r="J48" i="1"/>
  <c r="I51" i="1"/>
  <c r="I45" i="1"/>
  <c r="I46" i="1"/>
  <c r="I47" i="1"/>
  <c r="I48" i="1"/>
  <c r="I49" i="1"/>
  <c r="I50" i="1"/>
  <c r="I44" i="1"/>
  <c r="H38" i="1"/>
  <c r="I38" i="1" s="1"/>
  <c r="H39" i="1"/>
  <c r="I39" i="1" s="1"/>
  <c r="H40" i="1"/>
  <c r="I40" i="1" s="1"/>
  <c r="S9" i="1"/>
  <c r="S10" i="1"/>
  <c r="S11" i="1"/>
  <c r="S8" i="1"/>
  <c r="R5" i="1"/>
  <c r="R6" i="1"/>
  <c r="R7" i="1"/>
  <c r="R8" i="1"/>
  <c r="R9" i="1"/>
  <c r="R10" i="1"/>
  <c r="R11" i="1"/>
  <c r="R4" i="1"/>
  <c r="F12" i="1"/>
  <c r="C15" i="1"/>
  <c r="H32" i="1"/>
  <c r="H31" i="1"/>
  <c r="H34" i="1"/>
  <c r="H33" i="1"/>
  <c r="H30" i="1"/>
  <c r="H29" i="1"/>
  <c r="H28" i="1"/>
  <c r="H27" i="1"/>
  <c r="G22" i="1"/>
  <c r="G21" i="1"/>
  <c r="F22" i="1"/>
  <c r="F21" i="1"/>
  <c r="G20" i="1"/>
  <c r="F20" i="1"/>
  <c r="G19" i="1"/>
  <c r="F19" i="1"/>
  <c r="K12" i="1"/>
  <c r="I27" i="1" l="1"/>
  <c r="I28" i="1"/>
  <c r="I29" i="1"/>
  <c r="I30" i="1"/>
  <c r="I33" i="1"/>
  <c r="I34" i="1"/>
  <c r="I31" i="1"/>
  <c r="I32" i="1"/>
  <c r="J32" i="1" s="1"/>
  <c r="K32" i="1" s="1"/>
  <c r="T8" i="1"/>
  <c r="U8" i="1" s="1"/>
  <c r="T11" i="1"/>
  <c r="U11" i="1" s="1"/>
  <c r="J40" i="1" s="1"/>
  <c r="T10" i="1"/>
  <c r="U10" i="1" s="1"/>
  <c r="T9" i="1"/>
  <c r="U9" i="1" s="1"/>
  <c r="H20" i="1"/>
  <c r="H21" i="1"/>
  <c r="H22" i="1"/>
  <c r="J38" i="1" l="1"/>
  <c r="L49" i="1"/>
  <c r="N32" i="1"/>
  <c r="J33" i="1"/>
  <c r="K33" i="1" s="1"/>
  <c r="I21" i="1"/>
  <c r="J21" i="1" s="1"/>
  <c r="M22" i="1" s="1"/>
  <c r="V11" i="1"/>
  <c r="L48" i="1"/>
  <c r="J31" i="1"/>
  <c r="K31" i="1" s="1"/>
  <c r="N31" i="1" s="1"/>
  <c r="J19" i="1"/>
  <c r="L50" i="1"/>
  <c r="J34" i="1"/>
  <c r="K34" i="1" s="1"/>
  <c r="N34" i="1" s="1"/>
  <c r="J39" i="1"/>
  <c r="L51" i="1"/>
  <c r="N33" i="1"/>
  <c r="M20" i="1" l="1"/>
  <c r="M19" i="1"/>
  <c r="M21" i="1"/>
  <c r="O31" i="1"/>
  <c r="K37" i="1"/>
  <c r="N19" i="1" l="1"/>
  <c r="H12" i="1" s="1"/>
  <c r="K13" i="1" s="1"/>
</calcChain>
</file>

<file path=xl/sharedStrings.xml><?xml version="1.0" encoding="utf-8"?>
<sst xmlns="http://schemas.openxmlformats.org/spreadsheetml/2006/main" count="208" uniqueCount="43">
  <si>
    <t>Vehicle Type</t>
  </si>
  <si>
    <t>Drive</t>
  </si>
  <si>
    <t>2w</t>
  </si>
  <si>
    <t>bev</t>
  </si>
  <si>
    <t>g</t>
  </si>
  <si>
    <t>lv</t>
  </si>
  <si>
    <t>Row Labels</t>
  </si>
  <si>
    <t>Grand Total</t>
  </si>
  <si>
    <t>Sum of 2019</t>
  </si>
  <si>
    <t>Sum of 2018</t>
  </si>
  <si>
    <t>Activity</t>
  </si>
  <si>
    <t>QiT</t>
  </si>
  <si>
    <t>QT</t>
  </si>
  <si>
    <t>T = 2019</t>
  </si>
  <si>
    <t>i</t>
  </si>
  <si>
    <t>j</t>
  </si>
  <si>
    <t>Ratio</t>
  </si>
  <si>
    <t>T/0</t>
  </si>
  <si>
    <t>T = 2018 = 0</t>
  </si>
  <si>
    <t>ln ()</t>
  </si>
  <si>
    <t>Energy</t>
  </si>
  <si>
    <t>T</t>
  </si>
  <si>
    <t>O</t>
  </si>
  <si>
    <t>Eij</t>
  </si>
  <si>
    <t>ln(eij)</t>
  </si>
  <si>
    <t>EijT-Eij0</t>
  </si>
  <si>
    <t>ln(EijT)-ln(Eij0)</t>
  </si>
  <si>
    <t>Qij</t>
  </si>
  <si>
    <t>Qi</t>
  </si>
  <si>
    <t>Sum()</t>
  </si>
  <si>
    <t>ln()*w</t>
  </si>
  <si>
    <t>SUM()</t>
  </si>
  <si>
    <t>Q0</t>
  </si>
  <si>
    <t>ratio</t>
  </si>
  <si>
    <t>ln</t>
  </si>
  <si>
    <t>total change</t>
  </si>
  <si>
    <t>Total drivers:</t>
  </si>
  <si>
    <t>Act</t>
  </si>
  <si>
    <t>Str_i</t>
  </si>
  <si>
    <t>Str_j</t>
  </si>
  <si>
    <t>Int</t>
  </si>
  <si>
    <t>Energy 2018</t>
  </si>
  <si>
    <t>Energy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</si>
</sst>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right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684439</xdr:colOff>
      <xdr:row>46</xdr:row>
      <xdr:rowOff>136071</xdr:rowOff>
    </xdr:from>
    <xdr:to>
      <xdr:col>8</xdr:col>
      <xdr:colOff>476251</xdr:colOff>
      <xdr:row>61</xdr:row>
      <xdr:rowOff>187779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DDA523-2834-2284-E8A6-BC342C7DFF2E}"/>
            </a:ext>
          </a:extLst>
        </xdr:cNvPr>
        <xdr:cNvSpPr txBox="1"/>
      </xdr:nvSpPr>
      <xdr:spPr>
        <a:xfrm>
          <a:off x="3056164" y="9070521"/>
          <a:ext cx="4020912" cy="29092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This will calcualte the results based</a:t>
          </a:r>
          <a:r>
            <a:rPr lang="en-US" sz="1100" baseline="0"/>
            <a:t> on the file: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all_data = pd.read_csv('input_data/tranport_8th/activity_efficiency_energy_road_stocks.csv')</a:t>
          </a:r>
        </a:p>
        <a:p>
          <a:endParaRPr lang="en-US" sz="1100"/>
        </a:p>
        <a:p>
          <a:r>
            <a:rPr lang="en-US" sz="1100"/>
            <a:t>where</a:t>
          </a:r>
        </a:p>
        <a:p>
          <a:r>
            <a:rPr lang="en-US" sz="1100"/>
            <a:t>drive</a:t>
          </a:r>
          <a:r>
            <a:rPr lang="en-US" sz="1100" baseline="0"/>
            <a:t> = [bev, g]</a:t>
          </a:r>
        </a:p>
        <a:p>
          <a:r>
            <a:rPr lang="en-US" sz="1100" baseline="0"/>
            <a:t>veh type = 2w, lv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 editAs="oneCell">
    <xdr:from>
      <xdr:col>0</xdr:col>
      <xdr:colOff>200025</xdr:colOff>
      <xdr:row>16</xdr:row>
      <xdr:rowOff>171449</xdr:rowOff>
    </xdr:from>
    <xdr:to>
      <xdr:col>2</xdr:col>
      <xdr:colOff>715768</xdr:colOff>
      <xdr:row>22</xdr:row>
      <xdr:rowOff>39460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9C7FA5-ECC9-0F64-DD58-B8372C927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067049"/>
          <a:ext cx="2180713" cy="953861"/>
        </a:xfrm>
        <a:prstGeom prst="rect">
          <a:avLst/>
        </a:prstGeom>
      </xdr:spPr>
    </xdr:pic>
    <xdr:clientData/>
  </xdr:twoCellAnchor>
  <xdr:twoCellAnchor editAs="oneCell">
    <xdr:from>
      <xdr:col>0</xdr:col>
      <xdr:colOff>117021</xdr:colOff>
      <xdr:row>26</xdr:row>
      <xdr:rowOff>1361</xdr:rowOff>
    </xdr:from>
    <xdr:to>
      <xdr:col>3</xdr:col>
      <xdr:colOff>258</xdr:colOff>
      <xdr:row>30</xdr:row>
      <xdr:rowOff>182880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5C5145-76BC-F4FC-10F6-CAC4E30E4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021" y="4706711"/>
          <a:ext cx="2351003" cy="893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142874</xdr:rowOff>
    </xdr:from>
    <xdr:to>
      <xdr:col>3</xdr:col>
      <xdr:colOff>658</xdr:colOff>
      <xdr:row>40</xdr:row>
      <xdr:rowOff>183695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9BBF9-3733-4E98-4E92-D113EDE2A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76999"/>
          <a:ext cx="2508441" cy="93617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42</xdr:row>
      <xdr:rowOff>83004</xdr:rowOff>
    </xdr:from>
    <xdr:to>
      <xdr:col>2</xdr:col>
      <xdr:colOff>410327</xdr:colOff>
      <xdr:row>48</xdr:row>
      <xdr:rowOff>41155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ACDC08-62A7-A45B-3DFE-2EB46F755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5" y="7683954"/>
          <a:ext cx="1875272" cy="1050543"/>
        </a:xfrm>
        <a:prstGeom prst="rect">
          <a:avLst/>
        </a:prstGeom>
      </xdr:spPr>
    </xdr:pic>
    <xdr:clientData/>
  </xdr:twoCellAnchor>
  <xdr:twoCellAnchor editAs="oneCell">
    <xdr:from>
      <xdr:col>9</xdr:col>
      <xdr:colOff>636816</xdr:colOff>
      <xdr:row>2</xdr:row>
      <xdr:rowOff>107496</xdr:rowOff>
    </xdr:from>
    <xdr:to>
      <xdr:col>12</xdr:col>
      <xdr:colOff>529584</xdr:colOff>
      <xdr:row>7</xdr:row>
      <xdr:rowOff>80814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89CC3A-CE61-869E-2EC4-657DF7AED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85466" y="469446"/>
          <a:ext cx="2057377" cy="88174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nbar Barton MAUNSELL" refreshedDate="44841.631058680556" createdVersion="8" refreshedVersion="8" minRefreshableVersion="3" recordCount="4" xr:uid="{933387CF-24EE-4ECA-A194-916E0994EF67}">
  <cacheSource type="worksheet">
    <worksheetSource ref="A3:D7" sheet="Sheet1"/>
  </cacheSource>
  <cacheFields count="4">
    <cacheField name="Vehicle Type" numFmtId="0">
      <sharedItems count="2">
        <s v="2w"/>
        <s v="lv"/>
      </sharedItems>
    </cacheField>
    <cacheField name="Drive" numFmtId="0">
      <sharedItems/>
    </cacheField>
    <cacheField name="2018" numFmtId="0">
      <sharedItems containsSemiMixedTypes="0" containsString="0" containsNumber="1" minValue="88.052850000000007" maxValue="13262.503374" count="4">
        <n v="126.34636399999999"/>
        <n v="881.44653700000003"/>
        <n v="88.052850000000007"/>
        <n v="13262.503374"/>
      </sharedItems>
    </cacheField>
    <cacheField name="2019" numFmtId="0">
      <sharedItems containsSemiMixedTypes="0" containsString="0" containsNumber="1" minValue="135.79279199999999" maxValue="13165.081690000001" count="4">
        <n v="135.79279199999999"/>
        <n v="909.87904100000003"/>
        <n v="208.850449"/>
        <n v="13165.08169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bev"/>
    <x v="0"/>
    <x v="0"/>
  </r>
  <r>
    <x v="0"/>
    <s v="g"/>
    <x v="1"/>
    <x v="1"/>
  </r>
  <r>
    <x v="1"/>
    <s v="bev"/>
    <x v="2"/>
    <x v="2"/>
  </r>
  <r>
    <x v="1"/>
    <s v="g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F832A-C39A-4043-8E4B-684A89F3811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C12" firstHeaderRow="0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dataField="1" showAll="0">
      <items count="5">
        <item x="2"/>
        <item x="0"/>
        <item x="1"/>
        <item x="3"/>
        <item t="default"/>
      </items>
    </pivotField>
    <pivotField dataField="1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8" fld="2" baseField="0" baseItem="0"/>
    <dataField name="Sum of 2019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EDEA3-27F7-4C58-9744-43E07DACBBC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15" firstHeaderRow="0" firstDataRow="1" firstDataCol="0"/>
  <pivotFields count="4">
    <pivotField showAll="0">
      <items count="3">
        <item x="0"/>
        <item x="1"/>
        <item t="default"/>
      </items>
    </pivotField>
    <pivotField showAll="0"/>
    <pivotField dataField="1" showAll="0">
      <items count="5">
        <item x="2"/>
        <item x="0"/>
        <item x="1"/>
        <item x="3"/>
        <item t="default"/>
      </items>
    </pivotField>
    <pivotField dataField="1" showAll="0">
      <items count="5">
        <item x="0"/>
        <item x="2"/>
        <item x="1"/>
        <item x="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2018" fld="2" baseField="0" baseItem="0"/>
    <dataField name="Sum of 2019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55B8-D484-49AF-80A0-CFA39D785C7E}">
  <dimension ref="A1:V51"/>
  <sheetViews>
    <sheetView tabSelected="1" workbookViewId="0">
      <selection activeCell="H11" sqref="H11"/>
    </sheetView>
  </sheetViews>
  <sheetFormatPr defaultRowHeight="15" x14ac:dyDescent="0.25"/>
  <cols>
    <col min="1" max="3" width="11.85546875" bestFit="1" customWidth="1"/>
    <col min="4" max="4" width="10.85546875" bestFit="1" customWidth="1"/>
    <col min="5" max="6" width="11.85546875" bestFit="1" customWidth="1"/>
    <col min="7" max="7" width="15.140625" bestFit="1" customWidth="1"/>
    <col min="8" max="8" width="13.7109375" bestFit="1" customWidth="1"/>
    <col min="9" max="9" width="17.28515625" bestFit="1" customWidth="1"/>
    <col min="10" max="10" width="12.140625" bestFit="1" customWidth="1"/>
    <col min="16" max="16" width="11.5703125" bestFit="1" customWidth="1"/>
    <col min="17" max="17" width="11.42578125" bestFit="1" customWidth="1"/>
    <col min="18" max="22" width="9.28515625" bestFit="1" customWidth="1"/>
  </cols>
  <sheetData>
    <row r="1" spans="1:22" x14ac:dyDescent="0.25">
      <c r="A1" t="s">
        <v>10</v>
      </c>
      <c r="F1" t="s">
        <v>20</v>
      </c>
    </row>
    <row r="2" spans="1:22" x14ac:dyDescent="0.25">
      <c r="A2" t="s">
        <v>14</v>
      </c>
      <c r="B2" t="s">
        <v>15</v>
      </c>
      <c r="F2" t="s">
        <v>14</v>
      </c>
      <c r="G2" t="s">
        <v>15</v>
      </c>
    </row>
    <row r="3" spans="1:22" ht="28.5" x14ac:dyDescent="0.25">
      <c r="A3" s="2" t="s">
        <v>0</v>
      </c>
      <c r="B3" s="2" t="s">
        <v>1</v>
      </c>
      <c r="C3" s="2">
        <v>2018</v>
      </c>
      <c r="D3" s="2">
        <v>2019</v>
      </c>
      <c r="E3" s="1"/>
      <c r="F3" s="2" t="s">
        <v>0</v>
      </c>
      <c r="G3" s="2" t="s">
        <v>1</v>
      </c>
      <c r="H3" s="2">
        <v>2018</v>
      </c>
      <c r="I3" s="2">
        <v>2019</v>
      </c>
      <c r="N3" s="6" t="s">
        <v>14</v>
      </c>
      <c r="O3" s="6" t="s">
        <v>15</v>
      </c>
      <c r="P3" s="6"/>
      <c r="Q3" s="6" t="s">
        <v>23</v>
      </c>
      <c r="R3" s="6" t="s">
        <v>24</v>
      </c>
      <c r="S3" s="6" t="s">
        <v>25</v>
      </c>
      <c r="T3" s="6" t="s">
        <v>26</v>
      </c>
      <c r="U3" s="6" t="s">
        <v>16</v>
      </c>
      <c r="V3" s="6" t="s">
        <v>29</v>
      </c>
    </row>
    <row r="4" spans="1:22" x14ac:dyDescent="0.25">
      <c r="A4" s="3" t="s">
        <v>2</v>
      </c>
      <c r="B4" s="3" t="s">
        <v>3</v>
      </c>
      <c r="C4" s="3">
        <v>126.34636399999999</v>
      </c>
      <c r="D4" s="3">
        <v>135.79279199999999</v>
      </c>
      <c r="E4" s="1"/>
      <c r="F4" s="3" t="s">
        <v>2</v>
      </c>
      <c r="G4" s="3" t="s">
        <v>3</v>
      </c>
      <c r="H4" s="3">
        <v>64.368711000000005</v>
      </c>
      <c r="I4" s="3">
        <v>68.946291000000002</v>
      </c>
      <c r="N4" s="7" t="s">
        <v>2</v>
      </c>
      <c r="O4" s="7" t="s">
        <v>3</v>
      </c>
      <c r="P4" s="6" t="s">
        <v>22</v>
      </c>
      <c r="Q4" s="7">
        <v>64.368711000000005</v>
      </c>
      <c r="R4" s="6">
        <f>LN(Q4)</f>
        <v>4.1646276610077253</v>
      </c>
      <c r="S4" s="6">
        <v>0</v>
      </c>
      <c r="T4" s="6"/>
      <c r="U4" s="6"/>
      <c r="V4" s="6"/>
    </row>
    <row r="5" spans="1:22" x14ac:dyDescent="0.25">
      <c r="A5" s="3" t="s">
        <v>2</v>
      </c>
      <c r="B5" s="3" t="s">
        <v>4</v>
      </c>
      <c r="C5" s="3">
        <v>881.44653700000003</v>
      </c>
      <c r="D5" s="3">
        <v>909.87904100000003</v>
      </c>
      <c r="E5" s="1"/>
      <c r="F5" s="3" t="s">
        <v>2</v>
      </c>
      <c r="G5" s="3" t="s">
        <v>4</v>
      </c>
      <c r="H5" s="3">
        <v>1031.373922</v>
      </c>
      <c r="I5" s="3">
        <v>1063.556071</v>
      </c>
      <c r="N5" s="7" t="s">
        <v>2</v>
      </c>
      <c r="O5" s="7" t="s">
        <v>4</v>
      </c>
      <c r="P5" s="6" t="s">
        <v>22</v>
      </c>
      <c r="Q5" s="7">
        <v>1031.373922</v>
      </c>
      <c r="R5" s="6">
        <f t="shared" ref="R5:R11" si="0">LN(Q5)</f>
        <v>6.9386470972173191</v>
      </c>
      <c r="S5" s="6">
        <v>0</v>
      </c>
      <c r="T5" s="6"/>
      <c r="U5" s="6"/>
      <c r="V5" s="6"/>
    </row>
    <row r="6" spans="1:22" x14ac:dyDescent="0.25">
      <c r="A6" s="3" t="s">
        <v>5</v>
      </c>
      <c r="B6" s="3" t="s">
        <v>3</v>
      </c>
      <c r="C6" s="3">
        <v>88.052850000000007</v>
      </c>
      <c r="D6" s="3">
        <v>208.850449</v>
      </c>
      <c r="E6" s="1"/>
      <c r="F6" s="3" t="s">
        <v>5</v>
      </c>
      <c r="G6" s="3" t="s">
        <v>3</v>
      </c>
      <c r="H6" s="3">
        <v>33.864173999999998</v>
      </c>
      <c r="I6" s="3">
        <v>82.254616999999996</v>
      </c>
      <c r="N6" s="7" t="s">
        <v>5</v>
      </c>
      <c r="O6" s="7" t="s">
        <v>3</v>
      </c>
      <c r="P6" s="6" t="s">
        <v>22</v>
      </c>
      <c r="Q6" s="7">
        <v>33.864173999999998</v>
      </c>
      <c r="R6" s="6">
        <f t="shared" si="0"/>
        <v>3.5223576414052804</v>
      </c>
      <c r="S6" s="6">
        <v>0</v>
      </c>
      <c r="T6" s="6"/>
      <c r="U6" s="6"/>
      <c r="V6" s="6"/>
    </row>
    <row r="7" spans="1:22" x14ac:dyDescent="0.25">
      <c r="A7" s="3" t="s">
        <v>5</v>
      </c>
      <c r="B7" s="3" t="s">
        <v>4</v>
      </c>
      <c r="C7" s="3">
        <v>13262.503374</v>
      </c>
      <c r="D7" s="3">
        <v>13165.081690000001</v>
      </c>
      <c r="E7" s="1"/>
      <c r="F7" s="3" t="s">
        <v>5</v>
      </c>
      <c r="G7" s="3" t="s">
        <v>4</v>
      </c>
      <c r="H7" s="3">
        <v>15466.122171999999</v>
      </c>
      <c r="I7" s="3">
        <v>15458.223035000001</v>
      </c>
      <c r="N7" s="7" t="s">
        <v>5</v>
      </c>
      <c r="O7" s="7" t="s">
        <v>4</v>
      </c>
      <c r="P7" s="6" t="s">
        <v>22</v>
      </c>
      <c r="Q7" s="7">
        <v>15466.122171999999</v>
      </c>
      <c r="R7" s="6">
        <f t="shared" si="0"/>
        <v>9.6464072445299962</v>
      </c>
      <c r="S7" s="6">
        <v>0</v>
      </c>
      <c r="T7" s="6"/>
      <c r="U7" s="6"/>
      <c r="V7" s="6"/>
    </row>
    <row r="8" spans="1:22" x14ac:dyDescent="0.25">
      <c r="A8" s="1"/>
      <c r="B8" s="1"/>
      <c r="C8" s="1"/>
      <c r="D8" s="1"/>
      <c r="E8" s="1"/>
      <c r="N8" s="7" t="s">
        <v>2</v>
      </c>
      <c r="O8" s="7" t="s">
        <v>3</v>
      </c>
      <c r="P8" s="6" t="s">
        <v>21</v>
      </c>
      <c r="Q8" s="7">
        <v>68.946291000000002</v>
      </c>
      <c r="R8" s="6">
        <f t="shared" si="0"/>
        <v>4.2333278101891008</v>
      </c>
      <c r="S8" s="6">
        <f>Q8-Q4</f>
        <v>4.5775799999999975</v>
      </c>
      <c r="T8" s="6">
        <f>R8-R4</f>
        <v>6.8700149181375458E-2</v>
      </c>
      <c r="U8" s="6">
        <f>S8/T8</f>
        <v>66.63129635882909</v>
      </c>
      <c r="V8" s="6"/>
    </row>
    <row r="9" spans="1:22" x14ac:dyDescent="0.25">
      <c r="A9" s="4" t="s">
        <v>6</v>
      </c>
      <c r="B9" t="s">
        <v>9</v>
      </c>
      <c r="C9" t="s">
        <v>8</v>
      </c>
      <c r="N9" s="7" t="s">
        <v>2</v>
      </c>
      <c r="O9" s="7" t="s">
        <v>4</v>
      </c>
      <c r="P9" s="6" t="s">
        <v>21</v>
      </c>
      <c r="Q9" s="7">
        <v>1063.556071</v>
      </c>
      <c r="R9" s="6">
        <f t="shared" si="0"/>
        <v>6.9693733563346347</v>
      </c>
      <c r="S9" s="6">
        <f>Q9-Q5</f>
        <v>32.182148999999981</v>
      </c>
      <c r="T9" s="6">
        <f t="shared" ref="T9:T11" si="1">R9-R5</f>
        <v>3.0726259117315635E-2</v>
      </c>
      <c r="U9" s="6">
        <f t="shared" ref="U9:U11" si="2">S9/T9</f>
        <v>1047.3825947091582</v>
      </c>
      <c r="V9" s="6"/>
    </row>
    <row r="10" spans="1:22" x14ac:dyDescent="0.25">
      <c r="A10" s="5" t="s">
        <v>2</v>
      </c>
      <c r="B10">
        <v>1007.792901</v>
      </c>
      <c r="C10">
        <v>1045.6718330000001</v>
      </c>
      <c r="N10" s="7" t="s">
        <v>5</v>
      </c>
      <c r="O10" s="7" t="s">
        <v>3</v>
      </c>
      <c r="P10" s="6" t="s">
        <v>21</v>
      </c>
      <c r="Q10" s="7">
        <v>82.254616999999996</v>
      </c>
      <c r="R10" s="6">
        <f t="shared" si="0"/>
        <v>4.409819521808644</v>
      </c>
      <c r="S10" s="6">
        <f>Q10-Q6</f>
        <v>48.390442999999998</v>
      </c>
      <c r="T10" s="6">
        <f t="shared" si="1"/>
        <v>0.8874618804033636</v>
      </c>
      <c r="U10" s="6">
        <f t="shared" si="2"/>
        <v>54.526784832725298</v>
      </c>
      <c r="V10" s="6"/>
    </row>
    <row r="11" spans="1:22" x14ac:dyDescent="0.25">
      <c r="A11" s="5" t="s">
        <v>5</v>
      </c>
      <c r="B11">
        <v>13350.556224</v>
      </c>
      <c r="C11">
        <v>13373.932139</v>
      </c>
      <c r="E11" s="6" t="s">
        <v>36</v>
      </c>
      <c r="F11" s="6" t="s">
        <v>41</v>
      </c>
      <c r="G11" s="6" t="s">
        <v>37</v>
      </c>
      <c r="H11" s="6" t="s">
        <v>38</v>
      </c>
      <c r="I11" s="6" t="s">
        <v>39</v>
      </c>
      <c r="J11" s="6" t="s">
        <v>40</v>
      </c>
      <c r="K11" s="6" t="s">
        <v>42</v>
      </c>
      <c r="N11" s="7" t="s">
        <v>5</v>
      </c>
      <c r="O11" s="7" t="s">
        <v>4</v>
      </c>
      <c r="P11" s="6" t="s">
        <v>21</v>
      </c>
      <c r="Q11" s="7">
        <v>15458.223035000001</v>
      </c>
      <c r="R11" s="6">
        <f t="shared" si="0"/>
        <v>9.6458963760140151</v>
      </c>
      <c r="S11" s="6">
        <f>Q11-Q7</f>
        <v>-7.8991369999985181</v>
      </c>
      <c r="T11" s="6">
        <f t="shared" si="1"/>
        <v>-5.1086851598114436E-4</v>
      </c>
      <c r="U11" s="6">
        <f t="shared" si="2"/>
        <v>15462.172267218102</v>
      </c>
      <c r="V11" s="6">
        <f>SUM(U8:U11)</f>
        <v>16630.712943118815</v>
      </c>
    </row>
    <row r="12" spans="1:22" x14ac:dyDescent="0.25">
      <c r="A12" s="5" t="s">
        <v>7</v>
      </c>
      <c r="B12">
        <v>14358.349125000001</v>
      </c>
      <c r="C12">
        <v>14419.603972000001</v>
      </c>
      <c r="E12" s="6"/>
      <c r="F12" s="6">
        <f>GETPIVOTDATA("Sum of 2018",$A$14)</f>
        <v>14358.349125000001</v>
      </c>
      <c r="G12" s="6">
        <f>U37</f>
        <v>70.798177471469614</v>
      </c>
      <c r="H12" s="6">
        <f>N19</f>
        <v>-2.5496055593212859</v>
      </c>
      <c r="I12" s="6">
        <f>O31</f>
        <v>-97.097790345687173</v>
      </c>
      <c r="J12" s="6">
        <f>M48</f>
        <v>106.10025343353938</v>
      </c>
      <c r="K12" s="6">
        <f>GETPIVOTDATA("Sum of 2019",$A$14)</f>
        <v>14419.603972000001</v>
      </c>
    </row>
    <row r="13" spans="1:22" x14ac:dyDescent="0.25">
      <c r="E13" s="6"/>
      <c r="F13" s="6"/>
      <c r="G13" s="6"/>
      <c r="H13" s="6"/>
      <c r="I13" s="6"/>
      <c r="J13" s="6"/>
      <c r="K13" s="6">
        <f>F12+SUM(G12:J12)</f>
        <v>14435.600160000002</v>
      </c>
    </row>
    <row r="14" spans="1:22" x14ac:dyDescent="0.25">
      <c r="A14" t="s">
        <v>9</v>
      </c>
      <c r="B14" t="s">
        <v>8</v>
      </c>
      <c r="C14" t="s">
        <v>35</v>
      </c>
    </row>
    <row r="15" spans="1:22" x14ac:dyDescent="0.25">
      <c r="A15">
        <v>14358.349125000001</v>
      </c>
      <c r="B15">
        <v>14419.603972000001</v>
      </c>
      <c r="C15">
        <f>GETPIVOTDATA("Sum of 2019",$A$14)-GETPIVOTDATA("Sum of 2018",$A$14)</f>
        <v>61.254847000000154</v>
      </c>
    </row>
    <row r="18" spans="4:15" x14ac:dyDescent="0.25">
      <c r="D18" s="6" t="s">
        <v>14</v>
      </c>
      <c r="E18" s="6"/>
      <c r="F18" s="6" t="s">
        <v>11</v>
      </c>
      <c r="G18" s="6" t="s">
        <v>12</v>
      </c>
      <c r="H18" s="6" t="s">
        <v>16</v>
      </c>
      <c r="I18" s="6" t="s">
        <v>17</v>
      </c>
      <c r="J18" s="6" t="s">
        <v>19</v>
      </c>
      <c r="K18" s="6" t="s">
        <v>14</v>
      </c>
      <c r="L18" s="6" t="s">
        <v>15</v>
      </c>
      <c r="M18" s="6" t="s">
        <v>30</v>
      </c>
      <c r="N18" s="6" t="s">
        <v>31</v>
      </c>
    </row>
    <row r="19" spans="4:15" x14ac:dyDescent="0.25">
      <c r="D19" s="7" t="s">
        <v>2</v>
      </c>
      <c r="E19" s="6" t="s">
        <v>18</v>
      </c>
      <c r="F19" s="6">
        <f>GETPIVOTDATA("Sum of 2018",$A$9,"Vehicle Type","2w")</f>
        <v>1007.792901</v>
      </c>
      <c r="G19" s="6">
        <f>GETPIVOTDATA("Sum of 2018",$A$14)</f>
        <v>14358.349125000001</v>
      </c>
      <c r="H19" s="6">
        <f>F19/G19</f>
        <v>7.0188633263226913E-2</v>
      </c>
      <c r="I19" s="6">
        <f>H20/H19</f>
        <v>1.0331783357846807</v>
      </c>
      <c r="J19" s="6">
        <f>LN(I19)</f>
        <v>3.2639813944493237E-2</v>
      </c>
      <c r="K19" s="7" t="s">
        <v>2</v>
      </c>
      <c r="L19" s="7" t="s">
        <v>3</v>
      </c>
      <c r="M19" s="6">
        <f>U8*J19</f>
        <v>2.1748331160325711</v>
      </c>
      <c r="N19" s="6">
        <f>SUM(M19:M22)</f>
        <v>-2.5496055593212859</v>
      </c>
    </row>
    <row r="20" spans="4:15" x14ac:dyDescent="0.25">
      <c r="D20" s="7" t="s">
        <v>2</v>
      </c>
      <c r="E20" s="6" t="s">
        <v>13</v>
      </c>
      <c r="F20" s="6">
        <f>GETPIVOTDATA("Sum of 2019",$A$9,"Vehicle Type","2w")</f>
        <v>1045.6718330000001</v>
      </c>
      <c r="G20" s="6">
        <f>GETPIVOTDATA("Sum of 2019",$A$14)</f>
        <v>14419.603972000001</v>
      </c>
      <c r="H20" s="6">
        <f>F20/G20</f>
        <v>7.2517375305902063E-2</v>
      </c>
      <c r="I20" s="6"/>
      <c r="J20" s="6"/>
      <c r="K20" s="7" t="s">
        <v>2</v>
      </c>
      <c r="L20" s="7" t="s">
        <v>4</v>
      </c>
      <c r="M20" s="6">
        <f>U9*J19</f>
        <v>34.186373020007487</v>
      </c>
      <c r="N20" s="6"/>
    </row>
    <row r="21" spans="4:15" x14ac:dyDescent="0.25">
      <c r="D21" s="7" t="s">
        <v>5</v>
      </c>
      <c r="E21" s="6" t="s">
        <v>18</v>
      </c>
      <c r="F21" s="6">
        <f>GETPIVOTDATA("Sum of 2018",$A$9,"Vehicle Type","lv")</f>
        <v>13350.556224</v>
      </c>
      <c r="G21" s="6">
        <f>GETPIVOTDATA("Sum of 2018",$A$14)</f>
        <v>14358.349125000001</v>
      </c>
      <c r="H21" s="6">
        <f t="shared" ref="H21:H22" si="3">F21/G21</f>
        <v>0.929811366736773</v>
      </c>
      <c r="I21" s="6">
        <f>H22/H21</f>
        <v>0.99749546830036295</v>
      </c>
      <c r="J21" s="6">
        <f>LN(I21)</f>
        <v>-2.5076732857184942E-3</v>
      </c>
      <c r="K21" s="7" t="s">
        <v>5</v>
      </c>
      <c r="L21" s="7" t="s">
        <v>3</v>
      </c>
      <c r="M21" s="6">
        <f>U10*J21</f>
        <v>-0.13673536168114561</v>
      </c>
      <c r="N21" s="6"/>
    </row>
    <row r="22" spans="4:15" x14ac:dyDescent="0.25">
      <c r="D22" s="7" t="s">
        <v>5</v>
      </c>
      <c r="E22" s="6" t="s">
        <v>13</v>
      </c>
      <c r="F22" s="6">
        <f>GETPIVOTDATA("Sum of 2019",$A$9,"Vehicle Type","lv")</f>
        <v>13373.932139</v>
      </c>
      <c r="G22" s="6">
        <f>GETPIVOTDATA("Sum of 2019",$A$14)</f>
        <v>14419.603972000001</v>
      </c>
      <c r="H22" s="6">
        <f t="shared" si="3"/>
        <v>0.92748262469409792</v>
      </c>
      <c r="I22" s="6"/>
      <c r="J22" s="6"/>
      <c r="K22" s="7" t="s">
        <v>5</v>
      </c>
      <c r="L22" s="7" t="s">
        <v>4</v>
      </c>
      <c r="M22" s="6">
        <f>J21*U11</f>
        <v>-38.774076333680199</v>
      </c>
      <c r="N22" s="6"/>
    </row>
    <row r="26" spans="4:15" x14ac:dyDescent="0.25">
      <c r="D26" s="6" t="s">
        <v>14</v>
      </c>
      <c r="E26" s="6" t="s">
        <v>15</v>
      </c>
      <c r="F26" s="6"/>
      <c r="G26" s="6" t="s">
        <v>27</v>
      </c>
      <c r="H26" s="6" t="s">
        <v>28</v>
      </c>
      <c r="I26" s="6" t="s">
        <v>16</v>
      </c>
      <c r="J26" s="6" t="s">
        <v>17</v>
      </c>
      <c r="K26" s="6" t="s">
        <v>19</v>
      </c>
      <c r="L26" s="6"/>
      <c r="M26" s="6"/>
      <c r="N26" s="6"/>
      <c r="O26" s="6"/>
    </row>
    <row r="27" spans="4:15" x14ac:dyDescent="0.25">
      <c r="D27" s="7" t="s">
        <v>2</v>
      </c>
      <c r="E27" s="7" t="s">
        <v>3</v>
      </c>
      <c r="F27" s="6" t="s">
        <v>22</v>
      </c>
      <c r="G27" s="7">
        <v>126.34636399999999</v>
      </c>
      <c r="H27" s="6">
        <f>GETPIVOTDATA("Sum of 2018",$A$9,"Vehicle Type","2w")</f>
        <v>1007.792901</v>
      </c>
      <c r="I27" s="6">
        <f>G27/H27</f>
        <v>0.12536937288864669</v>
      </c>
      <c r="J27" s="6"/>
      <c r="K27" s="6"/>
      <c r="L27" s="6"/>
      <c r="M27" s="6"/>
      <c r="N27" s="6"/>
      <c r="O27" s="6"/>
    </row>
    <row r="28" spans="4:15" x14ac:dyDescent="0.25">
      <c r="D28" s="7" t="s">
        <v>2</v>
      </c>
      <c r="E28" s="7" t="s">
        <v>4</v>
      </c>
      <c r="F28" s="6" t="s">
        <v>22</v>
      </c>
      <c r="G28" s="7">
        <v>881.44653700000003</v>
      </c>
      <c r="H28" s="6">
        <f>GETPIVOTDATA("Sum of 2018",$A$9,"Vehicle Type","2w")</f>
        <v>1007.792901</v>
      </c>
      <c r="I28" s="6">
        <f t="shared" ref="I28:I34" si="4">G28/H28</f>
        <v>0.87463062711135331</v>
      </c>
      <c r="J28" s="6"/>
      <c r="K28" s="6"/>
      <c r="L28" s="6"/>
      <c r="M28" s="6"/>
      <c r="N28" s="6"/>
      <c r="O28" s="6"/>
    </row>
    <row r="29" spans="4:15" x14ac:dyDescent="0.25">
      <c r="D29" s="7" t="s">
        <v>5</v>
      </c>
      <c r="E29" s="7" t="s">
        <v>3</v>
      </c>
      <c r="F29" s="6" t="s">
        <v>22</v>
      </c>
      <c r="G29" s="7">
        <v>88.052850000000007</v>
      </c>
      <c r="H29" s="6">
        <f>GETPIVOTDATA("Sum of 2018",$A$9,"Vehicle Type","lv")</f>
        <v>13350.556224</v>
      </c>
      <c r="I29" s="6">
        <f t="shared" si="4"/>
        <v>6.5954443037893312E-3</v>
      </c>
      <c r="J29" s="6"/>
      <c r="K29" s="6"/>
      <c r="L29" s="6"/>
      <c r="M29" s="6"/>
      <c r="N29" s="6"/>
      <c r="O29" s="6"/>
    </row>
    <row r="30" spans="4:15" x14ac:dyDescent="0.25">
      <c r="D30" s="7" t="s">
        <v>5</v>
      </c>
      <c r="E30" s="7" t="s">
        <v>4</v>
      </c>
      <c r="F30" s="6" t="s">
        <v>22</v>
      </c>
      <c r="G30" s="7">
        <v>13262.503374</v>
      </c>
      <c r="H30" s="6">
        <f>GETPIVOTDATA("Sum of 2018",$A$9,"Vehicle Type","lv")</f>
        <v>13350.556224</v>
      </c>
      <c r="I30" s="6">
        <f t="shared" si="4"/>
        <v>0.99340455569621067</v>
      </c>
      <c r="J30" s="6"/>
      <c r="K30" s="6"/>
      <c r="L30" s="6" t="s">
        <v>14</v>
      </c>
      <c r="M30" s="6" t="s">
        <v>15</v>
      </c>
      <c r="N30" s="6" t="s">
        <v>30</v>
      </c>
      <c r="O30" s="6" t="s">
        <v>31</v>
      </c>
    </row>
    <row r="31" spans="4:15" x14ac:dyDescent="0.25">
      <c r="D31" s="7" t="s">
        <v>2</v>
      </c>
      <c r="E31" s="7" t="s">
        <v>3</v>
      </c>
      <c r="F31" s="6" t="s">
        <v>21</v>
      </c>
      <c r="G31" s="7">
        <v>135.79279199999999</v>
      </c>
      <c r="H31" s="6">
        <f>GETPIVOTDATA("Sum of 2019",$A$9,"Vehicle Type","2w")</f>
        <v>1045.6718330000001</v>
      </c>
      <c r="I31" s="6">
        <f t="shared" si="4"/>
        <v>0.12986176706167429</v>
      </c>
      <c r="J31" s="6">
        <f>I31/I27</f>
        <v>1.0358332666864158</v>
      </c>
      <c r="K31" s="6">
        <f>LN(J31)</f>
        <v>3.5206191393265002E-2</v>
      </c>
      <c r="L31" s="7" t="s">
        <v>2</v>
      </c>
      <c r="M31" s="7" t="s">
        <v>3</v>
      </c>
      <c r="N31" s="6">
        <f>K31*U8</f>
        <v>2.3458341723902985</v>
      </c>
      <c r="O31" s="6">
        <f>SUM(N31:N34)</f>
        <v>-97.097790345687173</v>
      </c>
    </row>
    <row r="32" spans="4:15" x14ac:dyDescent="0.25">
      <c r="D32" s="7" t="s">
        <v>2</v>
      </c>
      <c r="E32" s="7" t="s">
        <v>4</v>
      </c>
      <c r="F32" s="6" t="s">
        <v>21</v>
      </c>
      <c r="G32" s="7">
        <v>909.87904100000003</v>
      </c>
      <c r="H32" s="6">
        <f>GETPIVOTDATA("Sum of 2019",$A$9,"Vehicle Type","2w")</f>
        <v>1045.6718330000001</v>
      </c>
      <c r="I32" s="6">
        <f t="shared" si="4"/>
        <v>0.8701382329383256</v>
      </c>
      <c r="J32" s="6">
        <f t="shared" ref="J32:J34" si="5">I32/I28</f>
        <v>0.99486366697692175</v>
      </c>
      <c r="K32" s="6">
        <f t="shared" ref="K32:K34" si="6">LN(J32)</f>
        <v>-5.1495693250300486E-3</v>
      </c>
      <c r="L32" s="7" t="s">
        <v>2</v>
      </c>
      <c r="M32" s="7" t="s">
        <v>4</v>
      </c>
      <c r="N32" s="6">
        <f t="shared" ref="N32:N34" si="7">K32*U9</f>
        <v>-5.3935692812846607</v>
      </c>
      <c r="O32" s="6"/>
    </row>
    <row r="33" spans="4:21" x14ac:dyDescent="0.25">
      <c r="D33" s="7" t="s">
        <v>5</v>
      </c>
      <c r="E33" s="7" t="s">
        <v>3</v>
      </c>
      <c r="F33" s="6" t="s">
        <v>21</v>
      </c>
      <c r="G33" s="7">
        <v>208.850449</v>
      </c>
      <c r="H33" s="6">
        <f>GETPIVOTDATA("Sum of 2019",$A$9,"Vehicle Type","lv")</f>
        <v>13373.932139</v>
      </c>
      <c r="I33" s="6">
        <f t="shared" si="4"/>
        <v>1.5616233642383071E-2</v>
      </c>
      <c r="J33" s="6">
        <f>I33/I29</f>
        <v>2.3677303488729269</v>
      </c>
      <c r="K33" s="6">
        <f t="shared" si="6"/>
        <v>0.86193183759556735</v>
      </c>
      <c r="L33" s="7" t="s">
        <v>5</v>
      </c>
      <c r="M33" s="7" t="s">
        <v>3</v>
      </c>
      <c r="N33" s="6">
        <f>K33*U10</f>
        <v>46.998371849049029</v>
      </c>
      <c r="O33" s="6"/>
    </row>
    <row r="34" spans="4:21" x14ac:dyDescent="0.25">
      <c r="D34" s="7" t="s">
        <v>5</v>
      </c>
      <c r="E34" s="7" t="s">
        <v>4</v>
      </c>
      <c r="F34" s="6" t="s">
        <v>21</v>
      </c>
      <c r="G34" s="7">
        <v>13165.081690000001</v>
      </c>
      <c r="H34" s="6">
        <f>GETPIVOTDATA("Sum of 2019",$A$9,"Vehicle Type","lv")</f>
        <v>13373.932139</v>
      </c>
      <c r="I34" s="6">
        <f t="shared" si="4"/>
        <v>0.98438376635761693</v>
      </c>
      <c r="J34" s="6">
        <f t="shared" si="5"/>
        <v>0.99091931953918644</v>
      </c>
      <c r="K34" s="6">
        <f t="shared" si="6"/>
        <v>-9.1221611458102547E-3</v>
      </c>
      <c r="L34" s="7" t="s">
        <v>5</v>
      </c>
      <c r="M34" s="7" t="s">
        <v>4</v>
      </c>
      <c r="N34" s="6">
        <f t="shared" si="7"/>
        <v>-141.04842708584184</v>
      </c>
      <c r="O34" s="6"/>
    </row>
    <row r="36" spans="4:21" x14ac:dyDescent="0.25">
      <c r="D36" s="6" t="s">
        <v>14</v>
      </c>
      <c r="E36" s="6" t="s">
        <v>15</v>
      </c>
      <c r="F36" s="6" t="s">
        <v>12</v>
      </c>
      <c r="G36" s="6" t="s">
        <v>32</v>
      </c>
      <c r="H36" s="6" t="s">
        <v>33</v>
      </c>
      <c r="I36" s="6" t="s">
        <v>34</v>
      </c>
      <c r="J36" s="6" t="s">
        <v>30</v>
      </c>
      <c r="K36" s="6" t="s">
        <v>31</v>
      </c>
      <c r="N36" s="6" t="s">
        <v>14</v>
      </c>
      <c r="O36" s="6" t="s">
        <v>15</v>
      </c>
      <c r="P36" s="6" t="s">
        <v>12</v>
      </c>
      <c r="Q36" s="6" t="s">
        <v>32</v>
      </c>
      <c r="R36" s="6" t="s">
        <v>33</v>
      </c>
      <c r="S36" s="6" t="s">
        <v>34</v>
      </c>
      <c r="T36" s="6" t="s">
        <v>30</v>
      </c>
      <c r="U36" s="6" t="s">
        <v>31</v>
      </c>
    </row>
    <row r="37" spans="4:21" x14ac:dyDescent="0.25">
      <c r="D37" s="7" t="s">
        <v>2</v>
      </c>
      <c r="E37" s="7" t="s">
        <v>3</v>
      </c>
      <c r="F37" s="7">
        <v>135.79279199999999</v>
      </c>
      <c r="G37" s="7">
        <v>126.34636399999999</v>
      </c>
      <c r="H37" s="6">
        <f>F37/G37</f>
        <v>1.0747661246508051</v>
      </c>
      <c r="I37" s="6">
        <f>LN(H37)</f>
        <v>7.2103079445983057E-2</v>
      </c>
      <c r="J37" s="6">
        <f>I37*U8</f>
        <v>4.8043216549494954</v>
      </c>
      <c r="K37" s="6">
        <f>SUM(J37:J40)</f>
        <v>-28.849218433540756</v>
      </c>
      <c r="N37" s="7" t="s">
        <v>2</v>
      </c>
      <c r="O37" s="7" t="s">
        <v>3</v>
      </c>
      <c r="P37" s="7">
        <f>SUM(D4:D7)</f>
        <v>14419.603972000001</v>
      </c>
      <c r="Q37" s="7">
        <f>SUM(C4:C7)</f>
        <v>14358.349125000001</v>
      </c>
      <c r="R37" s="6">
        <f>P37/Q37</f>
        <v>1.0042661483201678</v>
      </c>
      <c r="S37" s="6">
        <f>LN(R37)</f>
        <v>4.2570741082247673E-3</v>
      </c>
      <c r="T37" s="6">
        <f>S37*U8</f>
        <v>0.28365436652662251</v>
      </c>
      <c r="U37" s="6">
        <f>SUM(T37:T40)</f>
        <v>70.798177471469614</v>
      </c>
    </row>
    <row r="38" spans="4:21" x14ac:dyDescent="0.25">
      <c r="D38" s="7" t="s">
        <v>2</v>
      </c>
      <c r="E38" s="7" t="s">
        <v>4</v>
      </c>
      <c r="F38" s="7">
        <v>909.87904100000003</v>
      </c>
      <c r="G38" s="7">
        <v>881.44653700000003</v>
      </c>
      <c r="H38" s="6">
        <f t="shared" ref="H38:H40" si="8">F38/G38</f>
        <v>1.0322566404274161</v>
      </c>
      <c r="I38" s="6">
        <f t="shared" ref="I38:I40" si="9">LN(H38)</f>
        <v>3.1747318727687969E-2</v>
      </c>
      <c r="J38" s="6">
        <f t="shared" ref="J38:J40" si="10">I38*U9</f>
        <v>33.251589064064476</v>
      </c>
      <c r="K38" s="6"/>
      <c r="N38" s="7" t="s">
        <v>2</v>
      </c>
      <c r="O38" s="7" t="s">
        <v>4</v>
      </c>
      <c r="P38" s="7">
        <v>14419.603972000001</v>
      </c>
      <c r="Q38" s="7">
        <v>14358.349125000001</v>
      </c>
      <c r="R38" s="6">
        <v>1.0042661483201678</v>
      </c>
      <c r="S38" s="6">
        <v>4.2570741082247673E-3</v>
      </c>
      <c r="T38" s="6">
        <f>S38*U9</f>
        <v>4.4587853253416325</v>
      </c>
      <c r="U38" s="6"/>
    </row>
    <row r="39" spans="4:21" x14ac:dyDescent="0.25">
      <c r="D39" s="7" t="s">
        <v>5</v>
      </c>
      <c r="E39" s="7" t="s">
        <v>3</v>
      </c>
      <c r="F39" s="7">
        <v>208.850449</v>
      </c>
      <c r="G39" s="7">
        <v>88.052850000000007</v>
      </c>
      <c r="H39" s="6">
        <f t="shared" si="8"/>
        <v>2.3718760835112094</v>
      </c>
      <c r="I39" s="6">
        <f t="shared" si="9"/>
        <v>0.86368123841807354</v>
      </c>
      <c r="J39" s="6">
        <f t="shared" si="10"/>
        <v>47.093761051284012</v>
      </c>
      <c r="K39" s="6"/>
      <c r="N39" s="7" t="s">
        <v>5</v>
      </c>
      <c r="O39" s="7" t="s">
        <v>3</v>
      </c>
      <c r="P39" s="7">
        <v>14419.603972000001</v>
      </c>
      <c r="Q39" s="7">
        <v>14358.349125000001</v>
      </c>
      <c r="R39" s="6">
        <v>1.0042661483201678</v>
      </c>
      <c r="S39" s="6">
        <v>4.2570741082247673E-3</v>
      </c>
      <c r="T39" s="6">
        <f t="shared" ref="T38:T40" si="11">S39*U10</f>
        <v>0.23212456391613781</v>
      </c>
      <c r="U39" s="6"/>
    </row>
    <row r="40" spans="4:21" x14ac:dyDescent="0.25">
      <c r="D40" s="7" t="s">
        <v>5</v>
      </c>
      <c r="E40" s="7" t="s">
        <v>4</v>
      </c>
      <c r="F40" s="7">
        <v>13165.081690000001</v>
      </c>
      <c r="G40" s="7">
        <v>13262.503374</v>
      </c>
      <c r="H40" s="6">
        <f t="shared" si="8"/>
        <v>0.99265435180276851</v>
      </c>
      <c r="I40" s="6">
        <f t="shared" si="9"/>
        <v>-7.3727603233041073E-3</v>
      </c>
      <c r="J40" s="6">
        <f t="shared" si="10"/>
        <v>-113.99889020383874</v>
      </c>
      <c r="K40" s="6"/>
      <c r="N40" s="7" t="s">
        <v>5</v>
      </c>
      <c r="O40" s="7" t="s">
        <v>4</v>
      </c>
      <c r="P40" s="7">
        <v>14419.603972000001</v>
      </c>
      <c r="Q40" s="7">
        <v>14358.349125000001</v>
      </c>
      <c r="R40" s="6">
        <v>1.0042661483201678</v>
      </c>
      <c r="S40" s="6">
        <v>4.2570741082247673E-3</v>
      </c>
      <c r="T40" s="6">
        <f t="shared" si="11"/>
        <v>65.823613215685228</v>
      </c>
      <c r="U40" s="6"/>
    </row>
    <row r="43" spans="4:21" x14ac:dyDescent="0.25">
      <c r="D43" s="6" t="s">
        <v>14</v>
      </c>
      <c r="E43" s="6" t="s">
        <v>15</v>
      </c>
      <c r="F43" s="6"/>
      <c r="G43" s="6" t="s">
        <v>23</v>
      </c>
      <c r="H43" s="6" t="s">
        <v>27</v>
      </c>
      <c r="I43" s="6" t="s">
        <v>33</v>
      </c>
      <c r="J43" s="6" t="s">
        <v>33</v>
      </c>
      <c r="K43" s="6" t="s">
        <v>34</v>
      </c>
      <c r="L43" s="6" t="s">
        <v>30</v>
      </c>
      <c r="M43" s="6"/>
    </row>
    <row r="44" spans="4:21" x14ac:dyDescent="0.25">
      <c r="D44" s="7" t="s">
        <v>2</v>
      </c>
      <c r="E44" s="7" t="s">
        <v>3</v>
      </c>
      <c r="F44" s="6" t="s">
        <v>22</v>
      </c>
      <c r="G44" s="7">
        <v>64.368711000000005</v>
      </c>
      <c r="H44" s="7">
        <v>126.34636399999999</v>
      </c>
      <c r="I44" s="6">
        <f>G44/H44</f>
        <v>0.50946231424594068</v>
      </c>
      <c r="J44" s="6"/>
      <c r="K44" s="6"/>
      <c r="L44" s="6"/>
      <c r="M44" s="6"/>
    </row>
    <row r="45" spans="4:21" x14ac:dyDescent="0.25">
      <c r="D45" s="7" t="s">
        <v>2</v>
      </c>
      <c r="E45" s="7" t="s">
        <v>4</v>
      </c>
      <c r="F45" s="6" t="s">
        <v>22</v>
      </c>
      <c r="G45" s="7">
        <v>1031.373922</v>
      </c>
      <c r="H45" s="7">
        <v>881.44653700000003</v>
      </c>
      <c r="I45" s="6">
        <f t="shared" ref="I45:I50" si="12">G45/H45</f>
        <v>1.1700924318226686</v>
      </c>
      <c r="J45" s="6"/>
      <c r="K45" s="6"/>
      <c r="L45" s="6"/>
      <c r="M45" s="6"/>
    </row>
    <row r="46" spans="4:21" x14ac:dyDescent="0.25">
      <c r="D46" s="7" t="s">
        <v>5</v>
      </c>
      <c r="E46" s="7" t="s">
        <v>3</v>
      </c>
      <c r="F46" s="6" t="s">
        <v>22</v>
      </c>
      <c r="G46" s="7">
        <v>33.864173999999998</v>
      </c>
      <c r="H46" s="7">
        <v>88.052850000000007</v>
      </c>
      <c r="I46" s="6">
        <f t="shared" si="12"/>
        <v>0.38458918706208822</v>
      </c>
      <c r="J46" s="6"/>
      <c r="K46" s="6"/>
      <c r="L46" s="6"/>
      <c r="M46" s="6"/>
    </row>
    <row r="47" spans="4:21" x14ac:dyDescent="0.25">
      <c r="D47" s="7" t="s">
        <v>5</v>
      </c>
      <c r="E47" s="7" t="s">
        <v>4</v>
      </c>
      <c r="F47" s="6" t="s">
        <v>22</v>
      </c>
      <c r="G47" s="7">
        <v>15466.122171999999</v>
      </c>
      <c r="H47" s="7">
        <v>13262.503374</v>
      </c>
      <c r="I47" s="6">
        <f t="shared" si="12"/>
        <v>1.1661540612551327</v>
      </c>
      <c r="J47" s="6"/>
      <c r="K47" s="6"/>
      <c r="L47" s="6"/>
      <c r="M47" s="6" t="s">
        <v>31</v>
      </c>
    </row>
    <row r="48" spans="4:21" x14ac:dyDescent="0.25">
      <c r="D48" s="7" t="s">
        <v>2</v>
      </c>
      <c r="E48" s="7" t="s">
        <v>3</v>
      </c>
      <c r="F48" s="6" t="s">
        <v>21</v>
      </c>
      <c r="G48" s="7">
        <v>68.946291000000002</v>
      </c>
      <c r="H48" s="7">
        <v>135.79279199999999</v>
      </c>
      <c r="I48" s="6">
        <f t="shared" si="12"/>
        <v>0.50773159594509265</v>
      </c>
      <c r="J48" s="6">
        <f>I48/I44</f>
        <v>0.99660285314055141</v>
      </c>
      <c r="K48" s="6">
        <f>LN(J48)</f>
        <v>-3.4029302646067629E-3</v>
      </c>
      <c r="L48" s="6">
        <f>K48*U8</f>
        <v>-0.2267416549494419</v>
      </c>
      <c r="M48" s="6">
        <f>SUM(L48:L51)</f>
        <v>106.10025343353938</v>
      </c>
    </row>
    <row r="49" spans="4:13" x14ac:dyDescent="0.25">
      <c r="D49" s="7" t="s">
        <v>2</v>
      </c>
      <c r="E49" s="7" t="s">
        <v>4</v>
      </c>
      <c r="F49" s="6" t="s">
        <v>21</v>
      </c>
      <c r="G49" s="7">
        <v>1063.556071</v>
      </c>
      <c r="H49" s="7">
        <v>909.87904100000003</v>
      </c>
      <c r="I49" s="6">
        <f t="shared" si="12"/>
        <v>1.1688983074399666</v>
      </c>
      <c r="J49" s="6">
        <f t="shared" ref="J49:J51" si="13">I49/I45</f>
        <v>0.99897946149361727</v>
      </c>
      <c r="K49" s="6">
        <f t="shared" ref="K49:K51" si="14">LN(J49)</f>
        <v>-1.0210596103721933E-3</v>
      </c>
      <c r="L49" s="6">
        <f>K49*U9</f>
        <v>-1.0694400640643498</v>
      </c>
      <c r="M49" s="6"/>
    </row>
    <row r="50" spans="4:13" x14ac:dyDescent="0.25">
      <c r="D50" s="7" t="s">
        <v>5</v>
      </c>
      <c r="E50" s="7" t="s">
        <v>3</v>
      </c>
      <c r="F50" s="6" t="s">
        <v>21</v>
      </c>
      <c r="G50" s="7">
        <v>82.254616999999996</v>
      </c>
      <c r="H50" s="7">
        <v>208.850449</v>
      </c>
      <c r="I50" s="6">
        <f t="shared" si="12"/>
        <v>0.39384457823214924</v>
      </c>
      <c r="J50" s="6">
        <f t="shared" si="13"/>
        <v>1.0240656562415698</v>
      </c>
      <c r="K50" s="6">
        <f t="shared" si="14"/>
        <v>2.3780641985289872E-2</v>
      </c>
      <c r="L50" s="6">
        <f>K50*U10</f>
        <v>1.2966819487159742</v>
      </c>
      <c r="M50" s="6"/>
    </row>
    <row r="51" spans="4:13" x14ac:dyDescent="0.25">
      <c r="D51" s="7" t="s">
        <v>5</v>
      </c>
      <c r="E51" s="7" t="s">
        <v>4</v>
      </c>
      <c r="F51" s="6" t="s">
        <v>21</v>
      </c>
      <c r="G51" s="7">
        <v>15458.223035000001</v>
      </c>
      <c r="H51" s="7">
        <v>13165.081690000001</v>
      </c>
      <c r="I51" s="6">
        <f>G51/H51</f>
        <v>1.17418360166666</v>
      </c>
      <c r="J51" s="6">
        <f t="shared" si="13"/>
        <v>1.0068854885287499</v>
      </c>
      <c r="K51" s="6">
        <f t="shared" si="14"/>
        <v>6.8618918073227678E-3</v>
      </c>
      <c r="L51" s="6">
        <f>K51*U11</f>
        <v>106.0997532038372</v>
      </c>
      <c r="M51" s="6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Finbar Barton MAUNSELL</dc:creator>
  <cp:lastModifiedBy>APERC</cp:lastModifiedBy>
  <dcterms:created xsi:type="dcterms:W3CDTF">2022-10-07T06:05:09Z</dcterms:created>
  <dcterms:modified xsi:type="dcterms:W3CDTF">2022-10-07T14:37:10Z</dcterms:modified>
</cp:coreProperties>
</file>