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inbar.maunsell\github\transport_data_system\documentation\"/>
    </mc:Choice>
  </mc:AlternateContent>
  <xr:revisionPtr revIDLastSave="0" documentId="8_{A58629D3-83EF-4E22-AE66-5A97E8153B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el Economy by Vehicle Type" sheetId="2" r:id="rId1"/>
    <sheet name="testing" sheetId="4" r:id="rId2"/>
    <sheet name="Condensed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2" l="1"/>
  <c r="I21" i="2"/>
  <c r="H21" i="2" s="1"/>
  <c r="G21" i="2" s="1"/>
  <c r="O21" i="2"/>
  <c r="V13" i="2" s="1"/>
  <c r="G25" i="2"/>
  <c r="N21" i="2"/>
  <c r="U17" i="2"/>
  <c r="V17" i="2" s="1"/>
  <c r="U14" i="2"/>
  <c r="V14" i="2" s="1"/>
  <c r="Y14" i="2" s="1"/>
  <c r="AA14" i="2" s="1"/>
  <c r="R21" i="2"/>
  <c r="M21" i="2"/>
  <c r="P21" i="2" s="1"/>
  <c r="S21" i="2" s="1"/>
  <c r="K21" i="2"/>
  <c r="D11" i="2"/>
  <c r="D12" i="2"/>
  <c r="D13" i="2"/>
  <c r="D10" i="2"/>
  <c r="C5" i="2"/>
  <c r="V5" i="2" s="1"/>
  <c r="C6" i="2"/>
  <c r="C7" i="2"/>
  <c r="C8" i="2"/>
  <c r="C9" i="2"/>
  <c r="C4" i="2"/>
  <c r="V8" i="2" l="1"/>
  <c r="U8" i="2" s="1"/>
  <c r="W8" i="2" s="1"/>
  <c r="V11" i="2"/>
  <c r="V9" i="2"/>
  <c r="U9" i="2" s="1"/>
  <c r="V6" i="2"/>
  <c r="Y6" i="2" s="1"/>
  <c r="AA6" i="2" s="1"/>
  <c r="X8" i="2"/>
  <c r="V26" i="2"/>
  <c r="U26" i="2" s="1"/>
  <c r="V24" i="2"/>
  <c r="V25" i="2"/>
  <c r="U25" i="2"/>
  <c r="W25" i="2" s="1"/>
  <c r="Y25" i="2"/>
  <c r="AA25" i="2" s="1"/>
  <c r="U24" i="2"/>
  <c r="W24" i="2" s="1"/>
  <c r="Y24" i="2"/>
  <c r="AA24" i="2" s="1"/>
  <c r="U6" i="2"/>
  <c r="Y13" i="2"/>
  <c r="AA13" i="2" s="1"/>
  <c r="U13" i="2"/>
  <c r="U5" i="2"/>
  <c r="Y5" i="2"/>
  <c r="AA5" i="2" s="1"/>
  <c r="U11" i="2"/>
  <c r="Y11" i="2"/>
  <c r="AA11" i="2" s="1"/>
  <c r="V30" i="2"/>
  <c r="V21" i="2"/>
  <c r="V22" i="2"/>
  <c r="V7" i="2"/>
  <c r="V10" i="2"/>
  <c r="V29" i="2"/>
  <c r="Y29" i="2" s="1"/>
  <c r="AA29" i="2" s="1"/>
  <c r="V28" i="2"/>
  <c r="Q21" i="2"/>
  <c r="V27" i="2"/>
  <c r="Y27" i="2" s="1"/>
  <c r="AA27" i="2" s="1"/>
  <c r="V23" i="2"/>
  <c r="Y9" i="2"/>
  <c r="AA9" i="2" s="1"/>
  <c r="Y8" i="2"/>
  <c r="AA8" i="2" s="1"/>
  <c r="V12" i="2"/>
  <c r="V4" i="2"/>
  <c r="W9" i="2" l="1"/>
  <c r="X9" i="2"/>
  <c r="W26" i="2"/>
  <c r="X26" i="2"/>
  <c r="U29" i="2"/>
  <c r="W29" i="2" s="1"/>
  <c r="Y26" i="2"/>
  <c r="AA26" i="2" s="1"/>
  <c r="X24" i="2"/>
  <c r="U7" i="2"/>
  <c r="Y7" i="2"/>
  <c r="AA7" i="2" s="1"/>
  <c r="X6" i="2"/>
  <c r="W6" i="2"/>
  <c r="U22" i="2"/>
  <c r="Y22" i="2"/>
  <c r="AA22" i="2" s="1"/>
  <c r="U4" i="2"/>
  <c r="Y4" i="2"/>
  <c r="AA4" i="2" s="1"/>
  <c r="Y21" i="2"/>
  <c r="AA21" i="2" s="1"/>
  <c r="U21" i="2"/>
  <c r="U12" i="2"/>
  <c r="Y12" i="2"/>
  <c r="AA12" i="2" s="1"/>
  <c r="U30" i="2"/>
  <c r="Y30" i="2"/>
  <c r="AA30" i="2" s="1"/>
  <c r="X11" i="2"/>
  <c r="W11" i="2"/>
  <c r="U23" i="2"/>
  <c r="Y23" i="2"/>
  <c r="AA23" i="2" s="1"/>
  <c r="U28" i="2"/>
  <c r="Y28" i="2"/>
  <c r="AA28" i="2" s="1"/>
  <c r="W5" i="2"/>
  <c r="X5" i="2"/>
  <c r="X25" i="2"/>
  <c r="X13" i="2"/>
  <c r="W13" i="2"/>
  <c r="U27" i="2"/>
  <c r="X27" i="2" s="1"/>
  <c r="Y10" i="2"/>
  <c r="AA10" i="2" s="1"/>
  <c r="U10" i="2"/>
  <c r="W27" i="2"/>
  <c r="X29" i="2" l="1"/>
  <c r="W23" i="2"/>
  <c r="X23" i="2"/>
  <c r="X22" i="2"/>
  <c r="W22" i="2"/>
  <c r="X10" i="2"/>
  <c r="W10" i="2"/>
  <c r="W30" i="2"/>
  <c r="X30" i="2"/>
  <c r="W7" i="2"/>
  <c r="X7" i="2"/>
  <c r="W12" i="2"/>
  <c r="X12" i="2"/>
  <c r="W21" i="2"/>
  <c r="X21" i="2"/>
  <c r="W28" i="2"/>
  <c r="X28" i="2"/>
  <c r="W4" i="2"/>
  <c r="X4" i="2"/>
</calcChain>
</file>

<file path=xl/sharedStrings.xml><?xml version="1.0" encoding="utf-8"?>
<sst xmlns="http://schemas.openxmlformats.org/spreadsheetml/2006/main" count="87" uniqueCount="64">
  <si>
    <t>D</t>
  </si>
  <si>
    <t>C</t>
  </si>
  <si>
    <t>B</t>
  </si>
  <si>
    <t>A</t>
  </si>
  <si>
    <t>Data Sources:</t>
  </si>
  <si>
    <t>Delivery trucks are single-unit trucks with 2 axles and 6 or more tires.</t>
  </si>
  <si>
    <t>Numbers in bold indicate that the measurements were taken using that fuel.  They are the source of the non-bold energy based conversions.</t>
  </si>
  <si>
    <t>Notes:</t>
  </si>
  <si>
    <t>Motorcycle</t>
  </si>
  <si>
    <t>Car</t>
  </si>
  <si>
    <t>Delivery Truck</t>
  </si>
  <si>
    <t>School Bus</t>
  </si>
  <si>
    <t>Refuse Truck</t>
  </si>
  <si>
    <t>Transit Bus</t>
  </si>
  <si>
    <t>Class 8 Truck</t>
  </si>
  <si>
    <t>MPG Diesel</t>
  </si>
  <si>
    <t>MPG Gasoline</t>
  </si>
  <si>
    <t>Vehicle Type</t>
  </si>
  <si>
    <t>Average Fuel Economy of Major Vehicle Categories</t>
  </si>
  <si>
    <t>Light Truck/Van</t>
  </si>
  <si>
    <t>Paratransit Shuttle</t>
  </si>
  <si>
    <t>Class 8 trucks are combined tractor/trailer trucks, also know as long-haul.</t>
  </si>
  <si>
    <t>Ridesourcing Vehicle</t>
  </si>
  <si>
    <t>Source</t>
  </si>
  <si>
    <t>E</t>
  </si>
  <si>
    <t>Last updated 02/11/2020</t>
  </si>
  <si>
    <t>Conversion between diesel and gasoline is 1 gallon gasoline = 0.885 gallons diesel (from the AFDC)</t>
  </si>
  <si>
    <t>Transit buses include both conventional diesel and hybrid-electric diesel.</t>
  </si>
  <si>
    <t>Average Fuel Economy by Major Vehicle Category</t>
  </si>
  <si>
    <r>
      <rPr>
        <b/>
        <sz val="10"/>
        <rFont val="Arial"/>
        <family val="2"/>
      </rPr>
      <t xml:space="preserve">A:  </t>
    </r>
    <r>
      <rPr>
        <sz val="10"/>
        <rFont val="Arial"/>
        <family val="2"/>
      </rPr>
      <t>Gordon, Deborah, Juliet Burdelski, and James S. Cannon.  Greening Garbage Trucks: New Technologies for Cleaner Air.  Inform, Inc. 2003.  ISBN #0-918780-80-2.</t>
    </r>
  </si>
  <si>
    <r>
      <rPr>
        <b/>
        <sz val="10"/>
        <rFont val="Arial"/>
        <family val="2"/>
      </rPr>
      <t>C:</t>
    </r>
    <r>
      <rPr>
        <sz val="10"/>
        <rFont val="Arial"/>
        <family val="2"/>
      </rPr>
      <t xml:space="preserve">  Federal Highway Administration. Highway Statistics 2018, Table VM-1.  Accessed 02/11/20 at fhwa.dot.gov/policyinformation/statistics/2018/pdf/vm1.pdf</t>
    </r>
  </si>
  <si>
    <r>
      <rPr>
        <b/>
        <sz val="10"/>
        <rFont val="Arial"/>
        <family val="2"/>
      </rPr>
      <t>D</t>
    </r>
    <r>
      <rPr>
        <sz val="10"/>
        <rFont val="Arial"/>
        <family val="2"/>
      </rPr>
      <t>:  American School Bus Council.  National School Bus Fuel Data.  Accessed 11/21/18 at americanschoolbuscouncil.org/insights/environment/</t>
    </r>
  </si>
  <si>
    <r>
      <rPr>
        <b/>
        <sz val="10"/>
        <rFont val="Arial"/>
        <family val="2"/>
      </rPr>
      <t>E:</t>
    </r>
    <r>
      <rPr>
        <sz val="10"/>
        <rFont val="Arial"/>
        <family val="2"/>
      </rPr>
      <t xml:space="preserve">  Wenzel, Tom, Clement Rames, Eleftheria Kontou, and Alejandro Henao. "Travel and energy implications of ridesourcing service in Austin, Texas." Transportation Research Part D: Transport and Environment 70 (2019): 18-34.</t>
    </r>
  </si>
  <si>
    <r>
      <rPr>
        <b/>
        <sz val="10"/>
        <rFont val="Arial"/>
        <family val="2"/>
      </rPr>
      <t xml:space="preserve">B: </t>
    </r>
    <r>
      <rPr>
        <sz val="10"/>
        <rFont val="Arial"/>
        <family val="2"/>
      </rPr>
      <t xml:space="preserve"> Calculated from statistics found in American Public Transit Association's Public Transportation Fact Book 2019. Accessed 02/11/2020 at: apta.com/wp-content/uploads/APTA_Fact-Book-2019_FINAL.pdf</t>
    </r>
  </si>
  <si>
    <t>Worksheet available at afdc.energy.gov/data</t>
  </si>
  <si>
    <t>Light-duty vehicles are sales-weighted combination of cars, wagons, vans, sport utility vehicles, and pickups. Vehicles with short wheelbases (&lt;121") are generalized as cars and vehicles with long wheelbases are generalized as light trucks.</t>
  </si>
  <si>
    <t>Acronyms:</t>
  </si>
  <si>
    <t>MPG: Miles per gallon</t>
  </si>
  <si>
    <t>The metric used is gasoline gallon equivalents (GGEs), representing a quantity of fuel with the same amount of energy contained in a gallon of gasoline.</t>
  </si>
  <si>
    <t>joules per litre</t>
  </si>
  <si>
    <t>joules per gallon</t>
  </si>
  <si>
    <t>Gj per gallon</t>
  </si>
  <si>
    <t>Gj per litre</t>
  </si>
  <si>
    <t>km/gj gasoline</t>
  </si>
  <si>
    <t>km per miles</t>
  </si>
  <si>
    <t>litres per gallon</t>
  </si>
  <si>
    <t>Mj per gallon</t>
  </si>
  <si>
    <t>gj/km</t>
  </si>
  <si>
    <t>wh per gj</t>
  </si>
  <si>
    <t>wh/km</t>
  </si>
  <si>
    <t>avg ev</t>
  </si>
  <si>
    <t>km/pj</t>
  </si>
  <si>
    <t>pj/km</t>
  </si>
  <si>
    <t>gasoline energy content (MJ/l)</t>
  </si>
  <si>
    <t>gasoline energy content (J/g)</t>
  </si>
  <si>
    <t>gasoline energy content (gJ/g)</t>
  </si>
  <si>
    <t>mpg to km/pj</t>
  </si>
  <si>
    <t>alt (using 31.5 mj per litre)</t>
  </si>
  <si>
    <t>(using 34.34 mj per litre)</t>
  </si>
  <si>
    <t>other energy content mj/l</t>
  </si>
  <si>
    <t>gasoline energy content (J/l)</t>
  </si>
  <si>
    <t>Joule per gj</t>
  </si>
  <si>
    <t>joule per mj</t>
  </si>
  <si>
    <t>gj per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</si>
</sst>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_)"/>
    <numFmt numFmtId="166" formatCode="0.0"/>
    <numFmt numFmtId="167" formatCode="0.0%"/>
    <numFmt numFmtId="168" formatCode="_(* #,##0_);_(* \(#,##0\);_(* &quot;-&quot;??_);_(@_)"/>
    <numFmt numFmtId="169" formatCode="0.0000"/>
    <numFmt numFmtId="170" formatCode="0.00000"/>
  </numFmts>
  <fonts count="19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8"/>
      <name val="P-AVGARD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2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6" fillId="0" borderId="0"/>
    <xf numFmtId="43" fontId="3" fillId="0" borderId="0" applyFont="0" applyFill="0" applyBorder="0" applyAlignment="0" applyProtection="0"/>
    <xf numFmtId="0" fontId="10" fillId="0" borderId="0"/>
    <xf numFmtId="43" fontId="6" fillId="0" borderId="0" applyFont="0" applyFill="0" applyBorder="0" applyAlignment="0" applyProtection="0"/>
    <xf numFmtId="0" fontId="6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164" fontId="8" fillId="0" borderId="3" xfId="0" applyNumberFormat="1" applyFont="1" applyBorder="1" applyAlignment="1">
      <alignment horizontal="center"/>
    </xf>
    <xf numFmtId="0" fontId="0" fillId="0" borderId="5" xfId="0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5" fontId="13" fillId="0" borderId="3" xfId="26" applyNumberFormat="1" applyFont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164" fontId="8" fillId="0" borderId="7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Border="1"/>
    <xf numFmtId="164" fontId="6" fillId="0" borderId="4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0" fontId="6" fillId="0" borderId="3" xfId="0" applyFont="1" applyBorder="1"/>
    <xf numFmtId="166" fontId="6" fillId="0" borderId="4" xfId="0" applyNumberFormat="1" applyFont="1" applyBorder="1" applyAlignment="1">
      <alignment horizontal="center"/>
    </xf>
    <xf numFmtId="0" fontId="6" fillId="0" borderId="2" xfId="0" applyFont="1" applyBorder="1"/>
    <xf numFmtId="166" fontId="6" fillId="0" borderId="1" xfId="0" applyNumberFormat="1" applyFont="1" applyBorder="1" applyAlignment="1">
      <alignment horizontal="center"/>
    </xf>
    <xf numFmtId="0" fontId="6" fillId="0" borderId="7" xfId="0" applyFont="1" applyBorder="1"/>
    <xf numFmtId="0" fontId="6" fillId="0" borderId="0" xfId="0" applyFont="1" applyAlignment="1">
      <alignment horizontal="left" wrapText="1"/>
    </xf>
    <xf numFmtId="0" fontId="6" fillId="0" borderId="16" xfId="0" applyFont="1" applyBorder="1"/>
    <xf numFmtId="0" fontId="6" fillId="0" borderId="18" xfId="0" applyFont="1" applyBorder="1"/>
    <xf numFmtId="167" fontId="0" fillId="0" borderId="0" xfId="28" applyNumberFormat="1" applyFont="1"/>
    <xf numFmtId="168" fontId="0" fillId="0" borderId="0" xfId="27" applyNumberFormat="1" applyFont="1"/>
    <xf numFmtId="166" fontId="0" fillId="0" borderId="0" xfId="0" applyNumberFormat="1"/>
    <xf numFmtId="165" fontId="15" fillId="0" borderId="4" xfId="11" applyNumberFormat="1" applyFont="1" applyBorder="1" applyAlignment="1">
      <alignment horizontal="center"/>
    </xf>
    <xf numFmtId="165" fontId="15" fillId="0" borderId="1" xfId="11" applyNumberFormat="1" applyFont="1" applyBorder="1" applyAlignment="1">
      <alignment horizontal="center"/>
    </xf>
    <xf numFmtId="166" fontId="15" fillId="0" borderId="4" xfId="11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5" fontId="15" fillId="0" borderId="17" xfId="11" applyNumberFormat="1" applyFont="1" applyBorder="1" applyAlignment="1">
      <alignment horizontal="center"/>
    </xf>
    <xf numFmtId="168" fontId="0" fillId="0" borderId="0" xfId="0" applyNumberFormat="1"/>
    <xf numFmtId="0" fontId="17" fillId="0" borderId="0" xfId="29"/>
    <xf numFmtId="0" fontId="15" fillId="0" borderId="0" xfId="0" applyFont="1" applyAlignment="1">
      <alignment horizontal="left" wrapText="1"/>
    </xf>
    <xf numFmtId="11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18" fillId="0" borderId="0" xfId="0" applyNumberFormat="1" applyFont="1"/>
    <xf numFmtId="0" fontId="0" fillId="0" borderId="0" xfId="0" applyAlignment="1">
      <alignment wrapText="1"/>
    </xf>
    <xf numFmtId="11" fontId="6" fillId="0" borderId="0" xfId="0" applyNumberFormat="1" applyFont="1" applyAlignment="1">
      <alignment horizontal="left" wrapText="1"/>
    </xf>
    <xf numFmtId="0" fontId="0" fillId="2" borderId="0" xfId="0" applyFill="1"/>
    <xf numFmtId="0" fontId="6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4" fillId="0" borderId="11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7" fillId="0" borderId="0" xfId="0" applyFont="1"/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</cellXfs>
  <cellStyles count="30">
    <cellStyle name="Comma" xfId="27" builtinId="3"/>
    <cellStyle name="Comma 2" xfId="2" xr:uid="{00000000-0005-0000-0000-000001000000}"/>
    <cellStyle name="Comma 2 2" xfId="14" xr:uid="{00000000-0005-0000-0000-000002000000}"/>
    <cellStyle name="Comma 2 3" xfId="7" xr:uid="{00000000-0005-0000-0000-000003000000}"/>
    <cellStyle name="Comma 3" xfId="10" xr:uid="{00000000-0005-0000-0000-000004000000}"/>
    <cellStyle name="Comma 4" xfId="13" xr:uid="{00000000-0005-0000-0000-000005000000}"/>
    <cellStyle name="Comma 5" xfId="22" xr:uid="{00000000-0005-0000-0000-000006000000}"/>
    <cellStyle name="Comma 6" xfId="4" xr:uid="{00000000-0005-0000-0000-000007000000}"/>
    <cellStyle name="Currency 2" xfId="23" xr:uid="{00000000-0005-0000-0000-000008000000}"/>
    <cellStyle name="Hyperlink" xfId="29" builtinId="8"/>
    <cellStyle name="Normal" xfId="0" builtinId="0"/>
    <cellStyle name="Normal 2" xfId="5" xr:uid="{00000000-0005-0000-0000-00000B000000}"/>
    <cellStyle name="Normal 2 2" xfId="15" xr:uid="{00000000-0005-0000-0000-00000C000000}"/>
    <cellStyle name="Normal 2 3" xfId="25" xr:uid="{00000000-0005-0000-0000-00000D000000}"/>
    <cellStyle name="Normal 3" xfId="1" xr:uid="{00000000-0005-0000-0000-00000E000000}"/>
    <cellStyle name="Normal 3 2" xfId="16" xr:uid="{00000000-0005-0000-0000-00000F000000}"/>
    <cellStyle name="Normal 4" xfId="6" xr:uid="{00000000-0005-0000-0000-000010000000}"/>
    <cellStyle name="Normal 4 2" xfId="17" xr:uid="{00000000-0005-0000-0000-000011000000}"/>
    <cellStyle name="Normal 5" xfId="9" xr:uid="{00000000-0005-0000-0000-000012000000}"/>
    <cellStyle name="Normal 5 2" xfId="18" xr:uid="{00000000-0005-0000-0000-000013000000}"/>
    <cellStyle name="Normal 6" xfId="12" xr:uid="{00000000-0005-0000-0000-000014000000}"/>
    <cellStyle name="Normal 7" xfId="11" xr:uid="{00000000-0005-0000-0000-000015000000}"/>
    <cellStyle name="Normal 7 2" xfId="26" xr:uid="{00000000-0005-0000-0000-000016000000}"/>
    <cellStyle name="Normal 8" xfId="21" xr:uid="{00000000-0005-0000-0000-000017000000}"/>
    <cellStyle name="Normal 9" xfId="3" xr:uid="{00000000-0005-0000-0000-000018000000}"/>
    <cellStyle name="Percent" xfId="28" builtinId="5"/>
    <cellStyle name="Percent 2" xfId="8" xr:uid="{00000000-0005-0000-0000-00001A000000}"/>
    <cellStyle name="Percent 2 2" xfId="19" xr:uid="{00000000-0005-0000-0000-00001B000000}"/>
    <cellStyle name="Percent 3" xfId="20" xr:uid="{00000000-0005-0000-0000-00001C000000}"/>
    <cellStyle name="Percent 4" xfId="24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Average Fuel Economy by Major Vehicle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'Fuel Economy by Vehicle Type'!$C$3</c:f>
              <c:strCache>
                <c:ptCount val="1"/>
                <c:pt idx="0">
                  <c:v>MPG Gasoline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'Fuel Economy by Vehicle Type'!$B$4:$B$13</c:f>
              <c:strCache>
                <c:ptCount val="10"/>
                <c:pt idx="0">
                  <c:v>Refuse Truck</c:v>
                </c:pt>
                <c:pt idx="1">
                  <c:v>Transit Bus</c:v>
                </c:pt>
                <c:pt idx="2">
                  <c:v>Class 8 Truck</c:v>
                </c:pt>
                <c:pt idx="3">
                  <c:v>School Bus</c:v>
                </c:pt>
                <c:pt idx="4">
                  <c:v>Delivery Truck</c:v>
                </c:pt>
                <c:pt idx="5">
                  <c:v>Paratransit Shuttle</c:v>
                </c:pt>
                <c:pt idx="6">
                  <c:v>Light Truck/Van</c:v>
                </c:pt>
                <c:pt idx="7">
                  <c:v>Car</c:v>
                </c:pt>
                <c:pt idx="8">
                  <c:v>Ridesourcing Vehicle</c:v>
                </c:pt>
                <c:pt idx="9">
                  <c:v>Motorcycle</c:v>
                </c:pt>
              </c:strCache>
            </c:strRef>
          </c:cat>
          <c:val>
            <c:numRef>
              <c:f>'Fuel Economy by Vehicle Type'!$C$4:$C$13</c:f>
              <c:numCache>
                <c:formatCode>#,##0.0</c:formatCode>
                <c:ptCount val="10"/>
                <c:pt idx="0">
                  <c:v>2.4779999999999998</c:v>
                </c:pt>
                <c:pt idx="1">
                  <c:v>3.2745000000000002</c:v>
                </c:pt>
                <c:pt idx="2">
                  <c:v>5.3100000000000005</c:v>
                </c:pt>
                <c:pt idx="3">
                  <c:v>6.1950000000000003</c:v>
                </c:pt>
                <c:pt idx="4">
                  <c:v>6.5401499999999997</c:v>
                </c:pt>
                <c:pt idx="5">
                  <c:v>7.08</c:v>
                </c:pt>
                <c:pt idx="6" formatCode="0.0_)">
                  <c:v>17.5</c:v>
                </c:pt>
                <c:pt idx="7" formatCode="0.0_)">
                  <c:v>24.2</c:v>
                </c:pt>
                <c:pt idx="8" formatCode="0.0_)">
                  <c:v>25.5</c:v>
                </c:pt>
                <c:pt idx="9" formatCode="0.0_)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0-4E5B-AD5B-2D98A61C5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3816672"/>
        <c:axId val="313819416"/>
      </c:barChart>
      <c:catAx>
        <c:axId val="3138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819416"/>
        <c:crosses val="autoZero"/>
        <c:auto val="1"/>
        <c:lblAlgn val="ctr"/>
        <c:lblOffset val="100"/>
        <c:noMultiLvlLbl val="0"/>
      </c:catAx>
      <c:valAx>
        <c:axId val="313819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Miles per Gasoline</a:t>
                </a:r>
                <a:r>
                  <a:rPr lang="en-US" baseline="0"/>
                  <a:t> G</a:t>
                </a:r>
                <a:r>
                  <a:rPr lang="en-US"/>
                  <a:t>allon Equivalent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8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" l="0.70000000000000095" r="0.70000000000000095" t="0.750000000000004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422080</xdr:colOff>
      <xdr:row>1</xdr:row>
      <xdr:rowOff>2480</xdr:rowOff>
    </xdr:from>
    <xdr:to>
      <xdr:col>19</xdr:col>
      <xdr:colOff>8283</xdr:colOff>
      <xdr:row>18</xdr:row>
      <xdr:rowOff>16565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0.97434</cdr:y>
    </cdr:from>
    <cdr:to>
      <cdr:x>0.15924</cdr:x>
      <cdr:y>0.99447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030377"/>
          <a:ext cx="1216680" cy="8326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tabSelected="1" topLeftCell="G1" zoomScale="85" zoomScaleNormal="85" zoomScalePageLayoutView="130" workbookViewId="0">
      <selection activeCell="R20" sqref="R20"/>
    </sheetView>
  </sheetViews>
  <sheetFormatPr defaultColWidth="8.7109375" defaultRowHeight="12.75"/>
  <cols>
    <col min="1" max="1" width="6.140625" customWidth="1"/>
    <col min="2" max="2" width="21.140625" customWidth="1"/>
    <col min="3" max="3" width="13" customWidth="1"/>
    <col min="4" max="5" width="11.7109375" customWidth="1"/>
    <col min="7" max="7" width="25" customWidth="1"/>
    <col min="8" max="9" width="21.140625" customWidth="1"/>
    <col min="10" max="10" width="16" customWidth="1"/>
    <col min="13" max="13" width="21.85546875" customWidth="1"/>
    <col min="14" max="14" width="9.7109375" customWidth="1"/>
    <col min="15" max="15" width="9.5703125" customWidth="1"/>
    <col min="16" max="16" width="11" customWidth="1"/>
    <col min="21" max="21" width="24.85546875" customWidth="1"/>
    <col min="22" max="22" width="17.140625" customWidth="1"/>
    <col min="23" max="23" width="21.7109375" customWidth="1"/>
    <col min="24" max="24" width="17.85546875" customWidth="1"/>
    <col min="25" max="25" width="13.42578125" bestFit="1" customWidth="1"/>
    <col min="27" max="27" width="12.5703125" bestFit="1" customWidth="1"/>
    <col min="28" max="28" width="12.42578125" bestFit="1" customWidth="1"/>
    <col min="29" max="29" width="12.5703125" bestFit="1" customWidth="1"/>
  </cols>
  <sheetData>
    <row r="1" spans="2:27" ht="13.5" thickBot="1">
      <c r="M1" s="36"/>
    </row>
    <row r="2" spans="2:27" ht="34.5" customHeight="1" thickBot="1">
      <c r="B2" s="47" t="s">
        <v>28</v>
      </c>
      <c r="C2" s="48"/>
      <c r="D2" s="48"/>
      <c r="E2" s="49"/>
      <c r="U2" t="s">
        <v>58</v>
      </c>
    </row>
    <row r="3" spans="2:27">
      <c r="B3" s="13" t="s">
        <v>17</v>
      </c>
      <c r="C3" s="14" t="s">
        <v>16</v>
      </c>
      <c r="D3" s="14" t="s">
        <v>15</v>
      </c>
      <c r="E3" s="15" t="s">
        <v>23</v>
      </c>
      <c r="U3" t="s">
        <v>47</v>
      </c>
      <c r="V3" t="s">
        <v>43</v>
      </c>
      <c r="W3" t="s">
        <v>49</v>
      </c>
      <c r="X3" t="s">
        <v>52</v>
      </c>
      <c r="Y3" t="s">
        <v>51</v>
      </c>
      <c r="AA3" t="s">
        <v>56</v>
      </c>
    </row>
    <row r="4" spans="2:27" ht="17.25">
      <c r="B4" s="16" t="s">
        <v>12</v>
      </c>
      <c r="C4" s="17">
        <f>D4*0.885</f>
        <v>2.4779999999999998</v>
      </c>
      <c r="D4" s="18">
        <v>2.8</v>
      </c>
      <c r="E4" s="19" t="s">
        <v>3</v>
      </c>
      <c r="N4" s="27"/>
      <c r="O4" s="27"/>
      <c r="U4" s="40">
        <f>1/V4</f>
        <v>3.2598155770782893E-2</v>
      </c>
      <c r="V4" s="39">
        <f>(C4*K$21)/O$21</f>
        <v>30.676582044444395</v>
      </c>
      <c r="W4" s="41">
        <f>U4*R$21</f>
        <v>9055.0432696691587</v>
      </c>
      <c r="X4">
        <f>U4/1000000</f>
        <v>3.2598155770782894E-8</v>
      </c>
      <c r="Y4" s="38">
        <f>V4*1000000</f>
        <v>30676582.044444393</v>
      </c>
      <c r="AA4" s="44">
        <f t="shared" ref="AA4:AA13" si="0">Y4/C4</f>
        <v>12379573.060712025</v>
      </c>
    </row>
    <row r="5" spans="2:27" ht="17.25">
      <c r="B5" s="16" t="s">
        <v>13</v>
      </c>
      <c r="C5" s="17">
        <f t="shared" ref="C5:C9" si="1">D5*0.885</f>
        <v>3.2745000000000002</v>
      </c>
      <c r="D5" s="18">
        <v>3.7</v>
      </c>
      <c r="E5" s="19" t="s">
        <v>2</v>
      </c>
      <c r="N5" s="28"/>
      <c r="O5" s="28"/>
      <c r="U5" s="40">
        <f t="shared" ref="U5:U13" si="2">1/V5</f>
        <v>2.4668874637349212E-2</v>
      </c>
      <c r="V5" s="39">
        <f t="shared" ref="V5:V12" si="3">(C5*K$21)/O$21</f>
        <v>40.536911987301529</v>
      </c>
      <c r="W5" s="41">
        <f t="shared" ref="W5:W12" si="4">U5*R$21</f>
        <v>6852.4651770469291</v>
      </c>
      <c r="X5">
        <f t="shared" ref="X5:X12" si="5">U5/1000000</f>
        <v>2.4668874637349214E-8</v>
      </c>
      <c r="Y5" s="38">
        <f t="shared" ref="Y5:Y13" si="6">V5*1000000</f>
        <v>40536911.987301528</v>
      </c>
      <c r="AA5" s="44">
        <f t="shared" si="0"/>
        <v>12379573.060712025</v>
      </c>
    </row>
    <row r="6" spans="2:27" ht="17.25">
      <c r="B6" s="16" t="s">
        <v>14</v>
      </c>
      <c r="C6" s="17">
        <f t="shared" si="1"/>
        <v>5.3100000000000005</v>
      </c>
      <c r="D6" s="32">
        <v>6</v>
      </c>
      <c r="E6" s="19" t="s">
        <v>1</v>
      </c>
      <c r="N6" s="28"/>
      <c r="O6" s="28"/>
      <c r="U6" s="40">
        <f t="shared" si="2"/>
        <v>1.5212472693032017E-2</v>
      </c>
      <c r="V6" s="39">
        <f>(C6*K$21)/O$21</f>
        <v>65.735532952380851</v>
      </c>
      <c r="W6" s="41">
        <f t="shared" si="4"/>
        <v>4225.6868591789407</v>
      </c>
      <c r="X6">
        <f t="shared" si="5"/>
        <v>1.5212472693032017E-8</v>
      </c>
      <c r="Y6" s="38">
        <f t="shared" si="6"/>
        <v>65735532.952380851</v>
      </c>
      <c r="AA6" s="44">
        <f t="shared" si="0"/>
        <v>12379573.060712023</v>
      </c>
    </row>
    <row r="7" spans="2:27" ht="17.25">
      <c r="B7" s="16" t="s">
        <v>11</v>
      </c>
      <c r="C7" s="17">
        <f t="shared" si="1"/>
        <v>6.1950000000000003</v>
      </c>
      <c r="D7" s="18">
        <v>7</v>
      </c>
      <c r="E7" s="19" t="s">
        <v>0</v>
      </c>
      <c r="N7" s="28"/>
      <c r="O7" s="28"/>
      <c r="U7" s="40">
        <f t="shared" si="2"/>
        <v>1.3039262308313156E-2</v>
      </c>
      <c r="V7" s="39">
        <f t="shared" si="3"/>
        <v>76.691455111110997</v>
      </c>
      <c r="W7" s="41">
        <f t="shared" si="4"/>
        <v>3622.017307867663</v>
      </c>
      <c r="X7">
        <f t="shared" si="5"/>
        <v>1.3039262308313156E-8</v>
      </c>
      <c r="Y7" s="38">
        <f t="shared" si="6"/>
        <v>76691455.111111</v>
      </c>
      <c r="AA7" s="44">
        <f t="shared" si="0"/>
        <v>12379573.060712025</v>
      </c>
    </row>
    <row r="8" spans="2:27" ht="17.25">
      <c r="B8" s="16" t="s">
        <v>10</v>
      </c>
      <c r="C8" s="17">
        <f t="shared" si="1"/>
        <v>6.5401499999999997</v>
      </c>
      <c r="D8" s="32">
        <v>7.39</v>
      </c>
      <c r="E8" s="19" t="s">
        <v>1</v>
      </c>
      <c r="N8" s="29"/>
      <c r="O8" s="29"/>
      <c r="U8" s="40">
        <f t="shared" si="2"/>
        <v>1.2351128032231679E-2</v>
      </c>
      <c r="V8" s="39">
        <f t="shared" si="3"/>
        <v>80.96426475301574</v>
      </c>
      <c r="W8" s="41">
        <f t="shared" si="4"/>
        <v>3430.8688978448777</v>
      </c>
      <c r="X8">
        <f t="shared" si="5"/>
        <v>1.2351128032231679E-8</v>
      </c>
      <c r="Y8" s="38">
        <f t="shared" si="6"/>
        <v>80964264.753015742</v>
      </c>
      <c r="AA8" s="44">
        <f t="shared" si="0"/>
        <v>12379573.060712025</v>
      </c>
    </row>
    <row r="9" spans="2:27" ht="17.25">
      <c r="B9" s="16" t="s">
        <v>20</v>
      </c>
      <c r="C9" s="17">
        <f t="shared" si="1"/>
        <v>7.08</v>
      </c>
      <c r="D9" s="33">
        <v>8</v>
      </c>
      <c r="E9" s="19" t="s">
        <v>2</v>
      </c>
      <c r="N9" s="35"/>
      <c r="O9" s="35"/>
      <c r="U9" s="40">
        <f t="shared" si="2"/>
        <v>1.1409354519774012E-2</v>
      </c>
      <c r="V9" s="39">
        <f t="shared" si="3"/>
        <v>87.647377269841144</v>
      </c>
      <c r="W9" s="41">
        <f t="shared" si="4"/>
        <v>3169.2651443842051</v>
      </c>
      <c r="X9">
        <f>U9/1000000</f>
        <v>1.1409354519774013E-8</v>
      </c>
      <c r="Y9" s="38">
        <f t="shared" si="6"/>
        <v>87647377.269841149</v>
      </c>
      <c r="AA9" s="44">
        <f t="shared" si="0"/>
        <v>12379573.060712026</v>
      </c>
    </row>
    <row r="10" spans="2:27" ht="17.25">
      <c r="B10" s="16" t="s">
        <v>19</v>
      </c>
      <c r="C10" s="30">
        <v>17.5</v>
      </c>
      <c r="D10" s="20">
        <f>C10/0.885</f>
        <v>19.774011299435028</v>
      </c>
      <c r="E10" s="19" t="s">
        <v>1</v>
      </c>
      <c r="N10" s="35"/>
      <c r="O10" s="35"/>
      <c r="U10" s="40">
        <f t="shared" si="2"/>
        <v>4.6158988571428578E-3</v>
      </c>
      <c r="V10" s="39">
        <f>(C10*K$21)/O$21</f>
        <v>216.64252856246043</v>
      </c>
      <c r="W10" s="41">
        <f t="shared" si="4"/>
        <v>1282.1941269851529</v>
      </c>
      <c r="X10">
        <f t="shared" si="5"/>
        <v>4.6158988571428574E-9</v>
      </c>
      <c r="Y10" s="38">
        <f t="shared" si="6"/>
        <v>216642528.56246042</v>
      </c>
      <c r="AA10" s="44">
        <f t="shared" si="0"/>
        <v>12379573.060712025</v>
      </c>
    </row>
    <row r="11" spans="2:27" ht="17.25">
      <c r="B11" s="16" t="s">
        <v>9</v>
      </c>
      <c r="C11" s="30">
        <v>24.2</v>
      </c>
      <c r="D11" s="20">
        <f t="shared" ref="D11:D13" si="7">C11/0.885</f>
        <v>27.344632768361581</v>
      </c>
      <c r="E11" s="19" t="s">
        <v>1</v>
      </c>
      <c r="U11" s="40">
        <f t="shared" si="2"/>
        <v>3.3379433884297522E-3</v>
      </c>
      <c r="V11" s="39">
        <f t="shared" si="3"/>
        <v>299.58566806923102</v>
      </c>
      <c r="W11" s="41">
        <f t="shared" si="4"/>
        <v>927.20649678678399</v>
      </c>
      <c r="X11">
        <f t="shared" si="5"/>
        <v>3.337943388429752E-9</v>
      </c>
      <c r="Y11" s="38">
        <f t="shared" si="6"/>
        <v>299585668.06923103</v>
      </c>
      <c r="AA11" s="44">
        <f t="shared" si="0"/>
        <v>12379573.060712026</v>
      </c>
    </row>
    <row r="12" spans="2:27" ht="17.25">
      <c r="B12" s="25" t="s">
        <v>22</v>
      </c>
      <c r="C12" s="34">
        <v>25.5</v>
      </c>
      <c r="D12" s="20">
        <f t="shared" si="7"/>
        <v>28.8135593220339</v>
      </c>
      <c r="E12" s="26" t="s">
        <v>24</v>
      </c>
      <c r="U12" s="40">
        <f t="shared" si="2"/>
        <v>3.1677737254901962E-3</v>
      </c>
      <c r="V12" s="39">
        <f t="shared" si="3"/>
        <v>315.67911304815664</v>
      </c>
      <c r="W12" s="41">
        <f t="shared" si="4"/>
        <v>879.93714597020289</v>
      </c>
      <c r="X12">
        <f t="shared" si="5"/>
        <v>3.167773725490196E-9</v>
      </c>
      <c r="Y12" s="38">
        <f t="shared" si="6"/>
        <v>315679113.04815662</v>
      </c>
      <c r="AA12" s="44">
        <f t="shared" si="0"/>
        <v>12379573.060712025</v>
      </c>
    </row>
    <row r="13" spans="2:27" ht="18" thickBot="1">
      <c r="B13" s="21" t="s">
        <v>8</v>
      </c>
      <c r="C13" s="31">
        <v>44</v>
      </c>
      <c r="D13" s="22">
        <f t="shared" si="7"/>
        <v>49.717514124293785</v>
      </c>
      <c r="E13" s="23" t="s">
        <v>1</v>
      </c>
      <c r="U13" s="40">
        <f t="shared" si="2"/>
        <v>1.8358688636363636E-3</v>
      </c>
      <c r="V13" s="39">
        <f>(C13*K$21)/O$21</f>
        <v>544.70121467132913</v>
      </c>
      <c r="W13" s="41">
        <f>U13*R$21</f>
        <v>509.96357323273116</v>
      </c>
      <c r="X13">
        <f>U13/1000000</f>
        <v>1.8358688636363636E-9</v>
      </c>
      <c r="Y13" s="38">
        <f t="shared" si="6"/>
        <v>544701214.67132914</v>
      </c>
      <c r="AA13" s="44">
        <f t="shared" si="0"/>
        <v>12379573.060712026</v>
      </c>
    </row>
    <row r="14" spans="2:27">
      <c r="U14" s="40">
        <f>W14/R21</f>
        <v>7.0199999999943842E-4</v>
      </c>
      <c r="V14" s="39">
        <f>1/U14</f>
        <v>1424.5014245025641</v>
      </c>
      <c r="W14">
        <v>195</v>
      </c>
      <c r="X14" t="s">
        <v>50</v>
      </c>
      <c r="Y14" s="38">
        <f>V14*1000000</f>
        <v>1424501424.5025642</v>
      </c>
      <c r="AA14" s="44" t="e">
        <f t="shared" ref="AA14" si="8">Y14/C14</f>
        <v>#DIV/0!</v>
      </c>
    </row>
    <row r="15" spans="2:27">
      <c r="B15" s="24"/>
      <c r="C15" s="24"/>
      <c r="D15" s="24"/>
      <c r="E15" s="24"/>
      <c r="F15" s="24"/>
      <c r="G15" s="24"/>
      <c r="H15" s="24"/>
      <c r="I15" s="24"/>
      <c r="Y15" s="38"/>
    </row>
    <row r="16" spans="2:27">
      <c r="B16" s="46" t="s">
        <v>4</v>
      </c>
      <c r="C16" s="46"/>
      <c r="D16" s="46"/>
      <c r="E16" s="46"/>
      <c r="F16" s="24"/>
      <c r="G16" s="24"/>
      <c r="H16" s="24"/>
      <c r="I16" s="24"/>
      <c r="Y16" s="38"/>
    </row>
    <row r="17" spans="1:27" ht="42" customHeight="1">
      <c r="A17" s="3"/>
      <c r="B17" s="45" t="s">
        <v>29</v>
      </c>
      <c r="C17" s="45"/>
      <c r="D17" s="45"/>
      <c r="E17" s="45"/>
      <c r="F17" s="24"/>
      <c r="G17" s="24"/>
      <c r="H17" s="24"/>
      <c r="I17" s="24"/>
      <c r="U17">
        <f>C4*7.4088*10^-8</f>
        <v>1.8359006399999999E-7</v>
      </c>
      <c r="V17">
        <f>U17*1000000</f>
        <v>0.183590064</v>
      </c>
      <c r="Y17" s="38"/>
    </row>
    <row r="18" spans="1:27" ht="54.6" customHeight="1">
      <c r="A18" s="3"/>
      <c r="B18" s="45" t="s">
        <v>33</v>
      </c>
      <c r="C18" s="45"/>
      <c r="D18" s="45"/>
      <c r="E18" s="45"/>
      <c r="F18" s="24"/>
      <c r="G18" s="24"/>
      <c r="H18" s="24"/>
      <c r="I18" s="24"/>
      <c r="Y18" s="38"/>
    </row>
    <row r="19" spans="1:27" ht="44.25" customHeight="1">
      <c r="A19" s="3"/>
      <c r="B19" s="45" t="s">
        <v>30</v>
      </c>
      <c r="C19" s="45"/>
      <c r="D19" s="45"/>
      <c r="E19" s="45"/>
      <c r="F19" s="24"/>
      <c r="G19" s="24"/>
      <c r="H19" s="24"/>
      <c r="I19" s="24"/>
      <c r="U19" t="s">
        <v>57</v>
      </c>
      <c r="Y19" s="38"/>
    </row>
    <row r="20" spans="1:27" ht="39.75" customHeight="1">
      <c r="A20" s="3"/>
      <c r="B20" s="45" t="s">
        <v>31</v>
      </c>
      <c r="C20" s="45"/>
      <c r="D20" s="45"/>
      <c r="E20" s="45"/>
      <c r="F20" s="24"/>
      <c r="G20" s="42" t="s">
        <v>55</v>
      </c>
      <c r="H20" s="42" t="s">
        <v>54</v>
      </c>
      <c r="I20" s="42" t="s">
        <v>60</v>
      </c>
      <c r="J20" s="42" t="s">
        <v>53</v>
      </c>
      <c r="K20" s="42" t="s">
        <v>44</v>
      </c>
      <c r="L20" s="42" t="s">
        <v>45</v>
      </c>
      <c r="M20" s="42" t="s">
        <v>40</v>
      </c>
      <c r="N20" s="42" t="s">
        <v>39</v>
      </c>
      <c r="O20" s="42" t="s">
        <v>41</v>
      </c>
      <c r="P20" s="42" t="s">
        <v>42</v>
      </c>
      <c r="Q20" s="42" t="s">
        <v>46</v>
      </c>
      <c r="R20" s="42" t="s">
        <v>48</v>
      </c>
      <c r="S20" s="42" t="s">
        <v>59</v>
      </c>
      <c r="U20" t="s">
        <v>47</v>
      </c>
      <c r="V20" t="s">
        <v>43</v>
      </c>
      <c r="W20" t="s">
        <v>49</v>
      </c>
      <c r="X20" t="s">
        <v>52</v>
      </c>
      <c r="Y20" s="38" t="s">
        <v>51</v>
      </c>
      <c r="AA20" t="s">
        <v>56</v>
      </c>
    </row>
    <row r="21" spans="1:27" ht="54.4" customHeight="1">
      <c r="A21" s="3"/>
      <c r="B21" s="45" t="s">
        <v>32</v>
      </c>
      <c r="C21" s="45"/>
      <c r="D21" s="45"/>
      <c r="E21" s="45"/>
      <c r="F21" s="24"/>
      <c r="G21" s="43">
        <f>H21*0.000000001</f>
        <v>0.119240415</v>
      </c>
      <c r="H21" s="43">
        <f>I21*L21</f>
        <v>119240415</v>
      </c>
      <c r="I21" s="43">
        <f>(J21*H25)</f>
        <v>31500000</v>
      </c>
      <c r="J21">
        <v>31.5</v>
      </c>
      <c r="K21">
        <f>1/0.621371</f>
        <v>1.6093444978925633</v>
      </c>
      <c r="L21">
        <v>3.7854100000000002</v>
      </c>
      <c r="M21" s="38">
        <f>1.3*10^8</f>
        <v>130000000</v>
      </c>
      <c r="N21" s="38">
        <f>M21/L21</f>
        <v>34342382.991538562</v>
      </c>
      <c r="O21" s="38">
        <f>M21/G25</f>
        <v>0.13</v>
      </c>
      <c r="P21" s="39">
        <f>N21*0.000000001</f>
        <v>3.4342382991538564E-2</v>
      </c>
      <c r="Q21" s="39">
        <f>O21*1000</f>
        <v>130</v>
      </c>
      <c r="R21">
        <f>277777.777778</f>
        <v>277777.77777799999</v>
      </c>
      <c r="S21">
        <f>P21*1000</f>
        <v>34.342382991538564</v>
      </c>
      <c r="U21" s="40">
        <f>1/V21</f>
        <v>2.9900135556483052E-2</v>
      </c>
      <c r="V21" s="39">
        <f>(C4*K$21)/G$21</f>
        <v>33.444664426719513</v>
      </c>
      <c r="W21" s="41">
        <f>U21*R$21</f>
        <v>8305.5932101408252</v>
      </c>
      <c r="X21">
        <f>U21/1000000</f>
        <v>2.9900135556483054E-8</v>
      </c>
      <c r="Y21" s="38">
        <f>V21*1000000</f>
        <v>33444664.426719513</v>
      </c>
      <c r="AA21" s="44">
        <f>Y21/C4</f>
        <v>13496636.168974785</v>
      </c>
    </row>
    <row r="22" spans="1:27" ht="17.25">
      <c r="D22" s="24"/>
      <c r="U22" s="40">
        <f t="shared" ref="U22:U30" si="9">1/V22</f>
        <v>2.2627129610311499E-2</v>
      </c>
      <c r="V22" s="39">
        <f t="shared" ref="V22:V30" si="10">(C5*K$21)/G$21</f>
        <v>44.19473513530793</v>
      </c>
      <c r="W22" s="41">
        <f t="shared" ref="W22:W30" si="11">U22*R$21</f>
        <v>6285.3137806471113</v>
      </c>
      <c r="X22">
        <f t="shared" ref="X22:X30" si="12">U22/1000000</f>
        <v>2.2627129610311498E-8</v>
      </c>
      <c r="Y22" s="38">
        <f t="shared" ref="Y22:Y30" si="13">V22*1000000</f>
        <v>44194735.13530793</v>
      </c>
      <c r="AA22" s="44">
        <f t="shared" ref="AA22:AA30" si="14">Y22/C5</f>
        <v>13496636.168974783</v>
      </c>
    </row>
    <row r="23" spans="1:27" ht="17.25">
      <c r="B23" s="50" t="s">
        <v>7</v>
      </c>
      <c r="C23" s="50"/>
      <c r="D23" s="50"/>
      <c r="E23" s="50"/>
      <c r="U23" s="40">
        <f t="shared" si="9"/>
        <v>1.3953396593025425E-2</v>
      </c>
      <c r="V23" s="39">
        <f t="shared" si="10"/>
        <v>71.667138057256096</v>
      </c>
      <c r="W23" s="41">
        <f t="shared" si="11"/>
        <v>3875.9434980657188</v>
      </c>
      <c r="X23">
        <f t="shared" si="12"/>
        <v>1.3953396593025425E-8</v>
      </c>
      <c r="Y23" s="38">
        <f t="shared" si="13"/>
        <v>71667138.057256103</v>
      </c>
      <c r="AA23" s="44">
        <f t="shared" si="14"/>
        <v>13496636.168974783</v>
      </c>
    </row>
    <row r="24" spans="1:27" ht="42.6" customHeight="1">
      <c r="B24" s="45" t="s">
        <v>38</v>
      </c>
      <c r="C24" s="45"/>
      <c r="D24" s="45"/>
      <c r="E24" s="45"/>
      <c r="G24" t="s">
        <v>61</v>
      </c>
      <c r="H24" t="s">
        <v>62</v>
      </c>
      <c r="I24" t="s">
        <v>63</v>
      </c>
      <c r="U24" s="40">
        <f t="shared" si="9"/>
        <v>1.1960054222593219E-2</v>
      </c>
      <c r="V24" s="39">
        <f t="shared" si="10"/>
        <v>83.611661066798789</v>
      </c>
      <c r="W24" s="41">
        <f t="shared" si="11"/>
        <v>3322.2372840563298</v>
      </c>
      <c r="X24">
        <f t="shared" si="12"/>
        <v>1.1960054222593219E-8</v>
      </c>
      <c r="Y24" s="38">
        <f t="shared" si="13"/>
        <v>83611661.066798791</v>
      </c>
      <c r="AA24" s="44">
        <f t="shared" si="14"/>
        <v>13496636.168974783</v>
      </c>
    </row>
    <row r="25" spans="1:27" ht="31.9" customHeight="1">
      <c r="B25" s="45" t="s">
        <v>6</v>
      </c>
      <c r="C25" s="45"/>
      <c r="D25" s="45"/>
      <c r="E25" s="45"/>
      <c r="F25" s="24"/>
      <c r="G25" s="43">
        <f>1/0.000000001</f>
        <v>999999999.99999988</v>
      </c>
      <c r="H25" s="24">
        <f>1000000</f>
        <v>1000000</v>
      </c>
      <c r="I25" s="24"/>
      <c r="U25" s="40">
        <f t="shared" si="9"/>
        <v>1.1328874094472608E-2</v>
      </c>
      <c r="V25" s="39">
        <f t="shared" si="10"/>
        <v>88.270025040520409</v>
      </c>
      <c r="W25" s="41">
        <f t="shared" si="11"/>
        <v>3146.9094706893529</v>
      </c>
      <c r="X25">
        <f t="shared" si="12"/>
        <v>1.1328874094472608E-8</v>
      </c>
      <c r="Y25" s="38">
        <f t="shared" si="13"/>
        <v>88270025.040520415</v>
      </c>
      <c r="AA25" s="44">
        <f t="shared" si="14"/>
        <v>13496636.168974781</v>
      </c>
    </row>
    <row r="26" spans="1:27" ht="30.4" customHeight="1">
      <c r="B26" s="45" t="s">
        <v>26</v>
      </c>
      <c r="C26" s="45"/>
      <c r="D26" s="45"/>
      <c r="E26" s="45"/>
      <c r="F26" s="24"/>
      <c r="G26" s="24"/>
      <c r="H26" s="24"/>
      <c r="I26" s="24"/>
      <c r="U26" s="40">
        <f t="shared" si="9"/>
        <v>1.0465047444769069E-2</v>
      </c>
      <c r="V26" s="39">
        <f t="shared" si="10"/>
        <v>95.556184076341466</v>
      </c>
      <c r="W26" s="41">
        <f t="shared" si="11"/>
        <v>2906.9576235492891</v>
      </c>
      <c r="X26">
        <f t="shared" si="12"/>
        <v>1.0465047444769069E-8</v>
      </c>
      <c r="Y26" s="38">
        <f t="shared" si="13"/>
        <v>95556184.076341465</v>
      </c>
      <c r="AA26" s="44">
        <f t="shared" si="14"/>
        <v>13496636.168974783</v>
      </c>
    </row>
    <row r="27" spans="1:27" ht="54.4" customHeight="1">
      <c r="B27" s="45" t="s">
        <v>35</v>
      </c>
      <c r="C27" s="45"/>
      <c r="D27" s="45"/>
      <c r="E27" s="45"/>
      <c r="F27" s="24"/>
      <c r="G27" s="24"/>
      <c r="H27" s="24"/>
      <c r="I27" s="24"/>
      <c r="U27" s="40">
        <f t="shared" si="9"/>
        <v>4.2338591947980002E-3</v>
      </c>
      <c r="V27" s="39">
        <f t="shared" si="10"/>
        <v>236.1911329570587</v>
      </c>
      <c r="W27" s="41">
        <f t="shared" si="11"/>
        <v>1176.0719985559408</v>
      </c>
      <c r="X27">
        <f t="shared" si="12"/>
        <v>4.2338591947979999E-9</v>
      </c>
      <c r="Y27" s="38">
        <f t="shared" si="13"/>
        <v>236191132.9570587</v>
      </c>
      <c r="AA27" s="44">
        <f t="shared" si="14"/>
        <v>13496636.168974783</v>
      </c>
    </row>
    <row r="28" spans="1:27" ht="17.25">
      <c r="B28" s="45" t="s">
        <v>5</v>
      </c>
      <c r="C28" s="45"/>
      <c r="D28" s="45"/>
      <c r="E28" s="45"/>
      <c r="F28" s="24"/>
      <c r="G28" s="24"/>
      <c r="H28" s="24"/>
      <c r="I28" s="24"/>
      <c r="U28" s="40">
        <f t="shared" si="9"/>
        <v>3.061675037560537E-3</v>
      </c>
      <c r="V28" s="39">
        <f t="shared" si="10"/>
        <v>326.61859528918978</v>
      </c>
      <c r="W28" s="41">
        <f t="shared" si="11"/>
        <v>850.46528821194056</v>
      </c>
      <c r="X28">
        <f t="shared" si="12"/>
        <v>3.0616750375605368E-9</v>
      </c>
      <c r="Y28" s="38">
        <f t="shared" si="13"/>
        <v>326618595.28918976</v>
      </c>
      <c r="AA28" s="44">
        <f t="shared" si="14"/>
        <v>13496636.168974783</v>
      </c>
    </row>
    <row r="29" spans="1:27" ht="24.4" customHeight="1">
      <c r="B29" s="45" t="s">
        <v>21</v>
      </c>
      <c r="C29" s="45"/>
      <c r="D29" s="45"/>
      <c r="E29" s="45"/>
      <c r="F29" s="24"/>
      <c r="G29" s="24"/>
      <c r="H29" s="24"/>
      <c r="I29" s="24"/>
      <c r="U29" s="40">
        <f t="shared" si="9"/>
        <v>2.9055896434888239E-3</v>
      </c>
      <c r="V29" s="39">
        <f t="shared" si="10"/>
        <v>344.16422230885695</v>
      </c>
      <c r="W29" s="41">
        <f t="shared" si="11"/>
        <v>807.10823430309676</v>
      </c>
      <c r="X29">
        <f t="shared" si="12"/>
        <v>2.9055896434888238E-9</v>
      </c>
      <c r="Y29" s="38">
        <f t="shared" si="13"/>
        <v>344164222.30885696</v>
      </c>
      <c r="AA29" s="44">
        <f t="shared" si="14"/>
        <v>13496636.168974783</v>
      </c>
    </row>
    <row r="30" spans="1:27" ht="26.25" customHeight="1">
      <c r="B30" s="45" t="s">
        <v>27</v>
      </c>
      <c r="C30" s="45"/>
      <c r="D30" s="45"/>
      <c r="E30" s="45"/>
      <c r="F30" s="24"/>
      <c r="G30" s="24"/>
      <c r="H30" s="24"/>
      <c r="I30" s="24"/>
      <c r="U30" s="40">
        <f t="shared" si="9"/>
        <v>1.6839212706582956E-3</v>
      </c>
      <c r="V30" s="39">
        <f t="shared" si="10"/>
        <v>593.85199143489046</v>
      </c>
      <c r="W30" s="41">
        <f t="shared" si="11"/>
        <v>467.75590851656739</v>
      </c>
      <c r="X30">
        <f t="shared" si="12"/>
        <v>1.6839212706582955E-9</v>
      </c>
      <c r="Y30" s="38">
        <f t="shared" si="13"/>
        <v>593851991.43489051</v>
      </c>
      <c r="AA30" s="44">
        <f t="shared" si="14"/>
        <v>13496636.168974785</v>
      </c>
    </row>
    <row r="31" spans="1:27">
      <c r="B31" s="24"/>
      <c r="C31" s="24"/>
      <c r="D31" s="24"/>
      <c r="E31" s="24"/>
      <c r="F31" s="24"/>
      <c r="G31" s="24"/>
      <c r="H31" s="24"/>
      <c r="I31" s="24"/>
    </row>
    <row r="32" spans="1:27">
      <c r="B32" s="37" t="s">
        <v>36</v>
      </c>
      <c r="C32" s="24"/>
      <c r="D32" s="24"/>
      <c r="E32" s="24"/>
      <c r="F32" s="24"/>
      <c r="G32" s="24"/>
      <c r="H32" s="24"/>
      <c r="I32" s="24"/>
    </row>
    <row r="33" spans="2:9">
      <c r="B33" s="24" t="s">
        <v>37</v>
      </c>
      <c r="C33" s="24"/>
      <c r="D33" s="24"/>
      <c r="E33" s="24"/>
      <c r="F33" s="24"/>
      <c r="G33" s="24"/>
      <c r="H33" s="24"/>
      <c r="I33" s="24"/>
    </row>
    <row r="34" spans="2:9">
      <c r="B34" s="24"/>
      <c r="C34" s="24"/>
      <c r="D34" s="24"/>
      <c r="E34" s="24"/>
      <c r="F34" s="24"/>
      <c r="G34" s="24"/>
      <c r="H34" s="24"/>
      <c r="I34" s="24"/>
    </row>
    <row r="35" spans="2:9" ht="13.15" customHeight="1">
      <c r="B35" s="45" t="s">
        <v>34</v>
      </c>
      <c r="C35" s="45"/>
      <c r="D35" s="45"/>
      <c r="E35" s="45"/>
      <c r="F35" s="24"/>
      <c r="G35" s="24"/>
      <c r="H35" s="24"/>
      <c r="I35" s="24"/>
    </row>
    <row r="36" spans="2:9" ht="13.15" customHeight="1">
      <c r="B36" s="45" t="s">
        <v>25</v>
      </c>
      <c r="C36" s="45"/>
      <c r="D36" s="45"/>
      <c r="E36" s="45"/>
      <c r="F36" s="24"/>
      <c r="G36" s="24"/>
      <c r="H36" s="24"/>
      <c r="I36" s="24"/>
    </row>
    <row r="65" spans="2:2" ht="15.75">
      <c r="B65" s="2"/>
    </row>
    <row r="68" spans="2:2" ht="15.75">
      <c r="B68" s="1"/>
    </row>
    <row r="69" spans="2:2" ht="15.75">
      <c r="B69" s="2"/>
    </row>
    <row r="70" spans="2:2" ht="15.75">
      <c r="B70" s="1"/>
    </row>
    <row r="71" spans="2:2" ht="15.75">
      <c r="B71" s="2"/>
    </row>
    <row r="72" spans="2:2" ht="15.75">
      <c r="B72" s="1"/>
    </row>
  </sheetData>
  <sortState xmlns:xlrd2="http://schemas.microsoft.com/office/spreadsheetml/2017/richdata2" ref="B4:E14">
    <sortCondition ref="C5"/>
  </sortState>
  <mergeCells count="17">
    <mergeCell ref="B16:E16"/>
    <mergeCell ref="B2:E2"/>
    <mergeCell ref="B23:E23"/>
    <mergeCell ref="B25:E25"/>
    <mergeCell ref="B26:E26"/>
    <mergeCell ref="B21:E21"/>
    <mergeCell ref="B36:E36"/>
    <mergeCell ref="B19:E19"/>
    <mergeCell ref="B18:E18"/>
    <mergeCell ref="B17:E17"/>
    <mergeCell ref="B20:E20"/>
    <mergeCell ref="B27:E27"/>
    <mergeCell ref="B28:E28"/>
    <mergeCell ref="B29:E29"/>
    <mergeCell ref="B35:E35"/>
    <mergeCell ref="B30:E30"/>
    <mergeCell ref="B24:E24"/>
  </mergeCells>
  <phoneticPr fontId="16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9F4E-C7D1-4634-971F-5269E8538B22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2"/>
  <sheetViews>
    <sheetView zoomScale="80" zoomScaleNormal="80" workbookViewId="0">
      <selection activeCell="E23" sqref="E23"/>
    </sheetView>
  </sheetViews>
  <sheetFormatPr defaultColWidth="8.7109375" defaultRowHeight="12.75"/>
  <cols>
    <col min="1" max="1" width="6.140625" customWidth="1"/>
    <col min="2" max="2" width="17.42578125" customWidth="1"/>
    <col min="3" max="3" width="13" customWidth="1"/>
    <col min="4" max="5" width="11.7109375" customWidth="1"/>
    <col min="6" max="6" width="21.140625" customWidth="1"/>
    <col min="7" max="7" width="10.42578125" customWidth="1"/>
    <col min="8" max="8" width="11.7109375" customWidth="1"/>
  </cols>
  <sheetData>
    <row r="1" spans="2:8" ht="13.5" thickBot="1"/>
    <row r="2" spans="2:8" ht="39.75" customHeight="1" thickBot="1">
      <c r="B2" s="51" t="s">
        <v>18</v>
      </c>
      <c r="C2" s="52"/>
      <c r="D2" s="8"/>
      <c r="E2" s="7"/>
      <c r="F2" s="7"/>
      <c r="G2" s="7"/>
      <c r="H2" s="7"/>
    </row>
    <row r="3" spans="2:8" ht="38.25" customHeight="1">
      <c r="B3" s="11" t="s">
        <v>17</v>
      </c>
      <c r="C3" s="10" t="s">
        <v>16</v>
      </c>
      <c r="D3" s="8"/>
      <c r="E3" s="7"/>
      <c r="F3" s="7"/>
      <c r="G3" s="7"/>
      <c r="H3" s="7"/>
    </row>
    <row r="4" spans="2:8">
      <c r="B4" s="6" t="s">
        <v>8</v>
      </c>
      <c r="C4" s="9">
        <v>44</v>
      </c>
    </row>
    <row r="5" spans="2:8">
      <c r="B5" s="25" t="s">
        <v>22</v>
      </c>
      <c r="C5" s="34">
        <v>25.5</v>
      </c>
    </row>
    <row r="6" spans="2:8">
      <c r="B6" s="6" t="s">
        <v>9</v>
      </c>
      <c r="C6" s="9">
        <v>24.2</v>
      </c>
    </row>
    <row r="7" spans="2:8">
      <c r="B7" s="6" t="s">
        <v>19</v>
      </c>
      <c r="C7" s="9">
        <v>17.5</v>
      </c>
    </row>
    <row r="8" spans="2:8">
      <c r="B8" s="6" t="s">
        <v>20</v>
      </c>
      <c r="C8" s="5">
        <v>7.1</v>
      </c>
    </row>
    <row r="9" spans="2:8">
      <c r="B9" s="6" t="s">
        <v>10</v>
      </c>
      <c r="C9" s="5">
        <v>6.5</v>
      </c>
    </row>
    <row r="10" spans="2:8">
      <c r="B10" s="6" t="s">
        <v>11</v>
      </c>
      <c r="C10" s="5">
        <v>6.2</v>
      </c>
    </row>
    <row r="11" spans="2:8">
      <c r="B11" s="6" t="s">
        <v>14</v>
      </c>
      <c r="C11" s="5">
        <v>5.28795032879946</v>
      </c>
    </row>
    <row r="12" spans="2:8">
      <c r="B12" s="6" t="s">
        <v>13</v>
      </c>
      <c r="C12" s="5">
        <v>3.2618999345924924</v>
      </c>
    </row>
    <row r="13" spans="2:8" ht="13.5" thickBot="1">
      <c r="B13" s="4" t="s">
        <v>12</v>
      </c>
      <c r="C13" s="12">
        <v>2.5312000000000001</v>
      </c>
    </row>
    <row r="45" spans="2:2" ht="15.75">
      <c r="B45" s="2"/>
    </row>
    <row r="46" spans="2:2" ht="15.75">
      <c r="B46" s="1"/>
    </row>
    <row r="47" spans="2:2" ht="15.75">
      <c r="B47" s="2"/>
    </row>
    <row r="48" spans="2:2" ht="15.75">
      <c r="B48" s="1"/>
    </row>
    <row r="51" spans="2:2" ht="15.75">
      <c r="B51" s="2"/>
    </row>
    <row r="52" spans="2:2" ht="15.75">
      <c r="B52" s="1"/>
    </row>
  </sheetData>
  <mergeCells count="1">
    <mergeCell ref="B2:C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 Economy by Vehicle Type</vt:lpstr>
      <vt:lpstr>testing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cgussenh</dc:creator>
  <cp:lastModifiedBy>Finbar MAUNSELL</cp:lastModifiedBy>
  <cp:lastPrinted>2013-04-17T16:03:50Z</cp:lastPrinted>
  <dcterms:created xsi:type="dcterms:W3CDTF">2012-05-24T17:02:19Z</dcterms:created>
  <dcterms:modified xsi:type="dcterms:W3CDTF">2023-10-02T01:33:38Z</dcterms:modified>
</cp:coreProperties>
</file>