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/Documents/Repos/HACC2019/data/"/>
    </mc:Choice>
  </mc:AlternateContent>
  <xr:revisionPtr revIDLastSave="0" documentId="13_ncr:1_{9E6456D5-AE90-7A40-B740-284940E4449C}" xr6:coauthVersionLast="45" xr6:coauthVersionMax="45" xr10:uidLastSave="{00000000-0000-0000-0000-000000000000}"/>
  <bookViews>
    <workbookView xWindow="0" yWindow="0" windowWidth="25600" windowHeight="16000" tabRatio="795" xr2:uid="{00000000-000D-0000-FFFF-FFFF00000000}"/>
  </bookViews>
  <sheets>
    <sheet name="Eligibility" sheetId="1" r:id="rId1"/>
    <sheet name="S1-Missing Info Ltr" sheetId="19" r:id="rId2"/>
    <sheet name="S1-Applicant Eligible Ltr" sheetId="3" r:id="rId3"/>
    <sheet name="S2-SHW" sheetId="8" r:id="rId4"/>
    <sheet name="S2-PV-NEM_Lease" sheetId="41" state="hidden" r:id="rId5"/>
    <sheet name="S2-PV-CGS_Lease" sheetId="42" state="hidden" r:id="rId6"/>
    <sheet name="S2-PV-CGS Battery_Lease" sheetId="38" state="hidden" r:id="rId7"/>
    <sheet name="S2-PV-CSS_Lease" sheetId="39" state="hidden" r:id="rId8"/>
    <sheet name="S2-Project Deny-Counter_Lease" sheetId="45" state="hidden" r:id="rId9"/>
    <sheet name="S2-Final Approval Ltr" sheetId="10" r:id="rId10"/>
    <sheet name="S2-NTP Lease" sheetId="44" state="hidden" r:id="rId11"/>
    <sheet name="Amort - Final" sheetId="50" r:id="rId12"/>
  </sheets>
  <externalReferences>
    <externalReference r:id="rId13"/>
  </externalReferences>
  <definedNames>
    <definedName name="_xlnm.Print_Area" localSheetId="0">Eligibility!$A$9:$T$92</definedName>
    <definedName name="_xlnm.Print_Area" localSheetId="9">'S2-Final Approval Ltr'!$A$1:$K$66</definedName>
    <definedName name="_xlnm.Print_Area" localSheetId="3">'S2-SHW'!$A$1:$Y$69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3" i="1" l="1"/>
  <c r="G45" i="1" l="1"/>
  <c r="O52" i="1" l="1"/>
  <c r="O47" i="1"/>
  <c r="D66" i="1"/>
  <c r="N11" i="1"/>
  <c r="N10" i="1"/>
  <c r="J65" i="1"/>
  <c r="B17" i="50"/>
  <c r="B3" i="50"/>
  <c r="J61" i="1"/>
  <c r="B4" i="50"/>
  <c r="A18" i="50"/>
  <c r="A19" i="50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108" i="50" s="1"/>
  <c r="A109" i="50" s="1"/>
  <c r="A110" i="50" s="1"/>
  <c r="A111" i="50" s="1"/>
  <c r="A112" i="50" s="1"/>
  <c r="A113" i="50" s="1"/>
  <c r="A114" i="50" s="1"/>
  <c r="A115" i="50" s="1"/>
  <c r="A116" i="50" s="1"/>
  <c r="A117" i="50" s="1"/>
  <c r="A118" i="50" s="1"/>
  <c r="A119" i="50" s="1"/>
  <c r="A120" i="50" s="1"/>
  <c r="A121" i="50" s="1"/>
  <c r="A122" i="50" s="1"/>
  <c r="A123" i="50" s="1"/>
  <c r="A124" i="50" s="1"/>
  <c r="A125" i="50" s="1"/>
  <c r="A126" i="50" s="1"/>
  <c r="A127" i="50" s="1"/>
  <c r="A128" i="50" s="1"/>
  <c r="A129" i="50" s="1"/>
  <c r="A130" i="50" s="1"/>
  <c r="A131" i="50" s="1"/>
  <c r="A132" i="50" s="1"/>
  <c r="A133" i="50" s="1"/>
  <c r="A134" i="50" s="1"/>
  <c r="A135" i="50" s="1"/>
  <c r="A136" i="50" s="1"/>
  <c r="A137" i="50" s="1"/>
  <c r="A138" i="50" s="1"/>
  <c r="A139" i="50" s="1"/>
  <c r="A140" i="50" s="1"/>
  <c r="A141" i="50" s="1"/>
  <c r="A142" i="50" s="1"/>
  <c r="A143" i="50" s="1"/>
  <c r="A144" i="50" s="1"/>
  <c r="A145" i="50" s="1"/>
  <c r="A146" i="50" s="1"/>
  <c r="A147" i="50" s="1"/>
  <c r="A148" i="50" s="1"/>
  <c r="A149" i="50" s="1"/>
  <c r="A150" i="50" s="1"/>
  <c r="A151" i="50" s="1"/>
  <c r="A152" i="50" s="1"/>
  <c r="A153" i="50" s="1"/>
  <c r="A154" i="50" s="1"/>
  <c r="A155" i="50" s="1"/>
  <c r="A156" i="50" s="1"/>
  <c r="A157" i="50" s="1"/>
  <c r="A158" i="50" s="1"/>
  <c r="A159" i="50" s="1"/>
  <c r="A160" i="50" s="1"/>
  <c r="A161" i="50" s="1"/>
  <c r="A162" i="50" s="1"/>
  <c r="A163" i="50" s="1"/>
  <c r="A164" i="50" s="1"/>
  <c r="A165" i="50" s="1"/>
  <c r="A166" i="50" s="1"/>
  <c r="A167" i="50" s="1"/>
  <c r="A168" i="50" s="1"/>
  <c r="A169" i="50" s="1"/>
  <c r="A170" i="50" s="1"/>
  <c r="A171" i="50" s="1"/>
  <c r="A172" i="50" s="1"/>
  <c r="A173" i="50" s="1"/>
  <c r="A174" i="50" s="1"/>
  <c r="A175" i="50" s="1"/>
  <c r="A176" i="50" s="1"/>
  <c r="A177" i="50" s="1"/>
  <c r="A178" i="50" s="1"/>
  <c r="A179" i="50" s="1"/>
  <c r="A180" i="50" s="1"/>
  <c r="A181" i="50" s="1"/>
  <c r="A182" i="50" s="1"/>
  <c r="A183" i="50" s="1"/>
  <c r="A184" i="50" s="1"/>
  <c r="A185" i="50" s="1"/>
  <c r="A186" i="50" s="1"/>
  <c r="A187" i="50" s="1"/>
  <c r="A188" i="50" s="1"/>
  <c r="A189" i="50" s="1"/>
  <c r="A190" i="50" s="1"/>
  <c r="A191" i="50" s="1"/>
  <c r="A192" i="50" s="1"/>
  <c r="A193" i="50" s="1"/>
  <c r="A194" i="50" s="1"/>
  <c r="A195" i="50" s="1"/>
  <c r="A196" i="50" s="1"/>
  <c r="A197" i="50" s="1"/>
  <c r="A198" i="50" s="1"/>
  <c r="A199" i="50" s="1"/>
  <c r="A200" i="50" s="1"/>
  <c r="A201" i="50" s="1"/>
  <c r="A202" i="50" s="1"/>
  <c r="A203" i="50" s="1"/>
  <c r="A204" i="50" s="1"/>
  <c r="A205" i="50" s="1"/>
  <c r="A206" i="50" s="1"/>
  <c r="A207" i="50" s="1"/>
  <c r="A208" i="50" s="1"/>
  <c r="A209" i="50" s="1"/>
  <c r="A210" i="50" s="1"/>
  <c r="A211" i="50" s="1"/>
  <c r="A212" i="50" s="1"/>
  <c r="A213" i="50" s="1"/>
  <c r="A214" i="50" s="1"/>
  <c r="A215" i="50" s="1"/>
  <c r="A216" i="50" s="1"/>
  <c r="A217" i="50" s="1"/>
  <c r="A218" i="50" s="1"/>
  <c r="A219" i="50" s="1"/>
  <c r="A220" i="50" s="1"/>
  <c r="A221" i="50" s="1"/>
  <c r="A222" i="50" s="1"/>
  <c r="A223" i="50" s="1"/>
  <c r="A224" i="50" s="1"/>
  <c r="A225" i="50" s="1"/>
  <c r="A226" i="50" s="1"/>
  <c r="A227" i="50" s="1"/>
  <c r="A228" i="50" s="1"/>
  <c r="A229" i="50" s="1"/>
  <c r="A230" i="50" s="1"/>
  <c r="A231" i="50" s="1"/>
  <c r="A232" i="50" s="1"/>
  <c r="A233" i="50" s="1"/>
  <c r="A234" i="50" s="1"/>
  <c r="A235" i="50" s="1"/>
  <c r="A236" i="50" s="1"/>
  <c r="A237" i="50" s="1"/>
  <c r="A238" i="50" s="1"/>
  <c r="A239" i="50" s="1"/>
  <c r="A240" i="50" s="1"/>
  <c r="A241" i="50" s="1"/>
  <c r="A242" i="50" s="1"/>
  <c r="A243" i="50" s="1"/>
  <c r="A244" i="50" s="1"/>
  <c r="A245" i="50" s="1"/>
  <c r="A246" i="50" s="1"/>
  <c r="A247" i="50" s="1"/>
  <c r="A248" i="50" s="1"/>
  <c r="A249" i="50" s="1"/>
  <c r="A250" i="50" s="1"/>
  <c r="A251" i="50" s="1"/>
  <c r="A252" i="50" s="1"/>
  <c r="A253" i="50" s="1"/>
  <c r="A254" i="50" s="1"/>
  <c r="A255" i="50" s="1"/>
  <c r="A256" i="50" s="1"/>
  <c r="A257" i="50" s="1"/>
  <c r="A258" i="50" s="1"/>
  <c r="A259" i="50" s="1"/>
  <c r="A260" i="50" s="1"/>
  <c r="A261" i="50" s="1"/>
  <c r="A262" i="50" s="1"/>
  <c r="A263" i="50" s="1"/>
  <c r="A264" i="50" s="1"/>
  <c r="A265" i="50" s="1"/>
  <c r="A266" i="50" s="1"/>
  <c r="A267" i="50" s="1"/>
  <c r="A268" i="50" s="1"/>
  <c r="A269" i="50" s="1"/>
  <c r="A270" i="50" s="1"/>
  <c r="A271" i="50" s="1"/>
  <c r="A272" i="50" s="1"/>
  <c r="A273" i="50" s="1"/>
  <c r="A274" i="50" s="1"/>
  <c r="A275" i="50" s="1"/>
  <c r="A276" i="50" s="1"/>
  <c r="A277" i="50" s="1"/>
  <c r="A278" i="50" s="1"/>
  <c r="A279" i="50" s="1"/>
  <c r="A280" i="50" s="1"/>
  <c r="A281" i="50" s="1"/>
  <c r="A282" i="50" s="1"/>
  <c r="A283" i="50" s="1"/>
  <c r="A284" i="50" s="1"/>
  <c r="A285" i="50" s="1"/>
  <c r="A286" i="50" s="1"/>
  <c r="A287" i="50" s="1"/>
  <c r="A288" i="50" s="1"/>
  <c r="A289" i="50" s="1"/>
  <c r="A290" i="50" s="1"/>
  <c r="A291" i="50" s="1"/>
  <c r="A292" i="50" s="1"/>
  <c r="A293" i="50" s="1"/>
  <c r="A294" i="50" s="1"/>
  <c r="A295" i="50" s="1"/>
  <c r="A296" i="50" s="1"/>
  <c r="A297" i="50" s="1"/>
  <c r="A298" i="50" s="1"/>
  <c r="A299" i="50" s="1"/>
  <c r="A300" i="50" s="1"/>
  <c r="A301" i="50" s="1"/>
  <c r="A302" i="50" s="1"/>
  <c r="A303" i="50" s="1"/>
  <c r="A304" i="50" s="1"/>
  <c r="A305" i="50" s="1"/>
  <c r="A306" i="50" s="1"/>
  <c r="A307" i="50" s="1"/>
  <c r="A308" i="50" s="1"/>
  <c r="A309" i="50" s="1"/>
  <c r="A310" i="50" s="1"/>
  <c r="A311" i="50" s="1"/>
  <c r="A312" i="50" s="1"/>
  <c r="A313" i="50" s="1"/>
  <c r="A314" i="50" s="1"/>
  <c r="A315" i="50" s="1"/>
  <c r="A316" i="50" s="1"/>
  <c r="A317" i="50" s="1"/>
  <c r="A318" i="50" s="1"/>
  <c r="A319" i="50" s="1"/>
  <c r="A320" i="50" s="1"/>
  <c r="A321" i="50" s="1"/>
  <c r="A322" i="50" s="1"/>
  <c r="A323" i="50" s="1"/>
  <c r="A324" i="50" s="1"/>
  <c r="A325" i="50" s="1"/>
  <c r="A326" i="50" s="1"/>
  <c r="A327" i="50" s="1"/>
  <c r="A328" i="50" s="1"/>
  <c r="A329" i="50" s="1"/>
  <c r="A330" i="50" s="1"/>
  <c r="A331" i="50" s="1"/>
  <c r="A332" i="50" s="1"/>
  <c r="A333" i="50" s="1"/>
  <c r="A334" i="50" s="1"/>
  <c r="A335" i="50" s="1"/>
  <c r="A336" i="50" s="1"/>
  <c r="A337" i="50" s="1"/>
  <c r="A338" i="50" s="1"/>
  <c r="A339" i="50" s="1"/>
  <c r="A340" i="50" s="1"/>
  <c r="A341" i="50" s="1"/>
  <c r="A342" i="50" s="1"/>
  <c r="A343" i="50" s="1"/>
  <c r="A344" i="50" s="1"/>
  <c r="A345" i="50" s="1"/>
  <c r="A346" i="50" s="1"/>
  <c r="A347" i="50" s="1"/>
  <c r="A348" i="50" s="1"/>
  <c r="A349" i="50" s="1"/>
  <c r="A350" i="50" s="1"/>
  <c r="A351" i="50" s="1"/>
  <c r="A352" i="50" s="1"/>
  <c r="A353" i="50" s="1"/>
  <c r="A354" i="50" s="1"/>
  <c r="A355" i="50" s="1"/>
  <c r="A356" i="50" s="1"/>
  <c r="A357" i="50" s="1"/>
  <c r="A358" i="50" s="1"/>
  <c r="A359" i="50" s="1"/>
  <c r="A360" i="50" s="1"/>
  <c r="A361" i="50" s="1"/>
  <c r="A362" i="50" s="1"/>
  <c r="A363" i="50" s="1"/>
  <c r="A364" i="50" s="1"/>
  <c r="A365" i="50" s="1"/>
  <c r="A366" i="50" s="1"/>
  <c r="A367" i="50" s="1"/>
  <c r="A368" i="50" s="1"/>
  <c r="A369" i="50" s="1"/>
  <c r="A370" i="50" s="1"/>
  <c r="A371" i="50" s="1"/>
  <c r="A372" i="50" s="1"/>
  <c r="A373" i="50" s="1"/>
  <c r="A374" i="50" s="1"/>
  <c r="A375" i="50" s="1"/>
  <c r="A376" i="50" s="1"/>
  <c r="E17" i="50"/>
  <c r="H79" i="1"/>
  <c r="E32" i="45"/>
  <c r="F31" i="45"/>
  <c r="J29" i="45"/>
  <c r="G18" i="45"/>
  <c r="C18" i="45"/>
  <c r="A14" i="45"/>
  <c r="A13" i="45"/>
  <c r="A12" i="45"/>
  <c r="A8" i="45"/>
  <c r="G44" i="45"/>
  <c r="G43" i="45"/>
  <c r="G42" i="45"/>
  <c r="F43" i="44"/>
  <c r="F42" i="44"/>
  <c r="F41" i="44"/>
  <c r="B22" i="44"/>
  <c r="B21" i="44"/>
  <c r="B20" i="44"/>
  <c r="B14" i="44"/>
  <c r="A12" i="44"/>
  <c r="A11" i="44"/>
  <c r="A10" i="44"/>
  <c r="A9" i="44"/>
  <c r="A6" i="44"/>
  <c r="E32" i="1"/>
  <c r="X64" i="42"/>
  <c r="X89" i="42" s="1"/>
  <c r="W64" i="42"/>
  <c r="W89" i="42" s="1"/>
  <c r="V64" i="42"/>
  <c r="V89" i="42" s="1"/>
  <c r="U64" i="42"/>
  <c r="U89" i="42" s="1"/>
  <c r="T64" i="42"/>
  <c r="T89" i="42" s="1"/>
  <c r="S64" i="42"/>
  <c r="S89" i="42" s="1"/>
  <c r="R64" i="42"/>
  <c r="R89" i="42" s="1"/>
  <c r="Q64" i="42"/>
  <c r="Q89" i="42" s="1"/>
  <c r="P64" i="42"/>
  <c r="P89" i="42" s="1"/>
  <c r="O64" i="42"/>
  <c r="O89" i="42" s="1"/>
  <c r="N64" i="42"/>
  <c r="N89" i="42" s="1"/>
  <c r="M64" i="42"/>
  <c r="M89" i="42" s="1"/>
  <c r="L64" i="42"/>
  <c r="L89" i="42" s="1"/>
  <c r="K64" i="42"/>
  <c r="K89" i="42" s="1"/>
  <c r="J64" i="42"/>
  <c r="J89" i="42" s="1"/>
  <c r="I64" i="42"/>
  <c r="I89" i="42" s="1"/>
  <c r="H64" i="42"/>
  <c r="H89" i="42" s="1"/>
  <c r="G64" i="42"/>
  <c r="G89" i="42" s="1"/>
  <c r="F64" i="42"/>
  <c r="E64" i="42"/>
  <c r="E89" i="42" s="1"/>
  <c r="X63" i="42"/>
  <c r="X84" i="42" s="1"/>
  <c r="W63" i="42"/>
  <c r="W84" i="42" s="1"/>
  <c r="V63" i="42"/>
  <c r="U63" i="42"/>
  <c r="U84" i="42" s="1"/>
  <c r="T63" i="42"/>
  <c r="T84" i="42" s="1"/>
  <c r="S63" i="42"/>
  <c r="S84" i="42" s="1"/>
  <c r="R63" i="42"/>
  <c r="R84" i="42" s="1"/>
  <c r="Q63" i="42"/>
  <c r="Q84" i="42" s="1"/>
  <c r="P63" i="42"/>
  <c r="P84" i="42" s="1"/>
  <c r="O63" i="42"/>
  <c r="O84" i="42" s="1"/>
  <c r="N63" i="42"/>
  <c r="N84" i="42" s="1"/>
  <c r="M63" i="42"/>
  <c r="M84" i="42" s="1"/>
  <c r="L63" i="42"/>
  <c r="L84" i="42" s="1"/>
  <c r="K63" i="42"/>
  <c r="K84" i="42" s="1"/>
  <c r="J63" i="42"/>
  <c r="J84" i="42" s="1"/>
  <c r="I63" i="42"/>
  <c r="I84" i="42" s="1"/>
  <c r="H63" i="42"/>
  <c r="H84" i="42" s="1"/>
  <c r="G63" i="42"/>
  <c r="G84" i="42" s="1"/>
  <c r="F63" i="42"/>
  <c r="E63" i="42"/>
  <c r="E84" i="42" s="1"/>
  <c r="X61" i="42"/>
  <c r="X74" i="42" s="1"/>
  <c r="W61" i="42"/>
  <c r="W74" i="42" s="1"/>
  <c r="V61" i="42"/>
  <c r="V74" i="42" s="1"/>
  <c r="U61" i="42"/>
  <c r="U74" i="42" s="1"/>
  <c r="T61" i="42"/>
  <c r="T74" i="42" s="1"/>
  <c r="S61" i="42"/>
  <c r="S74" i="42" s="1"/>
  <c r="R61" i="42"/>
  <c r="R74" i="42" s="1"/>
  <c r="Q61" i="42"/>
  <c r="Q74" i="42" s="1"/>
  <c r="P61" i="42"/>
  <c r="P74" i="42" s="1"/>
  <c r="O61" i="42"/>
  <c r="O74" i="42" s="1"/>
  <c r="N61" i="42"/>
  <c r="N74" i="42" s="1"/>
  <c r="M61" i="42"/>
  <c r="M74" i="42" s="1"/>
  <c r="L61" i="42"/>
  <c r="L74" i="42" s="1"/>
  <c r="K61" i="42"/>
  <c r="K74" i="42" s="1"/>
  <c r="J61" i="42"/>
  <c r="J74" i="42" s="1"/>
  <c r="I61" i="42"/>
  <c r="I74" i="42" s="1"/>
  <c r="H61" i="42"/>
  <c r="H74" i="42" s="1"/>
  <c r="G61" i="42"/>
  <c r="G74" i="42" s="1"/>
  <c r="F61" i="42"/>
  <c r="E61" i="42"/>
  <c r="E74" i="42" s="1"/>
  <c r="X57" i="42"/>
  <c r="W57" i="42"/>
  <c r="V57" i="42"/>
  <c r="U57" i="42"/>
  <c r="T57" i="42"/>
  <c r="S57" i="42"/>
  <c r="R57" i="42"/>
  <c r="Q57" i="42"/>
  <c r="P57" i="42"/>
  <c r="O57" i="42"/>
  <c r="N57" i="42"/>
  <c r="M57" i="42"/>
  <c r="L57" i="42"/>
  <c r="K57" i="42"/>
  <c r="J57" i="42"/>
  <c r="I57" i="42"/>
  <c r="H57" i="42"/>
  <c r="G57" i="42"/>
  <c r="F57" i="42"/>
  <c r="E57" i="42"/>
  <c r="X56" i="42"/>
  <c r="X58" i="42" s="1"/>
  <c r="W56" i="42"/>
  <c r="W58" i="42" s="1"/>
  <c r="V56" i="42"/>
  <c r="V58" i="42" s="1"/>
  <c r="U56" i="42"/>
  <c r="U58" i="42" s="1"/>
  <c r="T56" i="42"/>
  <c r="T58" i="42" s="1"/>
  <c r="S56" i="42"/>
  <c r="S58" i="42" s="1"/>
  <c r="R56" i="42"/>
  <c r="R58" i="42" s="1"/>
  <c r="Q56" i="42"/>
  <c r="Q58" i="42" s="1"/>
  <c r="P56" i="42"/>
  <c r="P58" i="42" s="1"/>
  <c r="O56" i="42"/>
  <c r="N56" i="42"/>
  <c r="N58" i="42" s="1"/>
  <c r="M56" i="42"/>
  <c r="M58" i="42" s="1"/>
  <c r="L56" i="42"/>
  <c r="L58" i="42" s="1"/>
  <c r="K56" i="42"/>
  <c r="K58" i="42" s="1"/>
  <c r="J56" i="42"/>
  <c r="J58" i="42" s="1"/>
  <c r="I56" i="42"/>
  <c r="I58" i="42" s="1"/>
  <c r="H56" i="42"/>
  <c r="G56" i="42"/>
  <c r="G58" i="42" s="1"/>
  <c r="F56" i="42"/>
  <c r="F58" i="42" s="1"/>
  <c r="E56" i="42"/>
  <c r="E58" i="42" s="1"/>
  <c r="X54" i="42"/>
  <c r="W54" i="42"/>
  <c r="V54" i="42"/>
  <c r="U54" i="42"/>
  <c r="T54" i="42"/>
  <c r="S54" i="42"/>
  <c r="R54" i="42"/>
  <c r="Q54" i="42"/>
  <c r="P54" i="42"/>
  <c r="O54" i="42"/>
  <c r="N54" i="42"/>
  <c r="M54" i="42"/>
  <c r="L54" i="42"/>
  <c r="K54" i="42"/>
  <c r="J54" i="42"/>
  <c r="I54" i="42"/>
  <c r="H54" i="42"/>
  <c r="G54" i="42"/>
  <c r="F54" i="42"/>
  <c r="E54" i="42"/>
  <c r="X53" i="42"/>
  <c r="X55" i="42" s="1"/>
  <c r="W53" i="42"/>
  <c r="W55" i="42" s="1"/>
  <c r="V53" i="42"/>
  <c r="V55" i="42" s="1"/>
  <c r="U53" i="42"/>
  <c r="U55" i="42" s="1"/>
  <c r="T53" i="42"/>
  <c r="T55" i="42" s="1"/>
  <c r="S53" i="42"/>
  <c r="S55" i="42" s="1"/>
  <c r="R53" i="42"/>
  <c r="R55" i="42" s="1"/>
  <c r="Q53" i="42"/>
  <c r="Q55" i="42" s="1"/>
  <c r="P53" i="42"/>
  <c r="P55" i="42" s="1"/>
  <c r="O53" i="42"/>
  <c r="O55" i="42" s="1"/>
  <c r="N53" i="42"/>
  <c r="N55" i="42" s="1"/>
  <c r="M53" i="42"/>
  <c r="M55" i="42" s="1"/>
  <c r="L53" i="42"/>
  <c r="L55" i="42" s="1"/>
  <c r="K53" i="42"/>
  <c r="K55" i="42" s="1"/>
  <c r="J53" i="42"/>
  <c r="J55" i="42" s="1"/>
  <c r="I53" i="42"/>
  <c r="I55" i="42" s="1"/>
  <c r="H53" i="42"/>
  <c r="G53" i="42"/>
  <c r="G55" i="42" s="1"/>
  <c r="F53" i="42"/>
  <c r="F55" i="42" s="1"/>
  <c r="E53" i="42"/>
  <c r="E55" i="42" s="1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X47" i="42"/>
  <c r="X49" i="42" s="1"/>
  <c r="W47" i="42"/>
  <c r="W49" i="42" s="1"/>
  <c r="V47" i="42"/>
  <c r="V49" i="42" s="1"/>
  <c r="U47" i="42"/>
  <c r="U49" i="42" s="1"/>
  <c r="T47" i="42"/>
  <c r="T49" i="42" s="1"/>
  <c r="S47" i="42"/>
  <c r="S49" i="42" s="1"/>
  <c r="R47" i="42"/>
  <c r="R49" i="42" s="1"/>
  <c r="Q47" i="42"/>
  <c r="Q49" i="42" s="1"/>
  <c r="P47" i="42"/>
  <c r="P49" i="42" s="1"/>
  <c r="O47" i="42"/>
  <c r="O49" i="42" s="1"/>
  <c r="N47" i="42"/>
  <c r="N49" i="42" s="1"/>
  <c r="M47" i="42"/>
  <c r="M49" i="42" s="1"/>
  <c r="L47" i="42"/>
  <c r="L49" i="42" s="1"/>
  <c r="K47" i="42"/>
  <c r="K49" i="42" s="1"/>
  <c r="J47" i="42"/>
  <c r="I47" i="42"/>
  <c r="I49" i="42" s="1"/>
  <c r="H47" i="42"/>
  <c r="H49" i="42" s="1"/>
  <c r="G47" i="42"/>
  <c r="G49" i="42" s="1"/>
  <c r="F47" i="42"/>
  <c r="E47" i="42"/>
  <c r="E49" i="42" s="1"/>
  <c r="E37" i="42"/>
  <c r="E36" i="42"/>
  <c r="E83" i="42" s="1"/>
  <c r="E34" i="42"/>
  <c r="F34" i="42" s="1"/>
  <c r="F73" i="42" s="1"/>
  <c r="C30" i="42"/>
  <c r="F27" i="42" s="1"/>
  <c r="G27" i="42" s="1"/>
  <c r="H27" i="42" s="1"/>
  <c r="I27" i="42" s="1"/>
  <c r="J27" i="42" s="1"/>
  <c r="K27" i="42" s="1"/>
  <c r="L27" i="42" s="1"/>
  <c r="M27" i="42" s="1"/>
  <c r="N27" i="42" s="1"/>
  <c r="O27" i="42" s="1"/>
  <c r="P27" i="42" s="1"/>
  <c r="Q27" i="42" s="1"/>
  <c r="R27" i="42" s="1"/>
  <c r="S27" i="42" s="1"/>
  <c r="T27" i="42" s="1"/>
  <c r="U27" i="42" s="1"/>
  <c r="V27" i="42" s="1"/>
  <c r="W27" i="42" s="1"/>
  <c r="X27" i="42" s="1"/>
  <c r="B30" i="42"/>
  <c r="C29" i="42"/>
  <c r="F26" i="42" s="1"/>
  <c r="B29" i="42"/>
  <c r="C28" i="42"/>
  <c r="F25" i="42" s="1"/>
  <c r="B28" i="42"/>
  <c r="E14" i="42"/>
  <c r="F14" i="42" s="1"/>
  <c r="D10" i="42"/>
  <c r="D8" i="42"/>
  <c r="M7" i="42"/>
  <c r="K7" i="42"/>
  <c r="M6" i="42"/>
  <c r="K6" i="42"/>
  <c r="D6" i="42"/>
  <c r="D5" i="42"/>
  <c r="M4" i="42"/>
  <c r="K4" i="42"/>
  <c r="D4" i="42"/>
  <c r="D3" i="42"/>
  <c r="D2" i="42"/>
  <c r="X47" i="41"/>
  <c r="W47" i="41"/>
  <c r="W72" i="41" s="1"/>
  <c r="V47" i="41"/>
  <c r="V72" i="41" s="1"/>
  <c r="U47" i="41"/>
  <c r="T47" i="41"/>
  <c r="S47" i="41"/>
  <c r="S72" i="41" s="1"/>
  <c r="R47" i="41"/>
  <c r="R72" i="41" s="1"/>
  <c r="Q47" i="41"/>
  <c r="Q72" i="41" s="1"/>
  <c r="P47" i="41"/>
  <c r="P72" i="41" s="1"/>
  <c r="O47" i="41"/>
  <c r="O72" i="41" s="1"/>
  <c r="N47" i="41"/>
  <c r="N72" i="41" s="1"/>
  <c r="M47" i="41"/>
  <c r="M72" i="41" s="1"/>
  <c r="L47" i="41"/>
  <c r="L72" i="41" s="1"/>
  <c r="K47" i="41"/>
  <c r="J47" i="41"/>
  <c r="J72" i="41" s="1"/>
  <c r="I47" i="41"/>
  <c r="I72" i="41" s="1"/>
  <c r="H47" i="41"/>
  <c r="G47" i="41"/>
  <c r="G72" i="41" s="1"/>
  <c r="F47" i="41"/>
  <c r="F72" i="41" s="1"/>
  <c r="E47" i="41"/>
  <c r="E72" i="41" s="1"/>
  <c r="X46" i="41"/>
  <c r="X67" i="41" s="1"/>
  <c r="W46" i="41"/>
  <c r="W67" i="41" s="1"/>
  <c r="V46" i="41"/>
  <c r="V67" i="41" s="1"/>
  <c r="U46" i="41"/>
  <c r="U67" i="41" s="1"/>
  <c r="T46" i="41"/>
  <c r="T67" i="41" s="1"/>
  <c r="S46" i="41"/>
  <c r="S67" i="41" s="1"/>
  <c r="R46" i="41"/>
  <c r="R67" i="41" s="1"/>
  <c r="Q46" i="41"/>
  <c r="P46" i="41"/>
  <c r="P67" i="41" s="1"/>
  <c r="O46" i="41"/>
  <c r="O67" i="41" s="1"/>
  <c r="N46" i="41"/>
  <c r="N67" i="41" s="1"/>
  <c r="M46" i="41"/>
  <c r="M67" i="41" s="1"/>
  <c r="L46" i="41"/>
  <c r="L67" i="41" s="1"/>
  <c r="K46" i="41"/>
  <c r="K67" i="41" s="1"/>
  <c r="J46" i="41"/>
  <c r="J67" i="41" s="1"/>
  <c r="I46" i="41"/>
  <c r="I67" i="41" s="1"/>
  <c r="H46" i="41"/>
  <c r="H67" i="41" s="1"/>
  <c r="G46" i="41"/>
  <c r="G67" i="41" s="1"/>
  <c r="F46" i="41"/>
  <c r="E46" i="41"/>
  <c r="X44" i="41"/>
  <c r="W44" i="41"/>
  <c r="W57" i="41" s="1"/>
  <c r="V44" i="41"/>
  <c r="V57" i="41" s="1"/>
  <c r="U44" i="41"/>
  <c r="T44" i="41"/>
  <c r="T57" i="41" s="1"/>
  <c r="S44" i="41"/>
  <c r="S57" i="41" s="1"/>
  <c r="R44" i="41"/>
  <c r="R57" i="41" s="1"/>
  <c r="Q44" i="41"/>
  <c r="Q57" i="41" s="1"/>
  <c r="P44" i="41"/>
  <c r="O44" i="41"/>
  <c r="O57" i="41" s="1"/>
  <c r="N44" i="41"/>
  <c r="N57" i="41" s="1"/>
  <c r="M44" i="41"/>
  <c r="L44" i="41"/>
  <c r="K44" i="41"/>
  <c r="K57" i="41" s="1"/>
  <c r="J44" i="41"/>
  <c r="I44" i="41"/>
  <c r="H44" i="41"/>
  <c r="G44" i="41"/>
  <c r="G57" i="41" s="1"/>
  <c r="F44" i="41"/>
  <c r="E44" i="41"/>
  <c r="E57" i="41" s="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X40" i="41"/>
  <c r="W40" i="41"/>
  <c r="V40" i="4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F40" i="41"/>
  <c r="E40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F38" i="41"/>
  <c r="E38" i="41"/>
  <c r="E33" i="41"/>
  <c r="E71" i="41" s="1"/>
  <c r="E32" i="41"/>
  <c r="E66" i="41" s="1"/>
  <c r="E30" i="41"/>
  <c r="E56" i="41" s="1"/>
  <c r="C26" i="41"/>
  <c r="B26" i="41"/>
  <c r="C25" i="41"/>
  <c r="B25" i="41"/>
  <c r="C24" i="41"/>
  <c r="B24" i="41"/>
  <c r="E14" i="41"/>
  <c r="F14" i="41" s="1"/>
  <c r="G14" i="41" s="1"/>
  <c r="H14" i="41" s="1"/>
  <c r="I14" i="41" s="1"/>
  <c r="J14" i="41" s="1"/>
  <c r="D10" i="41"/>
  <c r="K9" i="41"/>
  <c r="K8" i="41"/>
  <c r="D8" i="41"/>
  <c r="K6" i="41"/>
  <c r="D6" i="41"/>
  <c r="D5" i="41"/>
  <c r="D4" i="41"/>
  <c r="D3" i="41"/>
  <c r="D2" i="41"/>
  <c r="X65" i="39"/>
  <c r="X90" i="39" s="1"/>
  <c r="W65" i="39"/>
  <c r="W90" i="39" s="1"/>
  <c r="V65" i="39"/>
  <c r="V90" i="39" s="1"/>
  <c r="U65" i="39"/>
  <c r="U90" i="39" s="1"/>
  <c r="T65" i="39"/>
  <c r="T90" i="39" s="1"/>
  <c r="S65" i="39"/>
  <c r="S90" i="39" s="1"/>
  <c r="R65" i="39"/>
  <c r="R90" i="39" s="1"/>
  <c r="Q65" i="39"/>
  <c r="Q90" i="39" s="1"/>
  <c r="P65" i="39"/>
  <c r="P90" i="39" s="1"/>
  <c r="O65" i="39"/>
  <c r="O90" i="39" s="1"/>
  <c r="N65" i="39"/>
  <c r="N90" i="39" s="1"/>
  <c r="M65" i="39"/>
  <c r="M90" i="39" s="1"/>
  <c r="L65" i="39"/>
  <c r="L90" i="39" s="1"/>
  <c r="K65" i="39"/>
  <c r="K90" i="39" s="1"/>
  <c r="J65" i="39"/>
  <c r="J90" i="39" s="1"/>
  <c r="I65" i="39"/>
  <c r="I90" i="39" s="1"/>
  <c r="H65" i="39"/>
  <c r="H90" i="39" s="1"/>
  <c r="G65" i="39"/>
  <c r="G90" i="39" s="1"/>
  <c r="F65" i="39"/>
  <c r="E65" i="39"/>
  <c r="E90" i="39" s="1"/>
  <c r="X64" i="39"/>
  <c r="X85" i="39" s="1"/>
  <c r="W64" i="39"/>
  <c r="W85" i="39" s="1"/>
  <c r="V64" i="39"/>
  <c r="V85" i="39" s="1"/>
  <c r="U64" i="39"/>
  <c r="U85" i="39" s="1"/>
  <c r="T64" i="39"/>
  <c r="T85" i="39" s="1"/>
  <c r="S64" i="39"/>
  <c r="S85" i="39" s="1"/>
  <c r="R64" i="39"/>
  <c r="R85" i="39" s="1"/>
  <c r="Q64" i="39"/>
  <c r="Q85" i="39" s="1"/>
  <c r="P64" i="39"/>
  <c r="P85" i="39" s="1"/>
  <c r="O64" i="39"/>
  <c r="O85" i="39" s="1"/>
  <c r="N64" i="39"/>
  <c r="N85" i="39" s="1"/>
  <c r="M64" i="39"/>
  <c r="M85" i="39" s="1"/>
  <c r="L64" i="39"/>
  <c r="L85" i="39" s="1"/>
  <c r="K64" i="39"/>
  <c r="K85" i="39" s="1"/>
  <c r="J64" i="39"/>
  <c r="J85" i="39" s="1"/>
  <c r="I64" i="39"/>
  <c r="I85" i="39" s="1"/>
  <c r="H64" i="39"/>
  <c r="H85" i="39" s="1"/>
  <c r="G64" i="39"/>
  <c r="G85" i="39" s="1"/>
  <c r="F64" i="39"/>
  <c r="E64" i="39"/>
  <c r="E85" i="39" s="1"/>
  <c r="X62" i="39"/>
  <c r="X75" i="39" s="1"/>
  <c r="W62" i="39"/>
  <c r="W75" i="39" s="1"/>
  <c r="V62" i="39"/>
  <c r="V75" i="39" s="1"/>
  <c r="U62" i="39"/>
  <c r="U75" i="39" s="1"/>
  <c r="T62" i="39"/>
  <c r="T75" i="39" s="1"/>
  <c r="S62" i="39"/>
  <c r="S75" i="39" s="1"/>
  <c r="R62" i="39"/>
  <c r="R75" i="39" s="1"/>
  <c r="Q62" i="39"/>
  <c r="Q75" i="39" s="1"/>
  <c r="P62" i="39"/>
  <c r="P75" i="39" s="1"/>
  <c r="O62" i="39"/>
  <c r="O75" i="39" s="1"/>
  <c r="N62" i="39"/>
  <c r="N75" i="39" s="1"/>
  <c r="M62" i="39"/>
  <c r="M75" i="39" s="1"/>
  <c r="L62" i="39"/>
  <c r="L75" i="39" s="1"/>
  <c r="K62" i="39"/>
  <c r="K75" i="39" s="1"/>
  <c r="J62" i="39"/>
  <c r="J75" i="39" s="1"/>
  <c r="I62" i="39"/>
  <c r="I75" i="39" s="1"/>
  <c r="H62" i="39"/>
  <c r="H75" i="39" s="1"/>
  <c r="G62" i="39"/>
  <c r="G75" i="39" s="1"/>
  <c r="F62" i="39"/>
  <c r="E62" i="39"/>
  <c r="E75" i="39" s="1"/>
  <c r="X58" i="39"/>
  <c r="W58" i="39"/>
  <c r="V58" i="39"/>
  <c r="U58" i="39"/>
  <c r="T58" i="39"/>
  <c r="S58" i="39"/>
  <c r="R58" i="39"/>
  <c r="Q58" i="39"/>
  <c r="P58" i="39"/>
  <c r="O58" i="39"/>
  <c r="N58" i="39"/>
  <c r="M58" i="39"/>
  <c r="L58" i="39"/>
  <c r="K58" i="39"/>
  <c r="J58" i="39"/>
  <c r="I58" i="39"/>
  <c r="H58" i="39"/>
  <c r="G58" i="39"/>
  <c r="F58" i="39"/>
  <c r="E58" i="39"/>
  <c r="X57" i="39"/>
  <c r="X59" i="39" s="1"/>
  <c r="W57" i="39"/>
  <c r="W59" i="39" s="1"/>
  <c r="V57" i="39"/>
  <c r="U57" i="39"/>
  <c r="U59" i="39" s="1"/>
  <c r="T57" i="39"/>
  <c r="T59" i="39" s="1"/>
  <c r="S57" i="39"/>
  <c r="S59" i="39" s="1"/>
  <c r="R57" i="39"/>
  <c r="R59" i="39" s="1"/>
  <c r="Q57" i="39"/>
  <c r="P57" i="39"/>
  <c r="P59" i="39" s="1"/>
  <c r="O57" i="39"/>
  <c r="O59" i="39" s="1"/>
  <c r="N57" i="39"/>
  <c r="M57" i="39"/>
  <c r="M59" i="39" s="1"/>
  <c r="L57" i="39"/>
  <c r="K57" i="39"/>
  <c r="J57" i="39"/>
  <c r="I57" i="39"/>
  <c r="I59" i="39" s="1"/>
  <c r="H57" i="39"/>
  <c r="G57" i="39"/>
  <c r="G59" i="39" s="1"/>
  <c r="F57" i="39"/>
  <c r="F59" i="39" s="1"/>
  <c r="E57" i="39"/>
  <c r="E59" i="39" s="1"/>
  <c r="X55" i="39"/>
  <c r="W55" i="39"/>
  <c r="V55" i="39"/>
  <c r="U55" i="39"/>
  <c r="T55" i="39"/>
  <c r="S55" i="39"/>
  <c r="R55" i="39"/>
  <c r="Q55" i="39"/>
  <c r="P55" i="39"/>
  <c r="O55" i="39"/>
  <c r="N55" i="39"/>
  <c r="M55" i="39"/>
  <c r="L55" i="39"/>
  <c r="K55" i="39"/>
  <c r="J55" i="39"/>
  <c r="I55" i="39"/>
  <c r="H55" i="39"/>
  <c r="G55" i="39"/>
  <c r="F55" i="39"/>
  <c r="E55" i="39"/>
  <c r="X54" i="39"/>
  <c r="X56" i="39" s="1"/>
  <c r="W54" i="39"/>
  <c r="W56" i="39" s="1"/>
  <c r="V54" i="39"/>
  <c r="V56" i="39" s="1"/>
  <c r="U54" i="39"/>
  <c r="U56" i="39" s="1"/>
  <c r="T54" i="39"/>
  <c r="T56" i="39" s="1"/>
  <c r="S54" i="39"/>
  <c r="S56" i="39" s="1"/>
  <c r="R54" i="39"/>
  <c r="R56" i="39" s="1"/>
  <c r="Q54" i="39"/>
  <c r="Q56" i="39" s="1"/>
  <c r="P54" i="39"/>
  <c r="O54" i="39"/>
  <c r="N54" i="39"/>
  <c r="M54" i="39"/>
  <c r="L54" i="39"/>
  <c r="K54" i="39"/>
  <c r="J54" i="39"/>
  <c r="I54" i="39"/>
  <c r="H54" i="39"/>
  <c r="G54" i="39"/>
  <c r="F54" i="39"/>
  <c r="E54" i="39"/>
  <c r="X49" i="39"/>
  <c r="W49" i="39"/>
  <c r="V49" i="39"/>
  <c r="U49" i="39"/>
  <c r="T49" i="39"/>
  <c r="S49" i="39"/>
  <c r="R49" i="39"/>
  <c r="Q49" i="39"/>
  <c r="P49" i="39"/>
  <c r="O49" i="39"/>
  <c r="N49" i="39"/>
  <c r="M49" i="39"/>
  <c r="L49" i="39"/>
  <c r="K49" i="39"/>
  <c r="J49" i="39"/>
  <c r="I49" i="39"/>
  <c r="H49" i="39"/>
  <c r="G49" i="39"/>
  <c r="F49" i="39"/>
  <c r="E49" i="39"/>
  <c r="X48" i="39"/>
  <c r="X50" i="39" s="1"/>
  <c r="W48" i="39"/>
  <c r="W50" i="39" s="1"/>
  <c r="V48" i="39"/>
  <c r="V50" i="39" s="1"/>
  <c r="U48" i="39"/>
  <c r="T48" i="39"/>
  <c r="T50" i="39" s="1"/>
  <c r="S48" i="39"/>
  <c r="S50" i="39" s="1"/>
  <c r="R48" i="39"/>
  <c r="R50" i="39" s="1"/>
  <c r="Q48" i="39"/>
  <c r="P48" i="39"/>
  <c r="O48" i="39"/>
  <c r="O50" i="39" s="1"/>
  <c r="N48" i="39"/>
  <c r="N50" i="39" s="1"/>
  <c r="M48" i="39"/>
  <c r="L48" i="39"/>
  <c r="K48" i="39"/>
  <c r="K50" i="39" s="1"/>
  <c r="J48" i="39"/>
  <c r="J50" i="39" s="1"/>
  <c r="I48" i="39"/>
  <c r="H48" i="39"/>
  <c r="G48" i="39"/>
  <c r="G50" i="39" s="1"/>
  <c r="F48" i="39"/>
  <c r="E48" i="39"/>
  <c r="E38" i="39"/>
  <c r="F38" i="39" s="1"/>
  <c r="F89" i="39" s="1"/>
  <c r="E37" i="39"/>
  <c r="E84" i="39" s="1"/>
  <c r="E35" i="39"/>
  <c r="C31" i="39"/>
  <c r="F28" i="39" s="1"/>
  <c r="G28" i="39" s="1"/>
  <c r="H28" i="39" s="1"/>
  <c r="I28" i="39" s="1"/>
  <c r="J28" i="39" s="1"/>
  <c r="K28" i="39" s="1"/>
  <c r="L28" i="39" s="1"/>
  <c r="M28" i="39" s="1"/>
  <c r="N28" i="39" s="1"/>
  <c r="O28" i="39" s="1"/>
  <c r="P28" i="39" s="1"/>
  <c r="Q28" i="39" s="1"/>
  <c r="R28" i="39" s="1"/>
  <c r="S28" i="39" s="1"/>
  <c r="T28" i="39" s="1"/>
  <c r="U28" i="39" s="1"/>
  <c r="V28" i="39" s="1"/>
  <c r="W28" i="39" s="1"/>
  <c r="X28" i="39" s="1"/>
  <c r="B31" i="39"/>
  <c r="C30" i="39"/>
  <c r="F27" i="39" s="1"/>
  <c r="G27" i="39" s="1"/>
  <c r="H27" i="39" s="1"/>
  <c r="I27" i="39" s="1"/>
  <c r="J27" i="39" s="1"/>
  <c r="K27" i="39" s="1"/>
  <c r="L27" i="39" s="1"/>
  <c r="M27" i="39" s="1"/>
  <c r="N27" i="39" s="1"/>
  <c r="O27" i="39" s="1"/>
  <c r="P27" i="39" s="1"/>
  <c r="Q27" i="39" s="1"/>
  <c r="R27" i="39" s="1"/>
  <c r="S27" i="39" s="1"/>
  <c r="T27" i="39" s="1"/>
  <c r="U27" i="39" s="1"/>
  <c r="V27" i="39" s="1"/>
  <c r="W27" i="39" s="1"/>
  <c r="X27" i="39" s="1"/>
  <c r="B30" i="39"/>
  <c r="C29" i="39"/>
  <c r="F26" i="39" s="1"/>
  <c r="G26" i="39" s="1"/>
  <c r="H26" i="39" s="1"/>
  <c r="I26" i="39" s="1"/>
  <c r="J26" i="39" s="1"/>
  <c r="K26" i="39" s="1"/>
  <c r="L26" i="39" s="1"/>
  <c r="M26" i="39" s="1"/>
  <c r="N26" i="39" s="1"/>
  <c r="O26" i="39" s="1"/>
  <c r="P26" i="39" s="1"/>
  <c r="Q26" i="39" s="1"/>
  <c r="R26" i="39" s="1"/>
  <c r="S26" i="39" s="1"/>
  <c r="T26" i="39" s="1"/>
  <c r="U26" i="39" s="1"/>
  <c r="V26" i="39" s="1"/>
  <c r="W26" i="39" s="1"/>
  <c r="X26" i="39" s="1"/>
  <c r="B29" i="39"/>
  <c r="E14" i="39"/>
  <c r="F14" i="39" s="1"/>
  <c r="F41" i="39" s="1"/>
  <c r="D10" i="39"/>
  <c r="D8" i="39"/>
  <c r="M7" i="39"/>
  <c r="K7" i="39"/>
  <c r="M6" i="39"/>
  <c r="K6" i="39"/>
  <c r="D6" i="39"/>
  <c r="D5" i="39"/>
  <c r="M4" i="39"/>
  <c r="K4" i="39"/>
  <c r="D4" i="39"/>
  <c r="D3" i="39"/>
  <c r="D2" i="39"/>
  <c r="X58" i="38"/>
  <c r="W58" i="38"/>
  <c r="V58" i="38"/>
  <c r="U58" i="38"/>
  <c r="T58" i="38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X55" i="38"/>
  <c r="W55" i="38"/>
  <c r="V55" i="38"/>
  <c r="U55" i="38"/>
  <c r="T55" i="38"/>
  <c r="S55" i="38"/>
  <c r="R55" i="38"/>
  <c r="Q55" i="38"/>
  <c r="P55" i="38"/>
  <c r="O55" i="38"/>
  <c r="N55" i="38"/>
  <c r="M55" i="38"/>
  <c r="L55" i="38"/>
  <c r="K55" i="38"/>
  <c r="J55" i="38"/>
  <c r="I55" i="38"/>
  <c r="H55" i="38"/>
  <c r="G55" i="38"/>
  <c r="F55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X66" i="38"/>
  <c r="X91" i="38" s="1"/>
  <c r="W66" i="38"/>
  <c r="W91" i="38" s="1"/>
  <c r="V66" i="38"/>
  <c r="V91" i="38" s="1"/>
  <c r="U66" i="38"/>
  <c r="T66" i="38"/>
  <c r="T91" i="38" s="1"/>
  <c r="S66" i="38"/>
  <c r="S91" i="38" s="1"/>
  <c r="R66" i="38"/>
  <c r="R91" i="38" s="1"/>
  <c r="Q66" i="38"/>
  <c r="Q91" i="38" s="1"/>
  <c r="P66" i="38"/>
  <c r="P91" i="38" s="1"/>
  <c r="O66" i="38"/>
  <c r="O91" i="38" s="1"/>
  <c r="N66" i="38"/>
  <c r="N91" i="38" s="1"/>
  <c r="M66" i="38"/>
  <c r="L66" i="38"/>
  <c r="L91" i="38" s="1"/>
  <c r="K66" i="38"/>
  <c r="K91" i="38" s="1"/>
  <c r="J66" i="38"/>
  <c r="J91" i="38" s="1"/>
  <c r="I66" i="38"/>
  <c r="I91" i="38" s="1"/>
  <c r="H66" i="38"/>
  <c r="H91" i="38" s="1"/>
  <c r="G66" i="38"/>
  <c r="F66" i="38"/>
  <c r="F91" i="38" s="1"/>
  <c r="E66" i="38"/>
  <c r="X65" i="38"/>
  <c r="X86" i="38" s="1"/>
  <c r="W65" i="38"/>
  <c r="V65" i="38"/>
  <c r="V86" i="38" s="1"/>
  <c r="U65" i="38"/>
  <c r="U86" i="38" s="1"/>
  <c r="T65" i="38"/>
  <c r="T86" i="38" s="1"/>
  <c r="S65" i="38"/>
  <c r="S86" i="38" s="1"/>
  <c r="R65" i="38"/>
  <c r="R86" i="38" s="1"/>
  <c r="Q65" i="38"/>
  <c r="Q86" i="38" s="1"/>
  <c r="P65" i="38"/>
  <c r="P86" i="38" s="1"/>
  <c r="O65" i="38"/>
  <c r="N65" i="38"/>
  <c r="N86" i="38" s="1"/>
  <c r="M65" i="38"/>
  <c r="M86" i="38" s="1"/>
  <c r="L65" i="38"/>
  <c r="L86" i="38" s="1"/>
  <c r="K65" i="38"/>
  <c r="K86" i="38" s="1"/>
  <c r="J65" i="38"/>
  <c r="J86" i="38" s="1"/>
  <c r="I65" i="38"/>
  <c r="I86" i="38" s="1"/>
  <c r="H65" i="38"/>
  <c r="H86" i="38" s="1"/>
  <c r="G65" i="38"/>
  <c r="F65" i="38"/>
  <c r="F86" i="38" s="1"/>
  <c r="E65" i="38"/>
  <c r="E86" i="38" s="1"/>
  <c r="X63" i="38"/>
  <c r="X76" i="38" s="1"/>
  <c r="W63" i="38"/>
  <c r="W76" i="38" s="1"/>
  <c r="V63" i="38"/>
  <c r="V76" i="38" s="1"/>
  <c r="U63" i="38"/>
  <c r="U76" i="38" s="1"/>
  <c r="T63" i="38"/>
  <c r="T76" i="38" s="1"/>
  <c r="S63" i="38"/>
  <c r="S76" i="38" s="1"/>
  <c r="R63" i="38"/>
  <c r="R76" i="38" s="1"/>
  <c r="Q63" i="38"/>
  <c r="Q76" i="38" s="1"/>
  <c r="P63" i="38"/>
  <c r="O63" i="38"/>
  <c r="O76" i="38" s="1"/>
  <c r="N63" i="38"/>
  <c r="N76" i="38" s="1"/>
  <c r="M63" i="38"/>
  <c r="M76" i="38" s="1"/>
  <c r="L63" i="38"/>
  <c r="L76" i="38" s="1"/>
  <c r="K63" i="38"/>
  <c r="K76" i="38" s="1"/>
  <c r="J63" i="38"/>
  <c r="J76" i="38" s="1"/>
  <c r="I63" i="38"/>
  <c r="H63" i="38"/>
  <c r="H76" i="38" s="1"/>
  <c r="G63" i="38"/>
  <c r="G76" i="38" s="1"/>
  <c r="F63" i="38"/>
  <c r="F76" i="38" s="1"/>
  <c r="E63" i="38"/>
  <c r="X59" i="38"/>
  <c r="W59" i="38"/>
  <c r="V59" i="38"/>
  <c r="U59" i="38"/>
  <c r="T59" i="38"/>
  <c r="S59" i="38"/>
  <c r="R59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E59" i="38"/>
  <c r="E58" i="38"/>
  <c r="X56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E55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E49" i="38"/>
  <c r="E39" i="38"/>
  <c r="E38" i="38"/>
  <c r="E85" i="38" s="1"/>
  <c r="E36" i="38"/>
  <c r="E75" i="38" s="1"/>
  <c r="C32" i="38"/>
  <c r="F29" i="38" s="1"/>
  <c r="G29" i="38" s="1"/>
  <c r="H29" i="38" s="1"/>
  <c r="I29" i="38" s="1"/>
  <c r="J29" i="38" s="1"/>
  <c r="K29" i="38" s="1"/>
  <c r="L29" i="38" s="1"/>
  <c r="M29" i="38" s="1"/>
  <c r="N29" i="38" s="1"/>
  <c r="O29" i="38" s="1"/>
  <c r="P29" i="38" s="1"/>
  <c r="Q29" i="38" s="1"/>
  <c r="R29" i="38" s="1"/>
  <c r="S29" i="38" s="1"/>
  <c r="T29" i="38" s="1"/>
  <c r="U29" i="38" s="1"/>
  <c r="V29" i="38" s="1"/>
  <c r="W29" i="38" s="1"/>
  <c r="X29" i="38" s="1"/>
  <c r="B32" i="38"/>
  <c r="C31" i="38"/>
  <c r="F28" i="38" s="1"/>
  <c r="G28" i="38" s="1"/>
  <c r="B31" i="38"/>
  <c r="C30" i="38"/>
  <c r="F27" i="38" s="1"/>
  <c r="B30" i="38"/>
  <c r="E14" i="38"/>
  <c r="D10" i="38"/>
  <c r="D8" i="38"/>
  <c r="M7" i="38"/>
  <c r="K7" i="38"/>
  <c r="M6" i="38"/>
  <c r="K6" i="38"/>
  <c r="D6" i="38"/>
  <c r="D5" i="38"/>
  <c r="M4" i="38"/>
  <c r="K4" i="38"/>
  <c r="D4" i="38"/>
  <c r="D3" i="38"/>
  <c r="D2" i="38"/>
  <c r="E16" i="38"/>
  <c r="E18" i="38" s="1"/>
  <c r="H29" i="45"/>
  <c r="F14" i="38"/>
  <c r="F42" i="38" s="1"/>
  <c r="E16" i="39"/>
  <c r="E17" i="39" s="1"/>
  <c r="D11" i="38"/>
  <c r="E44" i="38" s="1"/>
  <c r="D11" i="41"/>
  <c r="E35" i="41" s="1"/>
  <c r="F35" i="41" s="1"/>
  <c r="G35" i="41" s="1"/>
  <c r="H35" i="41" s="1"/>
  <c r="I35" i="41" s="1"/>
  <c r="J35" i="41" s="1"/>
  <c r="K35" i="41" s="1"/>
  <c r="L35" i="41" s="1"/>
  <c r="M35" i="41" s="1"/>
  <c r="N35" i="41" s="1"/>
  <c r="O35" i="41" s="1"/>
  <c r="P35" i="41" s="1"/>
  <c r="Q35" i="41" s="1"/>
  <c r="R35" i="41" s="1"/>
  <c r="S35" i="41" s="1"/>
  <c r="T35" i="41" s="1"/>
  <c r="U35" i="41" s="1"/>
  <c r="V35" i="41" s="1"/>
  <c r="W35" i="41" s="1"/>
  <c r="X35" i="41" s="1"/>
  <c r="D11" i="42"/>
  <c r="E42" i="42" s="1"/>
  <c r="D11" i="39"/>
  <c r="E43" i="39" s="1"/>
  <c r="Q59" i="39"/>
  <c r="E88" i="42"/>
  <c r="O16" i="39"/>
  <c r="P16" i="39" s="1"/>
  <c r="G20" i="10"/>
  <c r="C65" i="1"/>
  <c r="C64" i="1"/>
  <c r="C63" i="1"/>
  <c r="C62" i="1"/>
  <c r="C61" i="1"/>
  <c r="C60" i="1"/>
  <c r="C59" i="1"/>
  <c r="C58" i="1"/>
  <c r="C57" i="1"/>
  <c r="C56" i="1"/>
  <c r="C55" i="1"/>
  <c r="H81" i="1"/>
  <c r="D43" i="3"/>
  <c r="F22" i="41"/>
  <c r="E43" i="8"/>
  <c r="E68" i="8" s="1"/>
  <c r="X43" i="8"/>
  <c r="X68" i="8" s="1"/>
  <c r="W43" i="8"/>
  <c r="W68" i="8" s="1"/>
  <c r="V43" i="8"/>
  <c r="V68" i="8" s="1"/>
  <c r="U43" i="8"/>
  <c r="U68" i="8" s="1"/>
  <c r="T43" i="8"/>
  <c r="T68" i="8" s="1"/>
  <c r="S43" i="8"/>
  <c r="S68" i="8" s="1"/>
  <c r="R43" i="8"/>
  <c r="R68" i="8" s="1"/>
  <c r="Q43" i="8"/>
  <c r="Q68" i="8" s="1"/>
  <c r="P43" i="8"/>
  <c r="P68" i="8" s="1"/>
  <c r="O43" i="8"/>
  <c r="O68" i="8" s="1"/>
  <c r="N43" i="8"/>
  <c r="N68" i="8" s="1"/>
  <c r="M43" i="8"/>
  <c r="M68" i="8" s="1"/>
  <c r="L43" i="8"/>
  <c r="L68" i="8" s="1"/>
  <c r="K43" i="8"/>
  <c r="K68" i="8" s="1"/>
  <c r="J43" i="8"/>
  <c r="J68" i="8" s="1"/>
  <c r="I43" i="8"/>
  <c r="I68" i="8" s="1"/>
  <c r="H43" i="8"/>
  <c r="H68" i="8" s="1"/>
  <c r="G43" i="8"/>
  <c r="G68" i="8" s="1"/>
  <c r="F43" i="8"/>
  <c r="X42" i="8"/>
  <c r="X63" i="8" s="1"/>
  <c r="W42" i="8"/>
  <c r="W63" i="8" s="1"/>
  <c r="V42" i="8"/>
  <c r="V63" i="8" s="1"/>
  <c r="U42" i="8"/>
  <c r="U63" i="8" s="1"/>
  <c r="T42" i="8"/>
  <c r="T63" i="8" s="1"/>
  <c r="S42" i="8"/>
  <c r="S63" i="8" s="1"/>
  <c r="R42" i="8"/>
  <c r="R63" i="8" s="1"/>
  <c r="Q42" i="8"/>
  <c r="Q63" i="8" s="1"/>
  <c r="P42" i="8"/>
  <c r="P63" i="8" s="1"/>
  <c r="O42" i="8"/>
  <c r="O63" i="8" s="1"/>
  <c r="N42" i="8"/>
  <c r="N63" i="8" s="1"/>
  <c r="M42" i="8"/>
  <c r="M63" i="8" s="1"/>
  <c r="L42" i="8"/>
  <c r="L63" i="8" s="1"/>
  <c r="K42" i="8"/>
  <c r="K63" i="8" s="1"/>
  <c r="J42" i="8"/>
  <c r="J63" i="8" s="1"/>
  <c r="I42" i="8"/>
  <c r="I63" i="8" s="1"/>
  <c r="H42" i="8"/>
  <c r="H63" i="8" s="1"/>
  <c r="G42" i="8"/>
  <c r="G63" i="8" s="1"/>
  <c r="F42" i="8"/>
  <c r="F63" i="8" s="1"/>
  <c r="E42" i="8"/>
  <c r="E37" i="8"/>
  <c r="F37" i="8" s="1"/>
  <c r="G37" i="8" s="1"/>
  <c r="H37" i="8" s="1"/>
  <c r="I37" i="8" s="1"/>
  <c r="J37" i="8" s="1"/>
  <c r="K37" i="8" s="1"/>
  <c r="L37" i="8" s="1"/>
  <c r="E36" i="8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G21" i="41"/>
  <c r="F21" i="41"/>
  <c r="F23" i="41"/>
  <c r="C31" i="8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C30" i="8"/>
  <c r="F24" i="8" s="1"/>
  <c r="G24" i="8" s="1"/>
  <c r="H24" i="8" s="1"/>
  <c r="I24" i="8" s="1"/>
  <c r="J24" i="8" s="1"/>
  <c r="K24" i="8" s="1"/>
  <c r="C29" i="8"/>
  <c r="F23" i="8" s="1"/>
  <c r="G23" i="8" s="1"/>
  <c r="H23" i="8" s="1"/>
  <c r="I23" i="8" s="1"/>
  <c r="B31" i="8"/>
  <c r="B30" i="8"/>
  <c r="B29" i="8"/>
  <c r="E18" i="8"/>
  <c r="F18" i="8" s="1"/>
  <c r="K7" i="8"/>
  <c r="K6" i="8"/>
  <c r="H21" i="41"/>
  <c r="G23" i="41"/>
  <c r="G22" i="41"/>
  <c r="H22" i="41"/>
  <c r="H23" i="41"/>
  <c r="H80" i="1"/>
  <c r="I21" i="41"/>
  <c r="I22" i="41"/>
  <c r="J21" i="41"/>
  <c r="I23" i="41"/>
  <c r="J23" i="41"/>
  <c r="J22" i="41"/>
  <c r="K21" i="41"/>
  <c r="F85" i="1"/>
  <c r="L21" i="41"/>
  <c r="K23" i="41"/>
  <c r="K22" i="41"/>
  <c r="B66" i="10"/>
  <c r="G59" i="10"/>
  <c r="G58" i="10"/>
  <c r="G57" i="10"/>
  <c r="L22" i="41"/>
  <c r="L23" i="41"/>
  <c r="M21" i="41"/>
  <c r="D9" i="8"/>
  <c r="E13" i="8" s="1"/>
  <c r="F13" i="8" s="1"/>
  <c r="N80" i="1"/>
  <c r="A8" i="10"/>
  <c r="N81" i="1"/>
  <c r="M23" i="41"/>
  <c r="N21" i="41"/>
  <c r="M22" i="41"/>
  <c r="N22" i="41"/>
  <c r="O21" i="41"/>
  <c r="N23" i="41"/>
  <c r="P21" i="41"/>
  <c r="O23" i="41"/>
  <c r="O22" i="41"/>
  <c r="P23" i="41"/>
  <c r="Q21" i="41"/>
  <c r="P22" i="41"/>
  <c r="R21" i="41"/>
  <c r="Q22" i="41"/>
  <c r="Q23" i="41"/>
  <c r="S21" i="41"/>
  <c r="R23" i="41"/>
  <c r="R22" i="41"/>
  <c r="T21" i="41"/>
  <c r="S23" i="41"/>
  <c r="S22" i="41"/>
  <c r="T23" i="41"/>
  <c r="U21" i="41"/>
  <c r="T22" i="41"/>
  <c r="V21" i="41"/>
  <c r="U22" i="41"/>
  <c r="U23" i="41"/>
  <c r="W21" i="41"/>
  <c r="V23" i="41"/>
  <c r="V22" i="41"/>
  <c r="W22" i="41"/>
  <c r="X21" i="41"/>
  <c r="W23" i="41"/>
  <c r="X23" i="41"/>
  <c r="X22" i="41"/>
  <c r="D3" i="8"/>
  <c r="O54" i="1"/>
  <c r="P54" i="1" s="1"/>
  <c r="Q54" i="1" s="1"/>
  <c r="O55" i="1"/>
  <c r="P55" i="1" s="1"/>
  <c r="Q55" i="1" s="1"/>
  <c r="O53" i="1"/>
  <c r="P53" i="1" s="1"/>
  <c r="Q53" i="1" s="1"/>
  <c r="I16" i="1"/>
  <c r="G29" i="19" s="1"/>
  <c r="C27" i="19"/>
  <c r="C26" i="19"/>
  <c r="C25" i="19"/>
  <c r="C24" i="19"/>
  <c r="A8" i="19"/>
  <c r="B43" i="19"/>
  <c r="F41" i="19"/>
  <c r="F40" i="19"/>
  <c r="F39" i="19"/>
  <c r="A13" i="19"/>
  <c r="A12" i="19"/>
  <c r="A9" i="3"/>
  <c r="A6" i="3"/>
  <c r="D5" i="8"/>
  <c r="D4" i="8"/>
  <c r="D7" i="8"/>
  <c r="D18" i="42"/>
  <c r="D23" i="42" s="1"/>
  <c r="D28" i="42" s="1"/>
  <c r="D16" i="41"/>
  <c r="E52" i="39"/>
  <c r="E51" i="42"/>
  <c r="E53" i="38"/>
  <c r="E35" i="8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X39" i="41"/>
  <c r="X45" i="41"/>
  <c r="X62" i="41" s="1"/>
  <c r="S39" i="41"/>
  <c r="S45" i="41"/>
  <c r="N39" i="41"/>
  <c r="N45" i="41"/>
  <c r="M39" i="41"/>
  <c r="M45" i="41"/>
  <c r="M62" i="41" s="1"/>
  <c r="E31" i="41"/>
  <c r="F31" i="41" s="1"/>
  <c r="G31" i="41" s="1"/>
  <c r="G61" i="41" s="1"/>
  <c r="E37" i="38"/>
  <c r="H39" i="41"/>
  <c r="H45" i="41"/>
  <c r="J39" i="41"/>
  <c r="J45" i="41"/>
  <c r="L39" i="41"/>
  <c r="L45" i="41"/>
  <c r="L62" i="41" s="1"/>
  <c r="P39" i="41"/>
  <c r="P45" i="41"/>
  <c r="E39" i="41"/>
  <c r="K39" i="41"/>
  <c r="K45" i="41"/>
  <c r="K62" i="41" s="1"/>
  <c r="E35" i="42"/>
  <c r="E78" i="42" s="1"/>
  <c r="W39" i="41"/>
  <c r="W45" i="41"/>
  <c r="W62" i="41" s="1"/>
  <c r="R39" i="41"/>
  <c r="R45" i="41"/>
  <c r="R62" i="41" s="1"/>
  <c r="I39" i="41"/>
  <c r="I45" i="41"/>
  <c r="V39" i="41"/>
  <c r="V45" i="41"/>
  <c r="V62" i="41" s="1"/>
  <c r="Q39" i="41"/>
  <c r="Q45" i="41"/>
  <c r="Q62" i="41" s="1"/>
  <c r="E36" i="39"/>
  <c r="F36" i="39" s="1"/>
  <c r="G36" i="39" s="1"/>
  <c r="G79" i="39" s="1"/>
  <c r="U39" i="41"/>
  <c r="U45" i="41"/>
  <c r="U62" i="41" s="1"/>
  <c r="G39" i="41"/>
  <c r="G45" i="41"/>
  <c r="O39" i="41"/>
  <c r="O45" i="41"/>
  <c r="T39" i="41"/>
  <c r="T45" i="41"/>
  <c r="T62" i="41" s="1"/>
  <c r="F39" i="41"/>
  <c r="F45" i="41"/>
  <c r="F51" i="42"/>
  <c r="F53" i="38"/>
  <c r="E34" i="8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E17" i="8"/>
  <c r="F17" i="8" s="1"/>
  <c r="G17" i="8" s="1"/>
  <c r="H17" i="8" s="1"/>
  <c r="E19" i="8"/>
  <c r="F19" i="8" s="1"/>
  <c r="G19" i="8" s="1"/>
  <c r="H19" i="8" s="1"/>
  <c r="E16" i="8"/>
  <c r="F16" i="8" s="1"/>
  <c r="G16" i="8" s="1"/>
  <c r="H16" i="8" s="1"/>
  <c r="F52" i="39"/>
  <c r="E45" i="41"/>
  <c r="E50" i="42"/>
  <c r="G51" i="42"/>
  <c r="G52" i="39"/>
  <c r="G53" i="38"/>
  <c r="E51" i="39"/>
  <c r="E52" i="38"/>
  <c r="F51" i="39"/>
  <c r="F63" i="39"/>
  <c r="F80" i="39" s="1"/>
  <c r="F50" i="42"/>
  <c r="F62" i="42"/>
  <c r="H52" i="39"/>
  <c r="H51" i="42"/>
  <c r="H53" i="38"/>
  <c r="F52" i="38"/>
  <c r="E62" i="42"/>
  <c r="E63" i="39"/>
  <c r="E80" i="39" s="1"/>
  <c r="I51" i="42"/>
  <c r="G50" i="42"/>
  <c r="G62" i="42"/>
  <c r="G79" i="42" s="1"/>
  <c r="I52" i="39"/>
  <c r="I53" i="38"/>
  <c r="G52" i="38"/>
  <c r="G51" i="39"/>
  <c r="H50" i="42"/>
  <c r="H62" i="42"/>
  <c r="J51" i="42"/>
  <c r="J53" i="38"/>
  <c r="J52" i="39"/>
  <c r="H52" i="38"/>
  <c r="I51" i="39"/>
  <c r="I63" i="39"/>
  <c r="I80" i="39" s="1"/>
  <c r="K51" i="42"/>
  <c r="I50" i="42"/>
  <c r="I62" i="42"/>
  <c r="K52" i="39"/>
  <c r="K53" i="38"/>
  <c r="G24" i="10"/>
  <c r="G23" i="10"/>
  <c r="G22" i="10"/>
  <c r="A14" i="10"/>
  <c r="A13" i="10"/>
  <c r="A12" i="10"/>
  <c r="G63" i="39"/>
  <c r="I52" i="38"/>
  <c r="H51" i="39"/>
  <c r="J51" i="39"/>
  <c r="J63" i="39"/>
  <c r="J80" i="39" s="1"/>
  <c r="J50" i="42"/>
  <c r="J62" i="42"/>
  <c r="J79" i="42" s="1"/>
  <c r="L52" i="39"/>
  <c r="L51" i="42"/>
  <c r="L53" i="38"/>
  <c r="B52" i="3"/>
  <c r="A8" i="3"/>
  <c r="G51" i="3"/>
  <c r="G50" i="3"/>
  <c r="G49" i="3"/>
  <c r="J52" i="38"/>
  <c r="K52" i="38"/>
  <c r="M51" i="42"/>
  <c r="M52" i="39"/>
  <c r="K50" i="42"/>
  <c r="K62" i="42"/>
  <c r="K79" i="42" s="1"/>
  <c r="M53" i="38"/>
  <c r="D2" i="8"/>
  <c r="D1" i="8"/>
  <c r="H63" i="39"/>
  <c r="K51" i="39"/>
  <c r="L51" i="39"/>
  <c r="L63" i="39"/>
  <c r="L80" i="39" s="1"/>
  <c r="L50" i="42"/>
  <c r="L62" i="42"/>
  <c r="L79" i="42" s="1"/>
  <c r="N52" i="39"/>
  <c r="N51" i="42"/>
  <c r="N53" i="38"/>
  <c r="M52" i="38"/>
  <c r="M50" i="42"/>
  <c r="M62" i="42"/>
  <c r="M79" i="42" s="1"/>
  <c r="O51" i="42"/>
  <c r="O52" i="39"/>
  <c r="O53" i="38"/>
  <c r="K63" i="39"/>
  <c r="K80" i="39" s="1"/>
  <c r="L52" i="38"/>
  <c r="M51" i="39"/>
  <c r="E64" i="38"/>
  <c r="E81" i="38" s="1"/>
  <c r="N50" i="42"/>
  <c r="N62" i="42"/>
  <c r="N79" i="42" s="1"/>
  <c r="P52" i="39"/>
  <c r="P51" i="42"/>
  <c r="P53" i="38"/>
  <c r="F64" i="38"/>
  <c r="Q51" i="42"/>
  <c r="O50" i="42"/>
  <c r="O62" i="42"/>
  <c r="O79" i="42" s="1"/>
  <c r="Q52" i="39"/>
  <c r="Q53" i="38"/>
  <c r="G64" i="38"/>
  <c r="E41" i="8"/>
  <c r="M63" i="39"/>
  <c r="M80" i="39" s="1"/>
  <c r="N52" i="38"/>
  <c r="N51" i="39"/>
  <c r="P51" i="39"/>
  <c r="P63" i="39"/>
  <c r="P80" i="39" s="1"/>
  <c r="P50" i="42"/>
  <c r="P62" i="42"/>
  <c r="R51" i="42"/>
  <c r="R53" i="38"/>
  <c r="E40" i="8"/>
  <c r="E53" i="8" s="1"/>
  <c r="F41" i="8"/>
  <c r="F58" i="8" s="1"/>
  <c r="H64" i="38"/>
  <c r="R52" i="39"/>
  <c r="O51" i="39"/>
  <c r="O63" i="39"/>
  <c r="O80" i="39" s="1"/>
  <c r="O52" i="38"/>
  <c r="P52" i="38"/>
  <c r="Q51" i="39"/>
  <c r="Q63" i="39"/>
  <c r="Q80" i="39" s="1"/>
  <c r="S51" i="42"/>
  <c r="Q50" i="42"/>
  <c r="Q62" i="42"/>
  <c r="I64" i="38"/>
  <c r="I81" i="38" s="1"/>
  <c r="S53" i="38"/>
  <c r="F40" i="8"/>
  <c r="G41" i="8"/>
  <c r="G58" i="8" s="1"/>
  <c r="S52" i="39"/>
  <c r="N63" i="39"/>
  <c r="N80" i="39" s="1"/>
  <c r="Q52" i="38"/>
  <c r="R50" i="42"/>
  <c r="R62" i="42"/>
  <c r="R79" i="42" s="1"/>
  <c r="T51" i="42"/>
  <c r="J64" i="38"/>
  <c r="J81" i="38" s="1"/>
  <c r="T53" i="38"/>
  <c r="G40" i="8"/>
  <c r="G53" i="8" s="1"/>
  <c r="H41" i="8"/>
  <c r="H58" i="8" s="1"/>
  <c r="T52" i="39"/>
  <c r="R51" i="39"/>
  <c r="R63" i="39"/>
  <c r="R80" i="39" s="1"/>
  <c r="R52" i="38"/>
  <c r="U51" i="42"/>
  <c r="S50" i="42"/>
  <c r="S62" i="42"/>
  <c r="S79" i="42" s="1"/>
  <c r="K64" i="38"/>
  <c r="U53" i="38"/>
  <c r="H40" i="8"/>
  <c r="H53" i="8" s="1"/>
  <c r="I41" i="8"/>
  <c r="I58" i="8" s="1"/>
  <c r="U52" i="39"/>
  <c r="S52" i="38"/>
  <c r="T52" i="38"/>
  <c r="T54" i="38" s="1"/>
  <c r="T50" i="42"/>
  <c r="T62" i="42"/>
  <c r="T79" i="42" s="1"/>
  <c r="V51" i="42"/>
  <c r="L64" i="38"/>
  <c r="V53" i="38"/>
  <c r="I40" i="8"/>
  <c r="I53" i="8" s="1"/>
  <c r="J41" i="8"/>
  <c r="J58" i="8" s="1"/>
  <c r="V52" i="39"/>
  <c r="U52" i="38"/>
  <c r="S51" i="39"/>
  <c r="S63" i="39"/>
  <c r="S80" i="39" s="1"/>
  <c r="W51" i="42"/>
  <c r="W52" i="39"/>
  <c r="U50" i="42"/>
  <c r="U62" i="42"/>
  <c r="M64" i="38"/>
  <c r="W53" i="38"/>
  <c r="J40" i="8"/>
  <c r="J53" i="8" s="1"/>
  <c r="K41" i="8"/>
  <c r="K58" i="8" s="1"/>
  <c r="X51" i="42"/>
  <c r="X52" i="39"/>
  <c r="T51" i="39"/>
  <c r="T63" i="39"/>
  <c r="T80" i="39" s="1"/>
  <c r="U51" i="39"/>
  <c r="U63" i="39"/>
  <c r="U80" i="39" s="1"/>
  <c r="V50" i="42"/>
  <c r="V62" i="42"/>
  <c r="V79" i="42" s="1"/>
  <c r="N64" i="38"/>
  <c r="N81" i="38" s="1"/>
  <c r="K40" i="8"/>
  <c r="K53" i="8" s="1"/>
  <c r="L41" i="8"/>
  <c r="L58" i="8" s="1"/>
  <c r="X53" i="38"/>
  <c r="X50" i="42"/>
  <c r="V52" i="38"/>
  <c r="V54" i="38" s="1"/>
  <c r="W50" i="42"/>
  <c r="W62" i="42"/>
  <c r="W79" i="42" s="1"/>
  <c r="O64" i="38"/>
  <c r="O81" i="38" s="1"/>
  <c r="L40" i="8"/>
  <c r="L53" i="8" s="1"/>
  <c r="M41" i="8"/>
  <c r="M58" i="8" s="1"/>
  <c r="X52" i="38"/>
  <c r="V51" i="39"/>
  <c r="V63" i="39"/>
  <c r="V80" i="39" s="1"/>
  <c r="W52" i="38"/>
  <c r="P64" i="38"/>
  <c r="M40" i="8"/>
  <c r="M53" i="8" s="1"/>
  <c r="N41" i="8"/>
  <c r="N58" i="8" s="1"/>
  <c r="X62" i="42"/>
  <c r="X79" i="42" s="1"/>
  <c r="X51" i="39"/>
  <c r="W51" i="39"/>
  <c r="W63" i="39"/>
  <c r="W80" i="39" s="1"/>
  <c r="K7" i="41"/>
  <c r="Q64" i="38"/>
  <c r="N40" i="8"/>
  <c r="N53" i="8" s="1"/>
  <c r="O41" i="8"/>
  <c r="O58" i="8" s="1"/>
  <c r="R64" i="38"/>
  <c r="R81" i="38" s="1"/>
  <c r="O40" i="8"/>
  <c r="O53" i="8" s="1"/>
  <c r="P41" i="8"/>
  <c r="P58" i="8" s="1"/>
  <c r="X63" i="39"/>
  <c r="X80" i="39" s="1"/>
  <c r="S64" i="38"/>
  <c r="P40" i="8"/>
  <c r="P53" i="8" s="1"/>
  <c r="Q41" i="8"/>
  <c r="K5" i="42"/>
  <c r="M5" i="42"/>
  <c r="T64" i="38"/>
  <c r="T81" i="38" s="1"/>
  <c r="Q40" i="8"/>
  <c r="Q53" i="8" s="1"/>
  <c r="R41" i="8"/>
  <c r="R58" i="8" s="1"/>
  <c r="U64" i="38"/>
  <c r="U81" i="38" s="1"/>
  <c r="R40" i="8"/>
  <c r="R53" i="8" s="1"/>
  <c r="S41" i="8"/>
  <c r="S58" i="8" s="1"/>
  <c r="K5" i="39"/>
  <c r="M5" i="39"/>
  <c r="V64" i="38"/>
  <c r="V81" i="38" s="1"/>
  <c r="S40" i="8"/>
  <c r="S53" i="8" s="1"/>
  <c r="T41" i="8"/>
  <c r="T58" i="8" s="1"/>
  <c r="W64" i="38"/>
  <c r="T40" i="8"/>
  <c r="T53" i="8" s="1"/>
  <c r="U41" i="8"/>
  <c r="X64" i="38"/>
  <c r="X81" i="38" s="1"/>
  <c r="U40" i="8"/>
  <c r="U53" i="8" s="1"/>
  <c r="V41" i="8"/>
  <c r="V58" i="8" s="1"/>
  <c r="V40" i="8"/>
  <c r="V53" i="8" s="1"/>
  <c r="W41" i="8"/>
  <c r="W58" i="8" s="1"/>
  <c r="W40" i="8"/>
  <c r="W53" i="8" s="1"/>
  <c r="X41" i="8"/>
  <c r="X58" i="8" s="1"/>
  <c r="K5" i="38"/>
  <c r="M5" i="38"/>
  <c r="X40" i="8"/>
  <c r="X53" i="8" s="1"/>
  <c r="E66" i="1"/>
  <c r="Q58" i="8"/>
  <c r="K5" i="8"/>
  <c r="K8" i="8"/>
  <c r="E79" i="39" l="1"/>
  <c r="F32" i="41"/>
  <c r="F66" i="41" s="1"/>
  <c r="F61" i="41"/>
  <c r="F40" i="42"/>
  <c r="J49" i="42"/>
  <c r="E81" i="39"/>
  <c r="E61" i="41"/>
  <c r="N82" i="1"/>
  <c r="N77" i="1" s="1"/>
  <c r="E72" i="39"/>
  <c r="E73" i="39" s="1"/>
  <c r="F36" i="38"/>
  <c r="E86" i="39"/>
  <c r="J62" i="1"/>
  <c r="J66" i="1" s="1"/>
  <c r="V59" i="39"/>
  <c r="E41" i="39"/>
  <c r="E54" i="38"/>
  <c r="G57" i="8"/>
  <c r="G59" i="8" s="1"/>
  <c r="E89" i="39"/>
  <c r="E91" i="39" s="1"/>
  <c r="G38" i="39"/>
  <c r="H38" i="39" s="1"/>
  <c r="I38" i="39" s="1"/>
  <c r="I87" i="39" s="1"/>
  <c r="I88" i="39" s="1"/>
  <c r="F33" i="41"/>
  <c r="G33" i="41" s="1"/>
  <c r="G71" i="41" s="1"/>
  <c r="G73" i="41" s="1"/>
  <c r="E87" i="39"/>
  <c r="E88" i="39" s="1"/>
  <c r="N54" i="38"/>
  <c r="H53" i="39"/>
  <c r="P54" i="38"/>
  <c r="Q54" i="38"/>
  <c r="P52" i="42"/>
  <c r="E71" i="42"/>
  <c r="E72" i="42" s="1"/>
  <c r="S53" i="39"/>
  <c r="E85" i="42"/>
  <c r="F38" i="38"/>
  <c r="F85" i="38" s="1"/>
  <c r="F87" i="38" s="1"/>
  <c r="F35" i="39"/>
  <c r="F74" i="39" s="1"/>
  <c r="E73" i="42"/>
  <c r="E75" i="42" s="1"/>
  <c r="F57" i="8"/>
  <c r="F59" i="8" s="1"/>
  <c r="E57" i="8"/>
  <c r="E55" i="8"/>
  <c r="E56" i="8" s="1"/>
  <c r="F44" i="38"/>
  <c r="G44" i="38" s="1"/>
  <c r="H44" i="38" s="1"/>
  <c r="I44" i="38" s="1"/>
  <c r="J44" i="38" s="1"/>
  <c r="K44" i="38" s="1"/>
  <c r="L44" i="38" s="1"/>
  <c r="M44" i="38" s="1"/>
  <c r="N44" i="38" s="1"/>
  <c r="O44" i="38" s="1"/>
  <c r="P44" i="38" s="1"/>
  <c r="Q44" i="38" s="1"/>
  <c r="R44" i="38" s="1"/>
  <c r="S44" i="38" s="1"/>
  <c r="T44" i="38" s="1"/>
  <c r="U44" i="38" s="1"/>
  <c r="V44" i="38" s="1"/>
  <c r="W44" i="38" s="1"/>
  <c r="X44" i="38" s="1"/>
  <c r="M53" i="39"/>
  <c r="J52" i="42"/>
  <c r="E38" i="42"/>
  <c r="E76" i="42"/>
  <c r="E77" i="42" s="1"/>
  <c r="F79" i="39"/>
  <c r="F81" i="39" s="1"/>
  <c r="E67" i="8"/>
  <c r="E69" i="8" s="1"/>
  <c r="F55" i="8"/>
  <c r="F56" i="8" s="1"/>
  <c r="F67" i="8"/>
  <c r="E62" i="8"/>
  <c r="E52" i="8"/>
  <c r="E54" i="8" s="1"/>
  <c r="G77" i="39"/>
  <c r="G78" i="39" s="1"/>
  <c r="H36" i="39"/>
  <c r="H77" i="39" s="1"/>
  <c r="H78" i="39" s="1"/>
  <c r="F35" i="42"/>
  <c r="G35" i="42" s="1"/>
  <c r="H35" i="42" s="1"/>
  <c r="H76" i="42" s="1"/>
  <c r="E58" i="8"/>
  <c r="G34" i="42"/>
  <c r="H34" i="42" s="1"/>
  <c r="H71" i="42" s="1"/>
  <c r="H72" i="42" s="1"/>
  <c r="E88" i="38"/>
  <c r="E89" i="38" s="1"/>
  <c r="S54" i="38"/>
  <c r="O53" i="39"/>
  <c r="E90" i="42"/>
  <c r="E65" i="8"/>
  <c r="E66" i="8" s="1"/>
  <c r="G65" i="8"/>
  <c r="G66" i="8" s="1"/>
  <c r="G67" i="8"/>
  <c r="G69" i="8" s="1"/>
  <c r="H31" i="41"/>
  <c r="H61" i="41" s="1"/>
  <c r="U52" i="42"/>
  <c r="G52" i="42"/>
  <c r="F52" i="42"/>
  <c r="E53" i="39"/>
  <c r="O58" i="42"/>
  <c r="E56" i="39"/>
  <c r="W53" i="39"/>
  <c r="S52" i="42"/>
  <c r="R52" i="42"/>
  <c r="N52" i="42"/>
  <c r="F53" i="39"/>
  <c r="E52" i="42"/>
  <c r="E51" i="38"/>
  <c r="O54" i="38"/>
  <c r="G32" i="41"/>
  <c r="H32" i="41" s="1"/>
  <c r="H64" i="41" s="1"/>
  <c r="H65" i="41" s="1"/>
  <c r="W57" i="38"/>
  <c r="J56" i="39"/>
  <c r="E73" i="41"/>
  <c r="U53" i="39"/>
  <c r="V53" i="39"/>
  <c r="R53" i="39"/>
  <c r="E87" i="38"/>
  <c r="E69" i="41"/>
  <c r="E70" i="41" s="1"/>
  <c r="Y49" i="39"/>
  <c r="N59" i="39"/>
  <c r="E60" i="38"/>
  <c r="I56" i="39"/>
  <c r="M56" i="39"/>
  <c r="Y57" i="42"/>
  <c r="K53" i="39"/>
  <c r="Q50" i="39"/>
  <c r="E50" i="8"/>
  <c r="E51" i="8" s="1"/>
  <c r="F50" i="8"/>
  <c r="F51" i="8" s="1"/>
  <c r="E78" i="38"/>
  <c r="E79" i="38" s="1"/>
  <c r="J53" i="39"/>
  <c r="F77" i="39"/>
  <c r="F78" i="39" s="1"/>
  <c r="F16" i="39"/>
  <c r="O16" i="38"/>
  <c r="F16" i="38"/>
  <c r="G16" i="38" s="1"/>
  <c r="G18" i="38" s="1"/>
  <c r="E91" i="38"/>
  <c r="P56" i="39"/>
  <c r="Y55" i="39"/>
  <c r="K56" i="39"/>
  <c r="G52" i="8"/>
  <c r="G54" i="8" s="1"/>
  <c r="F52" i="8"/>
  <c r="T53" i="39"/>
  <c r="G50" i="8"/>
  <c r="G51" i="8" s="1"/>
  <c r="O17" i="39"/>
  <c r="L60" i="38"/>
  <c r="F56" i="39"/>
  <c r="H56" i="39"/>
  <c r="Y58" i="39"/>
  <c r="G55" i="8"/>
  <c r="G56" i="8" s="1"/>
  <c r="Y34" i="8"/>
  <c r="N53" i="39"/>
  <c r="Y53" i="38"/>
  <c r="E57" i="38"/>
  <c r="N56" i="39"/>
  <c r="H59" i="39"/>
  <c r="Y48" i="42"/>
  <c r="E17" i="41"/>
  <c r="E19" i="41" s="1"/>
  <c r="E26" i="41" s="1"/>
  <c r="D19" i="41"/>
  <c r="G36" i="38"/>
  <c r="G73" i="38" s="1"/>
  <c r="G74" i="38" s="1"/>
  <c r="F75" i="38"/>
  <c r="F77" i="38" s="1"/>
  <c r="U50" i="39"/>
  <c r="F53" i="8"/>
  <c r="Y53" i="8" s="1"/>
  <c r="Y51" i="39"/>
  <c r="G80" i="39"/>
  <c r="G81" i="39" s="1"/>
  <c r="F43" i="39"/>
  <c r="G43" i="39" s="1"/>
  <c r="H43" i="39" s="1"/>
  <c r="I43" i="39" s="1"/>
  <c r="J43" i="39" s="1"/>
  <c r="K43" i="39" s="1"/>
  <c r="L43" i="39" s="1"/>
  <c r="M43" i="39" s="1"/>
  <c r="N43" i="39" s="1"/>
  <c r="O43" i="39" s="1"/>
  <c r="P43" i="39" s="1"/>
  <c r="Q43" i="39" s="1"/>
  <c r="R43" i="39" s="1"/>
  <c r="S43" i="39" s="1"/>
  <c r="T43" i="39" s="1"/>
  <c r="U43" i="39" s="1"/>
  <c r="V43" i="39" s="1"/>
  <c r="W43" i="39" s="1"/>
  <c r="X43" i="39" s="1"/>
  <c r="D19" i="39"/>
  <c r="E20" i="39" s="1"/>
  <c r="D20" i="38"/>
  <c r="F21" i="38" s="1"/>
  <c r="X54" i="38"/>
  <c r="X53" i="39"/>
  <c r="U54" i="38"/>
  <c r="T52" i="42"/>
  <c r="M54" i="38"/>
  <c r="K54" i="38"/>
  <c r="G53" i="39"/>
  <c r="H17" i="41"/>
  <c r="H19" i="41" s="1"/>
  <c r="H24" i="41" s="1"/>
  <c r="H27" i="41" s="1"/>
  <c r="H37" i="41" s="1"/>
  <c r="H43" i="41" s="1"/>
  <c r="H52" i="41" s="1"/>
  <c r="E19" i="42"/>
  <c r="H1" i="42"/>
  <c r="H1" i="38"/>
  <c r="E74" i="39"/>
  <c r="E76" i="39" s="1"/>
  <c r="E58" i="41"/>
  <c r="E42" i="38"/>
  <c r="E41" i="38"/>
  <c r="F37" i="39"/>
  <c r="F82" i="39" s="1"/>
  <c r="E82" i="39"/>
  <c r="E83" i="39" s="1"/>
  <c r="E40" i="42"/>
  <c r="E39" i="42"/>
  <c r="F36" i="42"/>
  <c r="F83" i="42" s="1"/>
  <c r="E81" i="42"/>
  <c r="E82" i="42" s="1"/>
  <c r="A10" i="3"/>
  <c r="A14" i="19"/>
  <c r="V52" i="42"/>
  <c r="Y52" i="39"/>
  <c r="F19" i="42"/>
  <c r="G14" i="42"/>
  <c r="E39" i="39"/>
  <c r="F50" i="39"/>
  <c r="Y48" i="39"/>
  <c r="Q53" i="39"/>
  <c r="F17" i="41"/>
  <c r="F19" i="41" s="1"/>
  <c r="F24" i="41" s="1"/>
  <c r="F27" i="41" s="1"/>
  <c r="F37" i="41" s="1"/>
  <c r="F43" i="41" s="1"/>
  <c r="C27" i="8"/>
  <c r="F27" i="8" s="1"/>
  <c r="F31" i="8" s="1"/>
  <c r="Y35" i="41"/>
  <c r="P17" i="39"/>
  <c r="Q16" i="39"/>
  <c r="E83" i="38"/>
  <c r="E84" i="38" s="1"/>
  <c r="F42" i="42"/>
  <c r="G42" i="42" s="1"/>
  <c r="H42" i="42" s="1"/>
  <c r="I42" i="42" s="1"/>
  <c r="J42" i="42" s="1"/>
  <c r="K42" i="42" s="1"/>
  <c r="L42" i="42" s="1"/>
  <c r="M42" i="42" s="1"/>
  <c r="N42" i="42" s="1"/>
  <c r="O42" i="42" s="1"/>
  <c r="P42" i="42" s="1"/>
  <c r="Q42" i="42" s="1"/>
  <c r="R42" i="42" s="1"/>
  <c r="S42" i="42" s="1"/>
  <c r="T42" i="42" s="1"/>
  <c r="U42" i="42" s="1"/>
  <c r="V42" i="42" s="1"/>
  <c r="W42" i="42" s="1"/>
  <c r="X42" i="42" s="1"/>
  <c r="G56" i="39"/>
  <c r="K14" i="41"/>
  <c r="L14" i="41" s="1"/>
  <c r="J17" i="41"/>
  <c r="J19" i="41" s="1"/>
  <c r="J24" i="41" s="1"/>
  <c r="J27" i="41" s="1"/>
  <c r="J37" i="41" s="1"/>
  <c r="J43" i="41" s="1"/>
  <c r="J52" i="41" s="1"/>
  <c r="F30" i="41"/>
  <c r="F54" i="41" s="1"/>
  <c r="F55" i="41" s="1"/>
  <c r="E54" i="41"/>
  <c r="E55" i="41" s="1"/>
  <c r="F37" i="42"/>
  <c r="F86" i="42" s="1"/>
  <c r="F87" i="42" s="1"/>
  <c r="E86" i="42"/>
  <c r="E87" i="42" s="1"/>
  <c r="O52" i="42"/>
  <c r="L52" i="42"/>
  <c r="J54" i="38"/>
  <c r="L53" i="39"/>
  <c r="I53" i="39"/>
  <c r="Y51" i="42"/>
  <c r="H57" i="38"/>
  <c r="L57" i="38"/>
  <c r="P57" i="38"/>
  <c r="T57" i="38"/>
  <c r="X57" i="38"/>
  <c r="H50" i="39"/>
  <c r="L50" i="39"/>
  <c r="P50" i="39"/>
  <c r="J59" i="39"/>
  <c r="K52" i="42"/>
  <c r="I54" i="38"/>
  <c r="I52" i="42"/>
  <c r="H54" i="38"/>
  <c r="G54" i="38"/>
  <c r="I57" i="38"/>
  <c r="M57" i="38"/>
  <c r="Q57" i="38"/>
  <c r="U57" i="38"/>
  <c r="E40" i="39"/>
  <c r="O56" i="39"/>
  <c r="P52" i="1"/>
  <c r="Q52" i="1" s="1"/>
  <c r="F85" i="39"/>
  <c r="Y64" i="39"/>
  <c r="R54" i="38"/>
  <c r="Q52" i="42"/>
  <c r="P53" i="39"/>
  <c r="E79" i="42"/>
  <c r="E80" i="42" s="1"/>
  <c r="F37" i="38"/>
  <c r="F78" i="38" s="1"/>
  <c r="F79" i="38" s="1"/>
  <c r="E80" i="38"/>
  <c r="L59" i="39"/>
  <c r="Y57" i="39"/>
  <c r="W54" i="38"/>
  <c r="X52" i="42"/>
  <c r="E62" i="41"/>
  <c r="E63" i="41" s="1"/>
  <c r="E59" i="41"/>
  <c r="E60" i="41" s="1"/>
  <c r="H25" i="41"/>
  <c r="Y56" i="38"/>
  <c r="L56" i="39"/>
  <c r="Y54" i="39"/>
  <c r="F75" i="39"/>
  <c r="Y75" i="39" s="1"/>
  <c r="Y62" i="39"/>
  <c r="F90" i="39"/>
  <c r="Y65" i="39"/>
  <c r="F87" i="39"/>
  <c r="E67" i="41"/>
  <c r="E68" i="41" s="1"/>
  <c r="E64" i="41"/>
  <c r="E65" i="41" s="1"/>
  <c r="Y54" i="42"/>
  <c r="Y40" i="8"/>
  <c r="Y63" i="39"/>
  <c r="W52" i="42"/>
  <c r="H80" i="39"/>
  <c r="E77" i="39"/>
  <c r="F54" i="38"/>
  <c r="D7" i="38"/>
  <c r="D7" i="39"/>
  <c r="L54" i="38"/>
  <c r="M52" i="42"/>
  <c r="D29" i="42"/>
  <c r="D30" i="42"/>
  <c r="H52" i="42"/>
  <c r="G13" i="8"/>
  <c r="G59" i="41"/>
  <c r="G60" i="41" s="1"/>
  <c r="I17" i="41"/>
  <c r="I19" i="41" s="1"/>
  <c r="I24" i="41" s="1"/>
  <c r="I27" i="41" s="1"/>
  <c r="I37" i="41" s="1"/>
  <c r="I43" i="41" s="1"/>
  <c r="I52" i="41" s="1"/>
  <c r="G17" i="41"/>
  <c r="G19" i="41" s="1"/>
  <c r="G24" i="41" s="1"/>
  <c r="G27" i="41" s="1"/>
  <c r="G37" i="41" s="1"/>
  <c r="G43" i="41" s="1"/>
  <c r="G52" i="41" s="1"/>
  <c r="H89" i="39"/>
  <c r="Y42" i="8"/>
  <c r="Y50" i="38"/>
  <c r="E76" i="38"/>
  <c r="E77" i="38" s="1"/>
  <c r="E73" i="38"/>
  <c r="E74" i="38" s="1"/>
  <c r="F40" i="39"/>
  <c r="F39" i="39"/>
  <c r="G14" i="39"/>
  <c r="G14" i="38"/>
  <c r="G41" i="38" s="1"/>
  <c r="E40" i="38"/>
  <c r="E90" i="38"/>
  <c r="F39" i="38"/>
  <c r="Y59" i="38"/>
  <c r="G51" i="38"/>
  <c r="K51" i="38"/>
  <c r="O51" i="38"/>
  <c r="S51" i="38"/>
  <c r="W51" i="38"/>
  <c r="I60" i="38"/>
  <c r="M60" i="38"/>
  <c r="Q60" i="38"/>
  <c r="U60" i="38"/>
  <c r="H51" i="38"/>
  <c r="L51" i="38"/>
  <c r="P51" i="38"/>
  <c r="T51" i="38"/>
  <c r="X51" i="38"/>
  <c r="F60" i="38"/>
  <c r="J60" i="38"/>
  <c r="N60" i="38"/>
  <c r="R60" i="38"/>
  <c r="V60" i="38"/>
  <c r="I51" i="38"/>
  <c r="M51" i="38"/>
  <c r="Q51" i="38"/>
  <c r="U51" i="38"/>
  <c r="F57" i="38"/>
  <c r="J57" i="38"/>
  <c r="N57" i="38"/>
  <c r="R57" i="38"/>
  <c r="V57" i="38"/>
  <c r="G60" i="38"/>
  <c r="K60" i="38"/>
  <c r="O60" i="38"/>
  <c r="S60" i="38"/>
  <c r="W60" i="38"/>
  <c r="E50" i="39"/>
  <c r="I50" i="39"/>
  <c r="M50" i="39"/>
  <c r="J51" i="38"/>
  <c r="N51" i="38"/>
  <c r="R51" i="38"/>
  <c r="V51" i="38"/>
  <c r="K57" i="38"/>
  <c r="O57" i="38"/>
  <c r="S57" i="38"/>
  <c r="P60" i="38"/>
  <c r="T60" i="38"/>
  <c r="X60" i="38"/>
  <c r="K59" i="39"/>
  <c r="Q56" i="1"/>
  <c r="F64" i="41"/>
  <c r="F65" i="41" s="1"/>
  <c r="F71" i="42"/>
  <c r="F72" i="42" s="1"/>
  <c r="R35" i="8"/>
  <c r="S35" i="8" s="1"/>
  <c r="T35" i="8" s="1"/>
  <c r="U35" i="8" s="1"/>
  <c r="V35" i="8" s="1"/>
  <c r="W35" i="8" s="1"/>
  <c r="X35" i="8" s="1"/>
  <c r="L24" i="8"/>
  <c r="I16" i="8"/>
  <c r="H52" i="8"/>
  <c r="H54" i="8" s="1"/>
  <c r="H50" i="8"/>
  <c r="H51" i="8" s="1"/>
  <c r="G18" i="8"/>
  <c r="F62" i="8"/>
  <c r="F64" i="8" s="1"/>
  <c r="F60" i="8"/>
  <c r="F61" i="8" s="1"/>
  <c r="Y41" i="8"/>
  <c r="D7" i="41"/>
  <c r="H2" i="41"/>
  <c r="D7" i="42"/>
  <c r="H1" i="39"/>
  <c r="M37" i="8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6" i="8"/>
  <c r="F65" i="8"/>
  <c r="F68" i="8"/>
  <c r="U58" i="8"/>
  <c r="Y58" i="8" s="1"/>
  <c r="I17" i="8"/>
  <c r="H55" i="8"/>
  <c r="H57" i="8"/>
  <c r="I19" i="8"/>
  <c r="H67" i="8"/>
  <c r="H65" i="8"/>
  <c r="H66" i="8" s="1"/>
  <c r="E60" i="8"/>
  <c r="E63" i="8"/>
  <c r="Y43" i="8"/>
  <c r="J23" i="8"/>
  <c r="K23" i="8" s="1"/>
  <c r="L23" i="8" s="1"/>
  <c r="M23" i="8" s="1"/>
  <c r="F73" i="38"/>
  <c r="F74" i="38" s="1"/>
  <c r="F74" i="42"/>
  <c r="F75" i="42" s="1"/>
  <c r="Y64" i="42"/>
  <c r="F41" i="38"/>
  <c r="F81" i="38"/>
  <c r="G81" i="38"/>
  <c r="Y61" i="42"/>
  <c r="P81" i="38"/>
  <c r="T72" i="41"/>
  <c r="W81" i="38"/>
  <c r="U79" i="42"/>
  <c r="L81" i="38"/>
  <c r="Y62" i="42"/>
  <c r="Y52" i="38"/>
  <c r="M81" i="38"/>
  <c r="P76" i="38"/>
  <c r="L57" i="41"/>
  <c r="X72" i="41"/>
  <c r="F84" i="42"/>
  <c r="Y63" i="42"/>
  <c r="V84" i="42"/>
  <c r="F79" i="42"/>
  <c r="G62" i="41"/>
  <c r="G63" i="41" s="1"/>
  <c r="I57" i="41"/>
  <c r="F89" i="42"/>
  <c r="Y89" i="42" s="1"/>
  <c r="G27" i="38"/>
  <c r="H27" i="38" s="1"/>
  <c r="F40" i="38"/>
  <c r="F43" i="38" s="1"/>
  <c r="Y47" i="42"/>
  <c r="F49" i="42"/>
  <c r="Y49" i="42" s="1"/>
  <c r="H58" i="42"/>
  <c r="Y56" i="42"/>
  <c r="G26" i="42"/>
  <c r="F39" i="42"/>
  <c r="S81" i="38"/>
  <c r="P79" i="42"/>
  <c r="P62" i="41"/>
  <c r="K81" i="38"/>
  <c r="Q79" i="42"/>
  <c r="F62" i="41"/>
  <c r="F63" i="41" s="1"/>
  <c r="F59" i="41"/>
  <c r="F60" i="41" s="1"/>
  <c r="O62" i="41"/>
  <c r="I76" i="38"/>
  <c r="Y63" i="38"/>
  <c r="G86" i="38"/>
  <c r="Y65" i="38"/>
  <c r="O86" i="38"/>
  <c r="W86" i="38"/>
  <c r="M91" i="38"/>
  <c r="U91" i="38"/>
  <c r="F51" i="38"/>
  <c r="Y49" i="38"/>
  <c r="G57" i="38"/>
  <c r="Y55" i="38"/>
  <c r="H60" i="38"/>
  <c r="Y58" i="38"/>
  <c r="U57" i="41"/>
  <c r="Q81" i="38"/>
  <c r="Y64" i="38"/>
  <c r="Y50" i="42"/>
  <c r="H81" i="38"/>
  <c r="I79" i="42"/>
  <c r="N62" i="41"/>
  <c r="M57" i="41"/>
  <c r="K72" i="41"/>
  <c r="U72" i="41"/>
  <c r="H62" i="41"/>
  <c r="Q67" i="41"/>
  <c r="H79" i="42"/>
  <c r="Y46" i="41"/>
  <c r="G25" i="42"/>
  <c r="F38" i="42"/>
  <c r="F41" i="42" s="1"/>
  <c r="H28" i="38"/>
  <c r="H55" i="42"/>
  <c r="Y55" i="42" s="1"/>
  <c r="Y53" i="42"/>
  <c r="G91" i="38"/>
  <c r="Y66" i="38"/>
  <c r="Y38" i="41"/>
  <c r="Y44" i="41"/>
  <c r="H72" i="41"/>
  <c r="F57" i="41"/>
  <c r="H57" i="41"/>
  <c r="J57" i="41"/>
  <c r="P57" i="41"/>
  <c r="X57" i="41"/>
  <c r="F67" i="41"/>
  <c r="F68" i="41" s="1"/>
  <c r="S62" i="41"/>
  <c r="Y47" i="41"/>
  <c r="Y40" i="41"/>
  <c r="Y41" i="41"/>
  <c r="Y39" i="41"/>
  <c r="I62" i="41"/>
  <c r="Y45" i="41"/>
  <c r="J62" i="41"/>
  <c r="G35" i="39" l="1"/>
  <c r="G74" i="39" s="1"/>
  <c r="G76" i="39" s="1"/>
  <c r="H2" i="39"/>
  <c r="H3" i="41"/>
  <c r="H2" i="42"/>
  <c r="H2" i="38"/>
  <c r="G69" i="41"/>
  <c r="G70" i="41" s="1"/>
  <c r="F69" i="41"/>
  <c r="F70" i="41" s="1"/>
  <c r="H33" i="41"/>
  <c r="I33" i="41" s="1"/>
  <c r="J33" i="41" s="1"/>
  <c r="N31" i="1"/>
  <c r="N32" i="1"/>
  <c r="H2" i="8" s="1"/>
  <c r="D9" i="39"/>
  <c r="D9" i="38"/>
  <c r="H1" i="8"/>
  <c r="D9" i="42"/>
  <c r="G21" i="10"/>
  <c r="D9" i="41"/>
  <c r="D6" i="8"/>
  <c r="B5" i="50"/>
  <c r="C16" i="50" s="1"/>
  <c r="C17" i="50" s="1"/>
  <c r="F81" i="42"/>
  <c r="F82" i="42" s="1"/>
  <c r="G36" i="42"/>
  <c r="G81" i="42" s="1"/>
  <c r="G82" i="42" s="1"/>
  <c r="H26" i="41"/>
  <c r="I31" i="41"/>
  <c r="I59" i="41" s="1"/>
  <c r="I60" i="41" s="1"/>
  <c r="G66" i="41"/>
  <c r="G68" i="41" s="1"/>
  <c r="E41" i="42"/>
  <c r="Y41" i="42" s="1"/>
  <c r="F71" i="41"/>
  <c r="F73" i="41" s="1"/>
  <c r="Y42" i="42"/>
  <c r="H87" i="39"/>
  <c r="H88" i="39" s="1"/>
  <c r="G87" i="39"/>
  <c r="G88" i="39" s="1"/>
  <c r="J38" i="39"/>
  <c r="J89" i="39" s="1"/>
  <c r="J91" i="39" s="1"/>
  <c r="F72" i="39"/>
  <c r="F73" i="39" s="1"/>
  <c r="G89" i="39"/>
  <c r="G91" i="39" s="1"/>
  <c r="I89" i="39"/>
  <c r="I91" i="39" s="1"/>
  <c r="G73" i="42"/>
  <c r="G75" i="42" s="1"/>
  <c r="G38" i="38"/>
  <c r="G85" i="38" s="1"/>
  <c r="G87" i="38" s="1"/>
  <c r="G64" i="41"/>
  <c r="G65" i="41" s="1"/>
  <c r="F83" i="38"/>
  <c r="F84" i="38" s="1"/>
  <c r="F76" i="42"/>
  <c r="F77" i="42" s="1"/>
  <c r="F20" i="39"/>
  <c r="F25" i="41"/>
  <c r="H35" i="39"/>
  <c r="I35" i="39" s="1"/>
  <c r="I74" i="39" s="1"/>
  <c r="G71" i="42"/>
  <c r="G72" i="42" s="1"/>
  <c r="D24" i="39"/>
  <c r="D29" i="39" s="1"/>
  <c r="D25" i="38"/>
  <c r="D32" i="38" s="1"/>
  <c r="G72" i="39"/>
  <c r="G73" i="39" s="1"/>
  <c r="E59" i="8"/>
  <c r="Y44" i="38"/>
  <c r="Y74" i="42"/>
  <c r="E25" i="41"/>
  <c r="G78" i="42"/>
  <c r="G80" i="42" s="1"/>
  <c r="I36" i="39"/>
  <c r="H79" i="39"/>
  <c r="G76" i="42"/>
  <c r="G77" i="42" s="1"/>
  <c r="E24" i="41"/>
  <c r="H59" i="41"/>
  <c r="H60" i="41" s="1"/>
  <c r="E21" i="38"/>
  <c r="F78" i="42"/>
  <c r="F80" i="42" s="1"/>
  <c r="Y58" i="42"/>
  <c r="Y52" i="42"/>
  <c r="D31" i="42"/>
  <c r="E33" i="42" s="1"/>
  <c r="F33" i="42" s="1"/>
  <c r="H16" i="38"/>
  <c r="I16" i="38" s="1"/>
  <c r="Y56" i="39"/>
  <c r="Y53" i="39"/>
  <c r="F18" i="38"/>
  <c r="F42" i="39"/>
  <c r="Y54" i="38"/>
  <c r="E42" i="39"/>
  <c r="F54" i="8"/>
  <c r="Y59" i="39"/>
  <c r="F17" i="39"/>
  <c r="G16" i="39"/>
  <c r="O18" i="38"/>
  <c r="P16" i="38"/>
  <c r="L17" i="41"/>
  <c r="L19" i="41" s="1"/>
  <c r="M14" i="41"/>
  <c r="I69" i="41"/>
  <c r="I70" i="41" s="1"/>
  <c r="H63" i="41"/>
  <c r="F29" i="8"/>
  <c r="F26" i="41"/>
  <c r="H14" i="42"/>
  <c r="G19" i="42"/>
  <c r="G40" i="42"/>
  <c r="Y43" i="39"/>
  <c r="H36" i="38"/>
  <c r="G75" i="38"/>
  <c r="G77" i="38" s="1"/>
  <c r="Y60" i="38"/>
  <c r="F30" i="8"/>
  <c r="Y50" i="39"/>
  <c r="G30" i="41"/>
  <c r="F56" i="41"/>
  <c r="G37" i="39"/>
  <c r="F84" i="39"/>
  <c r="F86" i="39" s="1"/>
  <c r="D25" i="41"/>
  <c r="D26" i="41"/>
  <c r="D24" i="41"/>
  <c r="F88" i="42"/>
  <c r="F90" i="42" s="1"/>
  <c r="G37" i="42"/>
  <c r="F58" i="41"/>
  <c r="Y51" i="38"/>
  <c r="Y37" i="8"/>
  <c r="Y35" i="8"/>
  <c r="E43" i="38"/>
  <c r="Y43" i="38" s="1"/>
  <c r="F76" i="39"/>
  <c r="K17" i="41"/>
  <c r="K19" i="41" s="1"/>
  <c r="K24" i="41" s="1"/>
  <c r="K27" i="41" s="1"/>
  <c r="K37" i="41" s="1"/>
  <c r="K43" i="41" s="1"/>
  <c r="K52" i="41" s="1"/>
  <c r="J26" i="41"/>
  <c r="J25" i="41"/>
  <c r="R16" i="39"/>
  <c r="Q17" i="39"/>
  <c r="E27" i="8"/>
  <c r="D27" i="8"/>
  <c r="D10" i="8"/>
  <c r="G39" i="38"/>
  <c r="F90" i="38"/>
  <c r="F92" i="38" s="1"/>
  <c r="G40" i="39"/>
  <c r="G39" i="39"/>
  <c r="H14" i="39"/>
  <c r="G20" i="39"/>
  <c r="G41" i="39"/>
  <c r="H36" i="42"/>
  <c r="F88" i="39"/>
  <c r="G37" i="38"/>
  <c r="F80" i="38"/>
  <c r="F82" i="38" s="1"/>
  <c r="G9" i="38"/>
  <c r="G9" i="39"/>
  <c r="G9" i="42"/>
  <c r="E92" i="38"/>
  <c r="G42" i="38"/>
  <c r="H14" i="38"/>
  <c r="H41" i="38" s="1"/>
  <c r="G21" i="38"/>
  <c r="H91" i="39"/>
  <c r="G26" i="41"/>
  <c r="G25" i="41"/>
  <c r="Y85" i="39"/>
  <c r="Y57" i="38"/>
  <c r="F88" i="38"/>
  <c r="F89" i="38" s="1"/>
  <c r="I32" i="41"/>
  <c r="H66" i="41"/>
  <c r="H68" i="41" s="1"/>
  <c r="K38" i="39"/>
  <c r="I25" i="41"/>
  <c r="I26" i="41"/>
  <c r="Y90" i="39"/>
  <c r="F91" i="39"/>
  <c r="I34" i="42"/>
  <c r="H73" i="42"/>
  <c r="H75" i="42" s="1"/>
  <c r="H13" i="8"/>
  <c r="G27" i="8"/>
  <c r="E78" i="39"/>
  <c r="Y80" i="39"/>
  <c r="H81" i="39"/>
  <c r="E82" i="38"/>
  <c r="I35" i="42"/>
  <c r="H78" i="42"/>
  <c r="F83" i="39"/>
  <c r="J16" i="8"/>
  <c r="I52" i="8"/>
  <c r="I54" i="8" s="1"/>
  <c r="I50" i="8"/>
  <c r="I51" i="8" s="1"/>
  <c r="H18" i="8"/>
  <c r="G62" i="8"/>
  <c r="G64" i="8" s="1"/>
  <c r="G60" i="8"/>
  <c r="G61" i="8" s="1"/>
  <c r="M24" i="8"/>
  <c r="J17" i="8"/>
  <c r="I57" i="8"/>
  <c r="I59" i="8" s="1"/>
  <c r="I55" i="8"/>
  <c r="I56" i="8" s="1"/>
  <c r="E64" i="8"/>
  <c r="Y63" i="8"/>
  <c r="F66" i="8"/>
  <c r="E61" i="8"/>
  <c r="H69" i="8"/>
  <c r="H59" i="8"/>
  <c r="F69" i="8"/>
  <c r="Y68" i="8"/>
  <c r="N23" i="8"/>
  <c r="J19" i="8"/>
  <c r="I67" i="8"/>
  <c r="I69" i="8" s="1"/>
  <c r="I65" i="8"/>
  <c r="I66" i="8" s="1"/>
  <c r="H56" i="8"/>
  <c r="G40" i="38"/>
  <c r="G43" i="38" s="1"/>
  <c r="Y67" i="41"/>
  <c r="Y72" i="41"/>
  <c r="Y76" i="38"/>
  <c r="H26" i="42"/>
  <c r="G39" i="42"/>
  <c r="Y84" i="42"/>
  <c r="F85" i="42"/>
  <c r="Y57" i="41"/>
  <c r="I28" i="38"/>
  <c r="H77" i="42"/>
  <c r="Y81" i="38"/>
  <c r="H25" i="42"/>
  <c r="G38" i="42"/>
  <c r="G41" i="42" s="1"/>
  <c r="I27" i="38"/>
  <c r="Y91" i="38"/>
  <c r="H80" i="42"/>
  <c r="Y79" i="42"/>
  <c r="Y86" i="38"/>
  <c r="F52" i="41"/>
  <c r="Y62" i="41"/>
  <c r="I71" i="41" l="1"/>
  <c r="I73" i="41" s="1"/>
  <c r="H69" i="41"/>
  <c r="H70" i="41" s="1"/>
  <c r="D31" i="38"/>
  <c r="G83" i="42"/>
  <c r="G85" i="42" s="1"/>
  <c r="H71" i="41"/>
  <c r="H73" i="41" s="1"/>
  <c r="J87" i="39"/>
  <c r="J88" i="39" s="1"/>
  <c r="B7" i="50"/>
  <c r="D8" i="8" s="1"/>
  <c r="E21" i="8" s="1"/>
  <c r="K25" i="41"/>
  <c r="J31" i="41"/>
  <c r="J61" i="41" s="1"/>
  <c r="J63" i="41" s="1"/>
  <c r="I61" i="41"/>
  <c r="I63" i="41" s="1"/>
  <c r="D30" i="39"/>
  <c r="H38" i="38"/>
  <c r="D31" i="39"/>
  <c r="E27" i="41"/>
  <c r="E37" i="41" s="1"/>
  <c r="I72" i="39"/>
  <c r="I73" i="39" s="1"/>
  <c r="D30" i="38"/>
  <c r="D33" i="38" s="1"/>
  <c r="E35" i="38" s="1"/>
  <c r="K26" i="41"/>
  <c r="G83" i="38"/>
  <c r="G84" i="38" s="1"/>
  <c r="H18" i="38"/>
  <c r="J35" i="39"/>
  <c r="J74" i="39" s="1"/>
  <c r="J76" i="39" s="1"/>
  <c r="H72" i="39"/>
  <c r="H73" i="39" s="1"/>
  <c r="H74" i="39"/>
  <c r="H76" i="39" s="1"/>
  <c r="E68" i="42"/>
  <c r="I77" i="39"/>
  <c r="I78" i="39" s="1"/>
  <c r="I79" i="39"/>
  <c r="I81" i="39" s="1"/>
  <c r="J36" i="39"/>
  <c r="F32" i="8"/>
  <c r="F33" i="8" s="1"/>
  <c r="H16" i="39"/>
  <c r="G17" i="39"/>
  <c r="Q16" i="38"/>
  <c r="P18" i="38"/>
  <c r="E29" i="8"/>
  <c r="E30" i="8"/>
  <c r="E31" i="8"/>
  <c r="J71" i="41"/>
  <c r="J73" i="41" s="1"/>
  <c r="K33" i="41"/>
  <c r="J69" i="41"/>
  <c r="J70" i="41" s="1"/>
  <c r="L26" i="41"/>
  <c r="L25" i="41"/>
  <c r="L24" i="41"/>
  <c r="L27" i="41" s="1"/>
  <c r="L37" i="41" s="1"/>
  <c r="L43" i="41" s="1"/>
  <c r="L52" i="41" s="1"/>
  <c r="S16" i="39"/>
  <c r="R17" i="39"/>
  <c r="H75" i="38"/>
  <c r="H77" i="38" s="1"/>
  <c r="I36" i="38"/>
  <c r="H73" i="38"/>
  <c r="H74" i="38" s="1"/>
  <c r="I14" i="42"/>
  <c r="H19" i="42"/>
  <c r="H40" i="42"/>
  <c r="G88" i="42"/>
  <c r="G90" i="42" s="1"/>
  <c r="G86" i="42"/>
  <c r="G87" i="42" s="1"/>
  <c r="H37" i="42"/>
  <c r="N14" i="41"/>
  <c r="M17" i="41"/>
  <c r="M19" i="41" s="1"/>
  <c r="D30" i="8"/>
  <c r="D31" i="8"/>
  <c r="D29" i="8"/>
  <c r="D27" i="41"/>
  <c r="E29" i="41" s="1"/>
  <c r="H37" i="39"/>
  <c r="G84" i="39"/>
  <c r="G86" i="39" s="1"/>
  <c r="G82" i="39"/>
  <c r="G83" i="39" s="1"/>
  <c r="G56" i="41"/>
  <c r="G58" i="41" s="1"/>
  <c r="H30" i="41"/>
  <c r="G54" i="41"/>
  <c r="G55" i="41" s="1"/>
  <c r="J72" i="39"/>
  <c r="G10" i="42"/>
  <c r="G11" i="42"/>
  <c r="I73" i="42"/>
  <c r="I75" i="42" s="1"/>
  <c r="J34" i="42"/>
  <c r="I71" i="42"/>
  <c r="I76" i="39"/>
  <c r="K87" i="39"/>
  <c r="K88" i="39" s="1"/>
  <c r="L38" i="39"/>
  <c r="K89" i="39"/>
  <c r="K91" i="39" s="1"/>
  <c r="E43" i="41"/>
  <c r="Y37" i="41"/>
  <c r="G10" i="39"/>
  <c r="G11" i="39"/>
  <c r="H83" i="42"/>
  <c r="I36" i="42"/>
  <c r="H81" i="42"/>
  <c r="G42" i="39"/>
  <c r="H39" i="38"/>
  <c r="G90" i="38"/>
  <c r="G92" i="38" s="1"/>
  <c r="G88" i="38"/>
  <c r="I13" i="8"/>
  <c r="H27" i="8"/>
  <c r="H42" i="38"/>
  <c r="I14" i="38"/>
  <c r="I41" i="38" s="1"/>
  <c r="H21" i="38"/>
  <c r="I14" i="39"/>
  <c r="H39" i="39"/>
  <c r="H40" i="39"/>
  <c r="H41" i="39"/>
  <c r="H20" i="39"/>
  <c r="H40" i="38"/>
  <c r="H43" i="38" s="1"/>
  <c r="I78" i="42"/>
  <c r="J35" i="42"/>
  <c r="I76" i="42"/>
  <c r="I66" i="41"/>
  <c r="I68" i="41" s="1"/>
  <c r="J32" i="41"/>
  <c r="I64" i="41"/>
  <c r="G11" i="38"/>
  <c r="H17" i="38" s="1"/>
  <c r="G10" i="38"/>
  <c r="G30" i="8"/>
  <c r="G31" i="8"/>
  <c r="G29" i="8"/>
  <c r="J16" i="38"/>
  <c r="I18" i="38"/>
  <c r="H37" i="38"/>
  <c r="G80" i="38"/>
  <c r="G78" i="38"/>
  <c r="G33" i="42"/>
  <c r="F68" i="42"/>
  <c r="N24" i="8"/>
  <c r="I18" i="8"/>
  <c r="H60" i="8"/>
  <c r="H61" i="8" s="1"/>
  <c r="H62" i="8"/>
  <c r="H64" i="8" s="1"/>
  <c r="K16" i="8"/>
  <c r="J52" i="8"/>
  <c r="J54" i="8" s="1"/>
  <c r="J50" i="8"/>
  <c r="J51" i="8" s="1"/>
  <c r="B18" i="50"/>
  <c r="K19" i="8"/>
  <c r="J65" i="8"/>
  <c r="J66" i="8" s="1"/>
  <c r="J67" i="8"/>
  <c r="K17" i="8"/>
  <c r="J55" i="8"/>
  <c r="J56" i="8" s="1"/>
  <c r="J57" i="8"/>
  <c r="O23" i="8"/>
  <c r="I26" i="42"/>
  <c r="H39" i="42"/>
  <c r="J28" i="38"/>
  <c r="J27" i="38"/>
  <c r="I25" i="42"/>
  <c r="H38" i="42"/>
  <c r="H41" i="42" s="1"/>
  <c r="J59" i="41" l="1"/>
  <c r="J60" i="41" s="1"/>
  <c r="K31" i="41"/>
  <c r="K61" i="41" s="1"/>
  <c r="K63" i="41" s="1"/>
  <c r="D32" i="39"/>
  <c r="E34" i="39" s="1"/>
  <c r="E69" i="39" s="1"/>
  <c r="G25" i="10"/>
  <c r="C7" i="50"/>
  <c r="L31" i="41"/>
  <c r="L59" i="41" s="1"/>
  <c r="L60" i="41" s="1"/>
  <c r="H85" i="38"/>
  <c r="H87" i="38" s="1"/>
  <c r="H83" i="38"/>
  <c r="H84" i="38" s="1"/>
  <c r="I38" i="38"/>
  <c r="K35" i="39"/>
  <c r="L35" i="39" s="1"/>
  <c r="F35" i="38"/>
  <c r="F70" i="38" s="1"/>
  <c r="E70" i="38"/>
  <c r="J77" i="39"/>
  <c r="J78" i="39" s="1"/>
  <c r="J79" i="39"/>
  <c r="J81" i="39" s="1"/>
  <c r="K36" i="39"/>
  <c r="I40" i="38"/>
  <c r="I43" i="38" s="1"/>
  <c r="R16" i="38"/>
  <c r="Q18" i="38"/>
  <c r="H17" i="39"/>
  <c r="I16" i="39"/>
  <c r="I19" i="42"/>
  <c r="I40" i="42"/>
  <c r="J14" i="42"/>
  <c r="J16" i="42" s="1"/>
  <c r="H42" i="39"/>
  <c r="F29" i="41"/>
  <c r="E51" i="41"/>
  <c r="E32" i="8"/>
  <c r="E33" i="8" s="1"/>
  <c r="E39" i="8" s="1"/>
  <c r="D32" i="8"/>
  <c r="E15" i="8" s="1"/>
  <c r="M26" i="41"/>
  <c r="M25" i="41"/>
  <c r="M24" i="41"/>
  <c r="M27" i="41" s="1"/>
  <c r="M37" i="41" s="1"/>
  <c r="M43" i="41" s="1"/>
  <c r="M52" i="41" s="1"/>
  <c r="J36" i="38"/>
  <c r="I75" i="38"/>
  <c r="I77" i="38" s="1"/>
  <c r="I73" i="38"/>
  <c r="I74" i="38" s="1"/>
  <c r="T16" i="39"/>
  <c r="S17" i="39"/>
  <c r="H54" i="41"/>
  <c r="H55" i="41" s="1"/>
  <c r="I30" i="41"/>
  <c r="H56" i="41"/>
  <c r="H58" i="41" s="1"/>
  <c r="H84" i="39"/>
  <c r="H86" i="39" s="1"/>
  <c r="I37" i="39"/>
  <c r="H82" i="39"/>
  <c r="H83" i="39" s="1"/>
  <c r="H86" i="42"/>
  <c r="H87" i="42" s="1"/>
  <c r="I37" i="42"/>
  <c r="H88" i="42"/>
  <c r="H90" i="42" s="1"/>
  <c r="N17" i="41"/>
  <c r="N19" i="41" s="1"/>
  <c r="O14" i="41"/>
  <c r="L33" i="41"/>
  <c r="K71" i="41"/>
  <c r="K73" i="41" s="1"/>
  <c r="K69" i="41"/>
  <c r="K70" i="41" s="1"/>
  <c r="H33" i="42"/>
  <c r="G68" i="42"/>
  <c r="G79" i="38"/>
  <c r="G32" i="8"/>
  <c r="G33" i="8" s="1"/>
  <c r="J78" i="42"/>
  <c r="J80" i="42" s="1"/>
  <c r="K35" i="42"/>
  <c r="J76" i="42"/>
  <c r="J77" i="42" s="1"/>
  <c r="M31" i="41"/>
  <c r="I27" i="8"/>
  <c r="J13" i="8"/>
  <c r="H90" i="38"/>
  <c r="H92" i="38" s="1"/>
  <c r="I39" i="38"/>
  <c r="H88" i="38"/>
  <c r="H89" i="38" s="1"/>
  <c r="H85" i="42"/>
  <c r="I72" i="42"/>
  <c r="G82" i="38"/>
  <c r="K16" i="38"/>
  <c r="J18" i="38"/>
  <c r="I80" i="42"/>
  <c r="I42" i="38"/>
  <c r="I17" i="38"/>
  <c r="J14" i="38"/>
  <c r="J40" i="38" s="1"/>
  <c r="J43" i="38" s="1"/>
  <c r="I21" i="38"/>
  <c r="G12" i="39"/>
  <c r="E15" i="39"/>
  <c r="E52" i="41"/>
  <c r="E49" i="41"/>
  <c r="Y43" i="41"/>
  <c r="L87" i="39"/>
  <c r="L89" i="39"/>
  <c r="M38" i="39"/>
  <c r="J73" i="42"/>
  <c r="K34" i="42"/>
  <c r="J71" i="42"/>
  <c r="J72" i="42" s="1"/>
  <c r="E16" i="42"/>
  <c r="H16" i="42"/>
  <c r="F16" i="42"/>
  <c r="G16" i="42"/>
  <c r="I16" i="42"/>
  <c r="E15" i="42"/>
  <c r="G12" i="42"/>
  <c r="H80" i="38"/>
  <c r="H82" i="38" s="1"/>
  <c r="I37" i="38"/>
  <c r="H78" i="38"/>
  <c r="H79" i="38" s="1"/>
  <c r="I65" i="41"/>
  <c r="F21" i="8"/>
  <c r="G89" i="38"/>
  <c r="H82" i="42"/>
  <c r="E17" i="38"/>
  <c r="F17" i="38"/>
  <c r="E15" i="38"/>
  <c r="G12" i="38"/>
  <c r="G17" i="38"/>
  <c r="J66" i="41"/>
  <c r="J68" i="41" s="1"/>
  <c r="K32" i="41"/>
  <c r="J64" i="41"/>
  <c r="J65" i="41" s="1"/>
  <c r="I77" i="42"/>
  <c r="I40" i="39"/>
  <c r="J14" i="39"/>
  <c r="I39" i="39"/>
  <c r="I41" i="39"/>
  <c r="I20" i="39"/>
  <c r="H31" i="8"/>
  <c r="H30" i="8"/>
  <c r="H29" i="8"/>
  <c r="I83" i="42"/>
  <c r="I85" i="42" s="1"/>
  <c r="J36" i="42"/>
  <c r="I81" i="42"/>
  <c r="I82" i="42" s="1"/>
  <c r="J73" i="39"/>
  <c r="K52" i="8"/>
  <c r="K54" i="8" s="1"/>
  <c r="L16" i="8"/>
  <c r="K50" i="8"/>
  <c r="K51" i="8" s="1"/>
  <c r="O24" i="8"/>
  <c r="J18" i="8"/>
  <c r="I62" i="8"/>
  <c r="I64" i="8" s="1"/>
  <c r="I60" i="8"/>
  <c r="I61" i="8" s="1"/>
  <c r="D18" i="50"/>
  <c r="C18" i="50" s="1"/>
  <c r="J59" i="8"/>
  <c r="P23" i="8"/>
  <c r="J69" i="8"/>
  <c r="L17" i="8"/>
  <c r="K57" i="8"/>
  <c r="K59" i="8" s="1"/>
  <c r="K55" i="8"/>
  <c r="L19" i="8"/>
  <c r="K67" i="8"/>
  <c r="K69" i="8" s="1"/>
  <c r="K65" i="8"/>
  <c r="J26" i="42"/>
  <c r="I39" i="42"/>
  <c r="I38" i="42"/>
  <c r="I41" i="42" s="1"/>
  <c r="J25" i="42"/>
  <c r="K27" i="38"/>
  <c r="K28" i="38"/>
  <c r="J41" i="38" l="1"/>
  <c r="L61" i="41"/>
  <c r="L63" i="41" s="1"/>
  <c r="K59" i="41"/>
  <c r="K60" i="41" s="1"/>
  <c r="G35" i="38"/>
  <c r="H35" i="38" s="1"/>
  <c r="F34" i="39"/>
  <c r="K74" i="39"/>
  <c r="K76" i="39" s="1"/>
  <c r="K72" i="39"/>
  <c r="K73" i="39" s="1"/>
  <c r="I85" i="38"/>
  <c r="I87" i="38" s="1"/>
  <c r="J38" i="38"/>
  <c r="I83" i="38"/>
  <c r="I84" i="38" s="1"/>
  <c r="L36" i="39"/>
  <c r="K77" i="39"/>
  <c r="K78" i="39" s="1"/>
  <c r="K79" i="39"/>
  <c r="K81" i="39" s="1"/>
  <c r="J16" i="39"/>
  <c r="I17" i="39"/>
  <c r="S16" i="38"/>
  <c r="R18" i="38"/>
  <c r="J37" i="39"/>
  <c r="I84" i="39"/>
  <c r="I86" i="39" s="1"/>
  <c r="I82" i="39"/>
  <c r="I83" i="39" s="1"/>
  <c r="G29" i="41"/>
  <c r="F51" i="41"/>
  <c r="F53" i="41" s="1"/>
  <c r="F49" i="41"/>
  <c r="F50" i="41" s="1"/>
  <c r="H32" i="8"/>
  <c r="H33" i="8" s="1"/>
  <c r="L71" i="41"/>
  <c r="L73" i="41" s="1"/>
  <c r="M33" i="41"/>
  <c r="L69" i="41"/>
  <c r="L70" i="41" s="1"/>
  <c r="I88" i="42"/>
  <c r="I90" i="42" s="1"/>
  <c r="J37" i="42"/>
  <c r="I86" i="42"/>
  <c r="I87" i="42" s="1"/>
  <c r="K36" i="38"/>
  <c r="J75" i="38"/>
  <c r="J77" i="38" s="1"/>
  <c r="J73" i="38"/>
  <c r="J74" i="38" s="1"/>
  <c r="E14" i="8"/>
  <c r="F15" i="8"/>
  <c r="E47" i="8"/>
  <c r="P14" i="41"/>
  <c r="O17" i="41"/>
  <c r="O19" i="41" s="1"/>
  <c r="T17" i="39"/>
  <c r="U16" i="39"/>
  <c r="J19" i="42"/>
  <c r="J40" i="42"/>
  <c r="K14" i="42"/>
  <c r="N26" i="41"/>
  <c r="N25" i="41"/>
  <c r="N24" i="41"/>
  <c r="N27" i="41" s="1"/>
  <c r="N37" i="41" s="1"/>
  <c r="N43" i="41" s="1"/>
  <c r="N52" i="41" s="1"/>
  <c r="J30" i="41"/>
  <c r="I56" i="41"/>
  <c r="I58" i="41" s="1"/>
  <c r="I54" i="41"/>
  <c r="I55" i="41" s="1"/>
  <c r="J41" i="39"/>
  <c r="J40" i="39"/>
  <c r="J39" i="39"/>
  <c r="K14" i="39"/>
  <c r="J20" i="39"/>
  <c r="K66" i="41"/>
  <c r="L32" i="41"/>
  <c r="K64" i="41"/>
  <c r="F15" i="38"/>
  <c r="E22" i="38"/>
  <c r="E23" i="38" s="1"/>
  <c r="G21" i="8"/>
  <c r="F39" i="8"/>
  <c r="E21" i="42"/>
  <c r="E23" i="42" s="1"/>
  <c r="E20" i="42"/>
  <c r="F15" i="42"/>
  <c r="K73" i="42"/>
  <c r="K75" i="42" s="1"/>
  <c r="L34" i="42"/>
  <c r="K71" i="42"/>
  <c r="K72" i="42" s="1"/>
  <c r="L88" i="39"/>
  <c r="F15" i="39"/>
  <c r="E21" i="39"/>
  <c r="E22" i="39" s="1"/>
  <c r="K13" i="8"/>
  <c r="J27" i="8"/>
  <c r="L35" i="42"/>
  <c r="K78" i="42"/>
  <c r="K76" i="42"/>
  <c r="K77" i="42" s="1"/>
  <c r="E48" i="8"/>
  <c r="E45" i="8"/>
  <c r="E46" i="8" s="1"/>
  <c r="L91" i="39"/>
  <c r="I42" i="39"/>
  <c r="L72" i="39"/>
  <c r="M35" i="39"/>
  <c r="L74" i="39"/>
  <c r="L76" i="39" s="1"/>
  <c r="J75" i="42"/>
  <c r="J42" i="38"/>
  <c r="K14" i="38"/>
  <c r="K41" i="38" s="1"/>
  <c r="J17" i="38"/>
  <c r="J21" i="38"/>
  <c r="I30" i="8"/>
  <c r="I31" i="8"/>
  <c r="I29" i="8"/>
  <c r="G70" i="38"/>
  <c r="H68" i="42"/>
  <c r="I33" i="42"/>
  <c r="J37" i="38"/>
  <c r="I80" i="38"/>
  <c r="I82" i="38" s="1"/>
  <c r="I78" i="38"/>
  <c r="I79" i="38" s="1"/>
  <c r="M87" i="39"/>
  <c r="M88" i="39" s="1"/>
  <c r="N38" i="39"/>
  <c r="M89" i="39"/>
  <c r="M91" i="39" s="1"/>
  <c r="E50" i="41"/>
  <c r="L16" i="38"/>
  <c r="K18" i="38"/>
  <c r="I90" i="38"/>
  <c r="I92" i="38" s="1"/>
  <c r="J39" i="38"/>
  <c r="I88" i="38"/>
  <c r="M61" i="41"/>
  <c r="N31" i="41"/>
  <c r="M59" i="41"/>
  <c r="J83" i="42"/>
  <c r="K36" i="42"/>
  <c r="J81" i="42"/>
  <c r="J82" i="42" s="1"/>
  <c r="E53" i="41"/>
  <c r="Y52" i="41"/>
  <c r="J60" i="8"/>
  <c r="J61" i="8" s="1"/>
  <c r="K18" i="8"/>
  <c r="J62" i="8"/>
  <c r="J64" i="8" s="1"/>
  <c r="L50" i="8"/>
  <c r="L51" i="8" s="1"/>
  <c r="M16" i="8"/>
  <c r="L52" i="8"/>
  <c r="L54" i="8" s="1"/>
  <c r="P24" i="8"/>
  <c r="E18" i="50"/>
  <c r="B19" i="50"/>
  <c r="Q23" i="8"/>
  <c r="K66" i="8"/>
  <c r="K56" i="8"/>
  <c r="M19" i="8"/>
  <c r="L67" i="8"/>
  <c r="L65" i="8"/>
  <c r="L66" i="8" s="1"/>
  <c r="M17" i="8"/>
  <c r="L57" i="8"/>
  <c r="L55" i="8"/>
  <c r="L56" i="8" s="1"/>
  <c r="J39" i="42"/>
  <c r="K26" i="42"/>
  <c r="K25" i="42"/>
  <c r="J38" i="42"/>
  <c r="J41" i="42" s="1"/>
  <c r="L28" i="38"/>
  <c r="L27" i="38"/>
  <c r="Y49" i="41" l="1"/>
  <c r="H5" i="41" s="1"/>
  <c r="K5" i="41" s="1"/>
  <c r="G34" i="39"/>
  <c r="F69" i="39"/>
  <c r="J85" i="38"/>
  <c r="J87" i="38" s="1"/>
  <c r="K38" i="38"/>
  <c r="J83" i="38"/>
  <c r="J84" i="38" s="1"/>
  <c r="E49" i="8"/>
  <c r="Y53" i="41"/>
  <c r="M36" i="39"/>
  <c r="L77" i="39"/>
  <c r="L78" i="39" s="1"/>
  <c r="L79" i="39"/>
  <c r="L81" i="39" s="1"/>
  <c r="E45" i="42"/>
  <c r="S18" i="38"/>
  <c r="T16" i="38"/>
  <c r="K16" i="39"/>
  <c r="J17" i="39"/>
  <c r="E25" i="38"/>
  <c r="E31" i="38" s="1"/>
  <c r="E47" i="38"/>
  <c r="O26" i="41"/>
  <c r="O25" i="41"/>
  <c r="O24" i="41"/>
  <c r="O27" i="41" s="1"/>
  <c r="O37" i="41" s="1"/>
  <c r="O43" i="41" s="1"/>
  <c r="O52" i="41" s="1"/>
  <c r="K37" i="42"/>
  <c r="J86" i="42"/>
  <c r="J87" i="42" s="1"/>
  <c r="J88" i="42"/>
  <c r="J90" i="42" s="1"/>
  <c r="G51" i="41"/>
  <c r="G53" i="41" s="1"/>
  <c r="H29" i="41"/>
  <c r="G49" i="41"/>
  <c r="G50" i="41" s="1"/>
  <c r="Q14" i="41"/>
  <c r="P17" i="41"/>
  <c r="P19" i="41" s="1"/>
  <c r="J42" i="39"/>
  <c r="V16" i="39"/>
  <c r="U17" i="39"/>
  <c r="F47" i="8"/>
  <c r="G15" i="8"/>
  <c r="K75" i="38"/>
  <c r="K77" i="38" s="1"/>
  <c r="L36" i="38"/>
  <c r="K73" i="38"/>
  <c r="K74" i="38" s="1"/>
  <c r="J54" i="41"/>
  <c r="J55" i="41" s="1"/>
  <c r="J56" i="41"/>
  <c r="J58" i="41" s="1"/>
  <c r="K30" i="41"/>
  <c r="K40" i="42"/>
  <c r="K19" i="42"/>
  <c r="K16" i="42"/>
  <c r="L14" i="42"/>
  <c r="M71" i="41"/>
  <c r="M73" i="41" s="1"/>
  <c r="M69" i="41"/>
  <c r="M70" i="41" s="1"/>
  <c r="N33" i="41"/>
  <c r="K37" i="39"/>
  <c r="J84" i="39"/>
  <c r="J86" i="39" s="1"/>
  <c r="J82" i="39"/>
  <c r="J83" i="39" s="1"/>
  <c r="J85" i="42"/>
  <c r="M63" i="41"/>
  <c r="L14" i="38"/>
  <c r="L41" i="38" s="1"/>
  <c r="K42" i="38"/>
  <c r="K17" i="38"/>
  <c r="K21" i="38"/>
  <c r="M74" i="39"/>
  <c r="M76" i="39" s="1"/>
  <c r="N35" i="39"/>
  <c r="M72" i="39"/>
  <c r="M73" i="39" s="1"/>
  <c r="J30" i="8"/>
  <c r="J31" i="8"/>
  <c r="J29" i="8"/>
  <c r="K65" i="41"/>
  <c r="I89" i="38"/>
  <c r="J80" i="38"/>
  <c r="J82" i="38" s="1"/>
  <c r="K37" i="38"/>
  <c r="J78" i="38"/>
  <c r="J79" i="38" s="1"/>
  <c r="H70" i="38"/>
  <c r="I35" i="38"/>
  <c r="L73" i="39"/>
  <c r="L13" i="8"/>
  <c r="K27" i="8"/>
  <c r="E24" i="39"/>
  <c r="E46" i="39"/>
  <c r="G15" i="42"/>
  <c r="F21" i="42"/>
  <c r="F20" i="42"/>
  <c r="L66" i="41"/>
  <c r="L68" i="41" s="1"/>
  <c r="M32" i="41"/>
  <c r="L64" i="41"/>
  <c r="L65" i="41" s="1"/>
  <c r="L78" i="42"/>
  <c r="L80" i="42" s="1"/>
  <c r="M35" i="42"/>
  <c r="L76" i="42"/>
  <c r="L77" i="42" s="1"/>
  <c r="K40" i="38"/>
  <c r="K43" i="38" s="1"/>
  <c r="M60" i="41"/>
  <c r="K39" i="38"/>
  <c r="J90" i="38"/>
  <c r="J88" i="38"/>
  <c r="J89" i="38" s="1"/>
  <c r="M16" i="38"/>
  <c r="L18" i="38"/>
  <c r="I32" i="8"/>
  <c r="I33" i="8" s="1"/>
  <c r="G15" i="39"/>
  <c r="F21" i="39"/>
  <c r="F22" i="39" s="1"/>
  <c r="L73" i="42"/>
  <c r="M34" i="42"/>
  <c r="L71" i="42"/>
  <c r="F45" i="8"/>
  <c r="F46" i="8" s="1"/>
  <c r="F48" i="8"/>
  <c r="K68" i="41"/>
  <c r="L36" i="42"/>
  <c r="K83" i="42"/>
  <c r="K85" i="42" s="1"/>
  <c r="K81" i="42"/>
  <c r="N61" i="41"/>
  <c r="N63" i="41" s="1"/>
  <c r="O31" i="41"/>
  <c r="N59" i="41"/>
  <c r="N60" i="41" s="1"/>
  <c r="N89" i="39"/>
  <c r="N91" i="39" s="1"/>
  <c r="O38" i="39"/>
  <c r="N87" i="39"/>
  <c r="N88" i="39" s="1"/>
  <c r="I68" i="42"/>
  <c r="J33" i="42"/>
  <c r="K80" i="42"/>
  <c r="E28" i="42"/>
  <c r="E30" i="42"/>
  <c r="E29" i="42"/>
  <c r="H21" i="8"/>
  <c r="G39" i="8"/>
  <c r="G15" i="38"/>
  <c r="F22" i="38"/>
  <c r="F23" i="38" s="1"/>
  <c r="K41" i="39"/>
  <c r="L14" i="39"/>
  <c r="K39" i="39"/>
  <c r="K40" i="39"/>
  <c r="K20" i="39"/>
  <c r="Q24" i="8"/>
  <c r="N16" i="8"/>
  <c r="M52" i="8"/>
  <c r="M54" i="8" s="1"/>
  <c r="M50" i="8"/>
  <c r="M51" i="8" s="1"/>
  <c r="L18" i="8"/>
  <c r="K62" i="8"/>
  <c r="K64" i="8" s="1"/>
  <c r="K60" i="8"/>
  <c r="K61" i="8" s="1"/>
  <c r="D19" i="50"/>
  <c r="C19" i="50" s="1"/>
  <c r="N17" i="8"/>
  <c r="M55" i="8"/>
  <c r="M56" i="8" s="1"/>
  <c r="M57" i="8"/>
  <c r="M59" i="8" s="1"/>
  <c r="R23" i="8"/>
  <c r="L69" i="8"/>
  <c r="L59" i="8"/>
  <c r="N19" i="8"/>
  <c r="M67" i="8"/>
  <c r="M69" i="8" s="1"/>
  <c r="M65" i="8"/>
  <c r="M66" i="8" s="1"/>
  <c r="L26" i="42"/>
  <c r="K39" i="42"/>
  <c r="M28" i="38"/>
  <c r="L25" i="42"/>
  <c r="K38" i="42"/>
  <c r="K41" i="42" s="1"/>
  <c r="M27" i="38"/>
  <c r="E30" i="38" l="1"/>
  <c r="E32" i="38"/>
  <c r="H34" i="39"/>
  <c r="G69" i="39"/>
  <c r="K85" i="38"/>
  <c r="K87" i="38" s="1"/>
  <c r="L38" i="38"/>
  <c r="K83" i="38"/>
  <c r="K84" i="38" s="1"/>
  <c r="M79" i="39"/>
  <c r="M81" i="39" s="1"/>
  <c r="N36" i="39"/>
  <c r="M77" i="39"/>
  <c r="M78" i="39" s="1"/>
  <c r="K17" i="39"/>
  <c r="L16" i="39"/>
  <c r="U16" i="38"/>
  <c r="T18" i="38"/>
  <c r="P26" i="41"/>
  <c r="P24" i="41"/>
  <c r="P27" i="41" s="1"/>
  <c r="P37" i="41" s="1"/>
  <c r="P43" i="41" s="1"/>
  <c r="P52" i="41" s="1"/>
  <c r="P25" i="41"/>
  <c r="F49" i="8"/>
  <c r="K82" i="39"/>
  <c r="K83" i="39" s="1"/>
  <c r="L37" i="39"/>
  <c r="K84" i="39"/>
  <c r="K86" i="39" s="1"/>
  <c r="M14" i="42"/>
  <c r="L16" i="42"/>
  <c r="L40" i="42"/>
  <c r="L19" i="42"/>
  <c r="K54" i="41"/>
  <c r="K55" i="41" s="1"/>
  <c r="L30" i="41"/>
  <c r="K56" i="41"/>
  <c r="K58" i="41" s="1"/>
  <c r="M36" i="38"/>
  <c r="L75" i="38"/>
  <c r="L77" i="38" s="1"/>
  <c r="L73" i="38"/>
  <c r="L74" i="38" s="1"/>
  <c r="R14" i="41"/>
  <c r="Q17" i="41"/>
  <c r="Q19" i="41" s="1"/>
  <c r="L40" i="38"/>
  <c r="L43" i="38" s="1"/>
  <c r="O33" i="41"/>
  <c r="N69" i="41"/>
  <c r="N70" i="41" s="1"/>
  <c r="N71" i="41"/>
  <c r="N73" i="41" s="1"/>
  <c r="W16" i="39"/>
  <c r="V17" i="39"/>
  <c r="H15" i="8"/>
  <c r="G47" i="8"/>
  <c r="H51" i="41"/>
  <c r="H53" i="41" s="1"/>
  <c r="I29" i="41"/>
  <c r="H49" i="41"/>
  <c r="H50" i="41" s="1"/>
  <c r="K88" i="42"/>
  <c r="K90" i="42" s="1"/>
  <c r="K86" i="42"/>
  <c r="K87" i="42" s="1"/>
  <c r="L37" i="42"/>
  <c r="O61" i="41"/>
  <c r="O63" i="41" s="1"/>
  <c r="P31" i="41"/>
  <c r="O59" i="41"/>
  <c r="O60" i="41" s="1"/>
  <c r="M73" i="42"/>
  <c r="M75" i="42" s="1"/>
  <c r="N34" i="42"/>
  <c r="M71" i="42"/>
  <c r="M72" i="42" s="1"/>
  <c r="J92" i="38"/>
  <c r="M78" i="42"/>
  <c r="M80" i="42" s="1"/>
  <c r="N35" i="42"/>
  <c r="M76" i="42"/>
  <c r="E31" i="42"/>
  <c r="E44" i="42"/>
  <c r="O89" i="39"/>
  <c r="P38" i="39"/>
  <c r="O87" i="39"/>
  <c r="O88" i="39" s="1"/>
  <c r="L75" i="42"/>
  <c r="K88" i="38"/>
  <c r="K89" i="38" s="1"/>
  <c r="L39" i="38"/>
  <c r="K90" i="38"/>
  <c r="K92" i="38" s="1"/>
  <c r="K31" i="8"/>
  <c r="K30" i="8"/>
  <c r="K29" i="8"/>
  <c r="I21" i="8"/>
  <c r="H39" i="8"/>
  <c r="K82" i="42"/>
  <c r="F46" i="39"/>
  <c r="F24" i="39"/>
  <c r="N16" i="38"/>
  <c r="N18" i="38" s="1"/>
  <c r="M18" i="38"/>
  <c r="E33" i="38"/>
  <c r="E46" i="38"/>
  <c r="F23" i="42"/>
  <c r="F45" i="42"/>
  <c r="M13" i="8"/>
  <c r="L27" i="8"/>
  <c r="J32" i="8"/>
  <c r="J33" i="8" s="1"/>
  <c r="M14" i="38"/>
  <c r="M40" i="38" s="1"/>
  <c r="M43" i="38" s="1"/>
  <c r="L42" i="38"/>
  <c r="L21" i="38"/>
  <c r="L17" i="38"/>
  <c r="L39" i="39"/>
  <c r="M14" i="39"/>
  <c r="L41" i="39"/>
  <c r="L40" i="39"/>
  <c r="L20" i="39"/>
  <c r="H15" i="38"/>
  <c r="G22" i="38"/>
  <c r="G23" i="38" s="1"/>
  <c r="L83" i="42"/>
  <c r="M36" i="42"/>
  <c r="L81" i="42"/>
  <c r="L82" i="42" s="1"/>
  <c r="I70" i="38"/>
  <c r="J35" i="38"/>
  <c r="K80" i="38"/>
  <c r="K82" i="38" s="1"/>
  <c r="L37" i="38"/>
  <c r="K78" i="38"/>
  <c r="N74" i="39"/>
  <c r="N76" i="39" s="1"/>
  <c r="N72" i="39"/>
  <c r="O35" i="39"/>
  <c r="G48" i="8"/>
  <c r="G45" i="8"/>
  <c r="G46" i="8" s="1"/>
  <c r="E29" i="39"/>
  <c r="E30" i="39"/>
  <c r="E31" i="39"/>
  <c r="K42" i="39"/>
  <c r="F25" i="38"/>
  <c r="F47" i="38"/>
  <c r="K33" i="42"/>
  <c r="J68" i="42"/>
  <c r="L72" i="42"/>
  <c r="H15" i="39"/>
  <c r="G21" i="39"/>
  <c r="G22" i="39" s="1"/>
  <c r="M66" i="41"/>
  <c r="M68" i="41" s="1"/>
  <c r="N32" i="41"/>
  <c r="M64" i="41"/>
  <c r="G21" i="42"/>
  <c r="G20" i="42"/>
  <c r="H15" i="42"/>
  <c r="M18" i="8"/>
  <c r="L62" i="8"/>
  <c r="L64" i="8" s="1"/>
  <c r="L60" i="8"/>
  <c r="L61" i="8" s="1"/>
  <c r="R24" i="8"/>
  <c r="O16" i="8"/>
  <c r="N50" i="8"/>
  <c r="N51" i="8" s="1"/>
  <c r="N52" i="8"/>
  <c r="N54" i="8" s="1"/>
  <c r="E19" i="50"/>
  <c r="B20" i="50"/>
  <c r="O17" i="8"/>
  <c r="N55" i="8"/>
  <c r="N56" i="8" s="1"/>
  <c r="N57" i="8"/>
  <c r="S23" i="8"/>
  <c r="O19" i="8"/>
  <c r="N65" i="8"/>
  <c r="N67" i="8"/>
  <c r="N69" i="8" s="1"/>
  <c r="M26" i="42"/>
  <c r="L39" i="42"/>
  <c r="N28" i="38"/>
  <c r="N27" i="38"/>
  <c r="M25" i="42"/>
  <c r="L38" i="42"/>
  <c r="L41" i="42" s="1"/>
  <c r="H69" i="39" l="1"/>
  <c r="I34" i="39"/>
  <c r="L85" i="38"/>
  <c r="L87" i="38" s="1"/>
  <c r="L83" i="38"/>
  <c r="L84" i="38" s="1"/>
  <c r="M38" i="38"/>
  <c r="M41" i="38"/>
  <c r="O36" i="39"/>
  <c r="N79" i="39"/>
  <c r="N81" i="39" s="1"/>
  <c r="N77" i="39"/>
  <c r="N78" i="39" s="1"/>
  <c r="V16" i="38"/>
  <c r="U18" i="38"/>
  <c r="M16" i="39"/>
  <c r="L17" i="39"/>
  <c r="G49" i="8"/>
  <c r="L42" i="39"/>
  <c r="H47" i="8"/>
  <c r="I15" i="8"/>
  <c r="Q25" i="41"/>
  <c r="Q24" i="41"/>
  <c r="Q27" i="41" s="1"/>
  <c r="Q37" i="41" s="1"/>
  <c r="Q43" i="41" s="1"/>
  <c r="Q52" i="41" s="1"/>
  <c r="Q26" i="41"/>
  <c r="M75" i="38"/>
  <c r="M77" i="38" s="1"/>
  <c r="M73" i="38"/>
  <c r="M74" i="38" s="1"/>
  <c r="N36" i="38"/>
  <c r="M16" i="42"/>
  <c r="N14" i="42"/>
  <c r="M19" i="42"/>
  <c r="M40" i="42"/>
  <c r="M37" i="42"/>
  <c r="L86" i="42"/>
  <c r="L87" i="42" s="1"/>
  <c r="L88" i="42"/>
  <c r="L90" i="42" s="1"/>
  <c r="J29" i="41"/>
  <c r="I51" i="41"/>
  <c r="I53" i="41" s="1"/>
  <c r="I49" i="41"/>
  <c r="I50" i="41" s="1"/>
  <c r="R17" i="41"/>
  <c r="R19" i="41" s="1"/>
  <c r="S14" i="41"/>
  <c r="L82" i="39"/>
  <c r="L83" i="39" s="1"/>
  <c r="M37" i="39"/>
  <c r="L84" i="39"/>
  <c r="L86" i="39" s="1"/>
  <c r="X16" i="39"/>
  <c r="X17" i="39" s="1"/>
  <c r="W17" i="39"/>
  <c r="O69" i="41"/>
  <c r="O70" i="41" s="1"/>
  <c r="O71" i="41"/>
  <c r="O73" i="41" s="1"/>
  <c r="P33" i="41"/>
  <c r="L56" i="41"/>
  <c r="L58" i="41" s="1"/>
  <c r="M30" i="41"/>
  <c r="L54" i="41"/>
  <c r="L55" i="41" s="1"/>
  <c r="G25" i="38"/>
  <c r="G47" i="38"/>
  <c r="N73" i="39"/>
  <c r="N78" i="42"/>
  <c r="N80" i="42" s="1"/>
  <c r="O35" i="42"/>
  <c r="N76" i="42"/>
  <c r="N77" i="42" s="1"/>
  <c r="I15" i="42"/>
  <c r="H20" i="42"/>
  <c r="H21" i="42"/>
  <c r="N64" i="41"/>
  <c r="N65" i="41" s="1"/>
  <c r="N66" i="41"/>
  <c r="N68" i="41" s="1"/>
  <c r="O32" i="41"/>
  <c r="K79" i="38"/>
  <c r="N73" i="42"/>
  <c r="N75" i="42" s="1"/>
  <c r="N71" i="42"/>
  <c r="N72" i="42" s="1"/>
  <c r="O34" i="42"/>
  <c r="F32" i="38"/>
  <c r="F31" i="38"/>
  <c r="F30" i="38"/>
  <c r="M37" i="38"/>
  <c r="L80" i="38"/>
  <c r="L82" i="38" s="1"/>
  <c r="L78" i="38"/>
  <c r="L79" i="38" s="1"/>
  <c r="K35" i="38"/>
  <c r="J70" i="38"/>
  <c r="M83" i="42"/>
  <c r="M85" i="42" s="1"/>
  <c r="M81" i="42"/>
  <c r="M82" i="42" s="1"/>
  <c r="N36" i="42"/>
  <c r="K32" i="8"/>
  <c r="K33" i="8" s="1"/>
  <c r="L90" i="38"/>
  <c r="L92" i="38" s="1"/>
  <c r="M39" i="38"/>
  <c r="L88" i="38"/>
  <c r="M65" i="41"/>
  <c r="I15" i="39"/>
  <c r="H21" i="39"/>
  <c r="H22" i="39" s="1"/>
  <c r="E48" i="38"/>
  <c r="I39" i="8"/>
  <c r="J21" i="8"/>
  <c r="E45" i="39"/>
  <c r="E32" i="39"/>
  <c r="N13" i="8"/>
  <c r="M27" i="8"/>
  <c r="E46" i="42"/>
  <c r="G23" i="42"/>
  <c r="G45" i="42"/>
  <c r="G46" i="39"/>
  <c r="G24" i="39"/>
  <c r="K68" i="42"/>
  <c r="L33" i="42"/>
  <c r="P35" i="39"/>
  <c r="O72" i="39"/>
  <c r="O73" i="39" s="1"/>
  <c r="O74" i="39"/>
  <c r="O76" i="39" s="1"/>
  <c r="L85" i="42"/>
  <c r="I15" i="38"/>
  <c r="H22" i="38"/>
  <c r="H23" i="38" s="1"/>
  <c r="N14" i="38"/>
  <c r="M42" i="38"/>
  <c r="M17" i="38"/>
  <c r="M21" i="38"/>
  <c r="F30" i="42"/>
  <c r="F28" i="42"/>
  <c r="F29" i="42"/>
  <c r="F30" i="39"/>
  <c r="F29" i="39"/>
  <c r="F31" i="39"/>
  <c r="H48" i="8"/>
  <c r="H45" i="8"/>
  <c r="H46" i="8" s="1"/>
  <c r="P87" i="39"/>
  <c r="P88" i="39" s="1"/>
  <c r="Q38" i="39"/>
  <c r="P89" i="39"/>
  <c r="P91" i="39" s="1"/>
  <c r="M77" i="42"/>
  <c r="L31" i="8"/>
  <c r="L30" i="8"/>
  <c r="L29" i="8"/>
  <c r="O91" i="39"/>
  <c r="Q31" i="41"/>
  <c r="P61" i="41"/>
  <c r="P63" i="41" s="1"/>
  <c r="P59" i="41"/>
  <c r="M41" i="39"/>
  <c r="M39" i="39"/>
  <c r="N14" i="39"/>
  <c r="M40" i="39"/>
  <c r="M20" i="39"/>
  <c r="P16" i="8"/>
  <c r="O50" i="8"/>
  <c r="O51" i="8" s="1"/>
  <c r="O52" i="8"/>
  <c r="O54" i="8" s="1"/>
  <c r="S24" i="8"/>
  <c r="M62" i="8"/>
  <c r="M64" i="8" s="1"/>
  <c r="N18" i="8"/>
  <c r="M60" i="8"/>
  <c r="M61" i="8" s="1"/>
  <c r="D20" i="50"/>
  <c r="C20" i="50" s="1"/>
  <c r="N66" i="8"/>
  <c r="N59" i="8"/>
  <c r="T23" i="8"/>
  <c r="P19" i="8"/>
  <c r="O65" i="8"/>
  <c r="O66" i="8" s="1"/>
  <c r="O67" i="8"/>
  <c r="O55" i="8"/>
  <c r="O56" i="8" s="1"/>
  <c r="O57" i="8"/>
  <c r="O59" i="8" s="1"/>
  <c r="P17" i="8"/>
  <c r="M39" i="42"/>
  <c r="N26" i="42"/>
  <c r="O27" i="38"/>
  <c r="N40" i="38"/>
  <c r="N43" i="38" s="1"/>
  <c r="O28" i="38"/>
  <c r="N41" i="38"/>
  <c r="N25" i="42"/>
  <c r="M38" i="42"/>
  <c r="M41" i="42" s="1"/>
  <c r="I69" i="39" l="1"/>
  <c r="J34" i="39"/>
  <c r="H49" i="8"/>
  <c r="M85" i="38"/>
  <c r="M87" i="38" s="1"/>
  <c r="N38" i="38"/>
  <c r="M83" i="38"/>
  <c r="M84" i="38" s="1"/>
  <c r="O77" i="39"/>
  <c r="O78" i="39" s="1"/>
  <c r="O79" i="39"/>
  <c r="O81" i="39" s="1"/>
  <c r="P36" i="39"/>
  <c r="M17" i="39"/>
  <c r="N16" i="39"/>
  <c r="N17" i="39" s="1"/>
  <c r="W16" i="38"/>
  <c r="V18" i="38"/>
  <c r="Q33" i="41"/>
  <c r="P71" i="41"/>
  <c r="P73" i="41" s="1"/>
  <c r="P69" i="41"/>
  <c r="P70" i="41" s="1"/>
  <c r="T14" i="41"/>
  <c r="S17" i="41"/>
  <c r="S19" i="41" s="1"/>
  <c r="J51" i="41"/>
  <c r="J53" i="41" s="1"/>
  <c r="K29" i="41"/>
  <c r="J49" i="41"/>
  <c r="J50" i="41" s="1"/>
  <c r="R25" i="41"/>
  <c r="R26" i="41"/>
  <c r="R24" i="41"/>
  <c r="R27" i="41" s="1"/>
  <c r="R37" i="41" s="1"/>
  <c r="R43" i="41" s="1"/>
  <c r="R52" i="41" s="1"/>
  <c r="O14" i="42"/>
  <c r="N16" i="42"/>
  <c r="N19" i="42"/>
  <c r="N40" i="42"/>
  <c r="J15" i="8"/>
  <c r="I47" i="8"/>
  <c r="N73" i="38"/>
  <c r="N74" i="38" s="1"/>
  <c r="N75" i="38"/>
  <c r="N77" i="38" s="1"/>
  <c r="O36" i="38"/>
  <c r="M56" i="41"/>
  <c r="M58" i="41" s="1"/>
  <c r="M54" i="41"/>
  <c r="M55" i="41" s="1"/>
  <c r="N30" i="41"/>
  <c r="N37" i="39"/>
  <c r="M82" i="39"/>
  <c r="M83" i="39" s="1"/>
  <c r="M84" i="39"/>
  <c r="M86" i="39" s="1"/>
  <c r="M88" i="42"/>
  <c r="M90" i="42" s="1"/>
  <c r="N37" i="42"/>
  <c r="M86" i="42"/>
  <c r="M87" i="42" s="1"/>
  <c r="H25" i="38"/>
  <c r="H47" i="38"/>
  <c r="F32" i="39"/>
  <c r="F45" i="39"/>
  <c r="F47" i="39" s="1"/>
  <c r="F61" i="39" s="1"/>
  <c r="E60" i="42"/>
  <c r="O66" i="41"/>
  <c r="O68" i="41" s="1"/>
  <c r="P32" i="41"/>
  <c r="O64" i="41"/>
  <c r="J39" i="8"/>
  <c r="K21" i="8"/>
  <c r="H46" i="39"/>
  <c r="H24" i="39"/>
  <c r="L89" i="38"/>
  <c r="F46" i="38"/>
  <c r="F33" i="38"/>
  <c r="I20" i="42"/>
  <c r="I21" i="42"/>
  <c r="J15" i="42"/>
  <c r="Q61" i="41"/>
  <c r="Q63" i="41" s="1"/>
  <c r="R31" i="41"/>
  <c r="Q59" i="41"/>
  <c r="Q60" i="41" s="1"/>
  <c r="F44" i="42"/>
  <c r="F31" i="42"/>
  <c r="G30" i="42"/>
  <c r="G29" i="42"/>
  <c r="G28" i="42"/>
  <c r="N27" i="8"/>
  <c r="O13" i="8"/>
  <c r="E62" i="38"/>
  <c r="N83" i="42"/>
  <c r="N85" i="42" s="1"/>
  <c r="O36" i="42"/>
  <c r="N81" i="42"/>
  <c r="L35" i="38"/>
  <c r="K70" i="38"/>
  <c r="O73" i="42"/>
  <c r="O75" i="42" s="1"/>
  <c r="P34" i="42"/>
  <c r="O71" i="42"/>
  <c r="O72" i="42" s="1"/>
  <c r="N40" i="39"/>
  <c r="N39" i="39"/>
  <c r="O14" i="39"/>
  <c r="N20" i="39"/>
  <c r="N41" i="39"/>
  <c r="P60" i="41"/>
  <c r="P74" i="39"/>
  <c r="P76" i="39" s="1"/>
  <c r="Q35" i="39"/>
  <c r="P72" i="39"/>
  <c r="P73" i="39" s="1"/>
  <c r="L68" i="42"/>
  <c r="M33" i="42"/>
  <c r="E47" i="39"/>
  <c r="I48" i="8"/>
  <c r="I49" i="8" s="1"/>
  <c r="I45" i="8"/>
  <c r="I46" i="8" s="1"/>
  <c r="J15" i="39"/>
  <c r="I21" i="39"/>
  <c r="I22" i="39" s="1"/>
  <c r="M90" i="38"/>
  <c r="M92" i="38" s="1"/>
  <c r="N39" i="38"/>
  <c r="M88" i="38"/>
  <c r="M89" i="38" s="1"/>
  <c r="G32" i="38"/>
  <c r="G31" i="38"/>
  <c r="G30" i="38"/>
  <c r="M42" i="39"/>
  <c r="L32" i="8"/>
  <c r="L33" i="8" s="1"/>
  <c r="Q87" i="39"/>
  <c r="Q88" i="39" s="1"/>
  <c r="Q89" i="39"/>
  <c r="Q91" i="39" s="1"/>
  <c r="R38" i="39"/>
  <c r="O14" i="38"/>
  <c r="O41" i="38" s="1"/>
  <c r="N42" i="38"/>
  <c r="N17" i="38"/>
  <c r="N21" i="38"/>
  <c r="J15" i="38"/>
  <c r="I22" i="38"/>
  <c r="I23" i="38" s="1"/>
  <c r="G30" i="39"/>
  <c r="G31" i="39"/>
  <c r="G29" i="39"/>
  <c r="M31" i="8"/>
  <c r="M29" i="8"/>
  <c r="M30" i="8"/>
  <c r="N37" i="38"/>
  <c r="M80" i="38"/>
  <c r="M82" i="38" s="1"/>
  <c r="M78" i="38"/>
  <c r="M79" i="38" s="1"/>
  <c r="H23" i="42"/>
  <c r="H45" i="42"/>
  <c r="P35" i="42"/>
  <c r="O78" i="42"/>
  <c r="O80" i="42" s="1"/>
  <c r="O76" i="42"/>
  <c r="P50" i="8"/>
  <c r="P51" i="8" s="1"/>
  <c r="P52" i="8"/>
  <c r="P54" i="8" s="1"/>
  <c r="Q16" i="8"/>
  <c r="T24" i="8"/>
  <c r="O18" i="8"/>
  <c r="N60" i="8"/>
  <c r="N61" i="8" s="1"/>
  <c r="N62" i="8"/>
  <c r="N64" i="8" s="1"/>
  <c r="B21" i="50"/>
  <c r="E20" i="50"/>
  <c r="Q17" i="8"/>
  <c r="P57" i="8"/>
  <c r="P59" i="8" s="1"/>
  <c r="P55" i="8"/>
  <c r="P56" i="8" s="1"/>
  <c r="Q19" i="8"/>
  <c r="P67" i="8"/>
  <c r="P69" i="8" s="1"/>
  <c r="P65" i="8"/>
  <c r="P66" i="8" s="1"/>
  <c r="O69" i="8"/>
  <c r="U23" i="8"/>
  <c r="N39" i="42"/>
  <c r="O26" i="42"/>
  <c r="O25" i="42"/>
  <c r="N38" i="42"/>
  <c r="N41" i="42" s="1"/>
  <c r="P28" i="38"/>
  <c r="P27" i="38"/>
  <c r="K34" i="39" l="1"/>
  <c r="J69" i="39"/>
  <c r="N85" i="38"/>
  <c r="N87" i="38" s="1"/>
  <c r="N83" i="38"/>
  <c r="N84" i="38" s="1"/>
  <c r="O38" i="38"/>
  <c r="Q36" i="39"/>
  <c r="P77" i="39"/>
  <c r="P78" i="39" s="1"/>
  <c r="P79" i="39"/>
  <c r="P81" i="39" s="1"/>
  <c r="W18" i="38"/>
  <c r="X16" i="38"/>
  <c r="X18" i="38" s="1"/>
  <c r="F48" i="38"/>
  <c r="Y46" i="38"/>
  <c r="O37" i="42"/>
  <c r="N88" i="42"/>
  <c r="N90" i="42" s="1"/>
  <c r="N86" i="42"/>
  <c r="N87" i="42" s="1"/>
  <c r="N84" i="39"/>
  <c r="N86" i="39" s="1"/>
  <c r="O37" i="39"/>
  <c r="N82" i="39"/>
  <c r="N83" i="39" s="1"/>
  <c r="O73" i="38"/>
  <c r="O74" i="38" s="1"/>
  <c r="O75" i="38"/>
  <c r="O77" i="38" s="1"/>
  <c r="P36" i="38"/>
  <c r="J47" i="8"/>
  <c r="K15" i="8"/>
  <c r="O16" i="42"/>
  <c r="O40" i="42"/>
  <c r="P14" i="42"/>
  <c r="O19" i="42"/>
  <c r="S26" i="41"/>
  <c r="S25" i="41"/>
  <c r="S24" i="41"/>
  <c r="S27" i="41" s="1"/>
  <c r="S37" i="41" s="1"/>
  <c r="S43" i="41" s="1"/>
  <c r="S52" i="41" s="1"/>
  <c r="Q69" i="41"/>
  <c r="Q70" i="41" s="1"/>
  <c r="Q71" i="41"/>
  <c r="Q73" i="41" s="1"/>
  <c r="R33" i="41"/>
  <c r="N56" i="41"/>
  <c r="N58" i="41" s="1"/>
  <c r="N54" i="41"/>
  <c r="N55" i="41" s="1"/>
  <c r="O30" i="41"/>
  <c r="K49" i="41"/>
  <c r="K50" i="41" s="1"/>
  <c r="K51" i="41"/>
  <c r="K53" i="41" s="1"/>
  <c r="L29" i="41"/>
  <c r="U14" i="41"/>
  <c r="T17" i="41"/>
  <c r="T19" i="41" s="1"/>
  <c r="O83" i="42"/>
  <c r="O85" i="42" s="1"/>
  <c r="P36" i="42"/>
  <c r="O81" i="42"/>
  <c r="O82" i="42" s="1"/>
  <c r="O27" i="8"/>
  <c r="P13" i="8"/>
  <c r="O65" i="41"/>
  <c r="O77" i="42"/>
  <c r="H30" i="42"/>
  <c r="H28" i="42"/>
  <c r="H29" i="42"/>
  <c r="O37" i="38"/>
  <c r="N80" i="38"/>
  <c r="N82" i="38" s="1"/>
  <c r="N78" i="38"/>
  <c r="N79" i="38" s="1"/>
  <c r="M32" i="8"/>
  <c r="M33" i="8" s="1"/>
  <c r="I46" i="39"/>
  <c r="I24" i="39"/>
  <c r="P73" i="42"/>
  <c r="P75" i="42" s="1"/>
  <c r="Q34" i="42"/>
  <c r="P71" i="42"/>
  <c r="P72" i="42" s="1"/>
  <c r="N31" i="8"/>
  <c r="N29" i="8"/>
  <c r="N30" i="8"/>
  <c r="F46" i="42"/>
  <c r="Y44" i="42"/>
  <c r="K39" i="8"/>
  <c r="L21" i="8"/>
  <c r="P66" i="41"/>
  <c r="P68" i="41" s="1"/>
  <c r="Q32" i="41"/>
  <c r="P64" i="41"/>
  <c r="P65" i="41" s="1"/>
  <c r="E69" i="42"/>
  <c r="E66" i="42"/>
  <c r="K15" i="39"/>
  <c r="J21" i="39"/>
  <c r="J22" i="39" s="1"/>
  <c r="E61" i="39"/>
  <c r="Q74" i="39"/>
  <c r="Q76" i="39" s="1"/>
  <c r="R35" i="39"/>
  <c r="Q72" i="39"/>
  <c r="Q73" i="39" s="1"/>
  <c r="O41" i="39"/>
  <c r="O39" i="39"/>
  <c r="P14" i="39"/>
  <c r="O20" i="39"/>
  <c r="O40" i="39"/>
  <c r="L70" i="38"/>
  <c r="M35" i="38"/>
  <c r="G44" i="42"/>
  <c r="G46" i="42" s="1"/>
  <c r="G60" i="42" s="1"/>
  <c r="G31" i="42"/>
  <c r="K15" i="42"/>
  <c r="J21" i="42"/>
  <c r="J20" i="42"/>
  <c r="J48" i="8"/>
  <c r="J45" i="8"/>
  <c r="J46" i="8" s="1"/>
  <c r="F70" i="39"/>
  <c r="F71" i="39" s="1"/>
  <c r="F67" i="39"/>
  <c r="F68" i="39" s="1"/>
  <c r="I25" i="38"/>
  <c r="I47" i="38"/>
  <c r="P14" i="38"/>
  <c r="O42" i="38"/>
  <c r="O17" i="38"/>
  <c r="O21" i="38"/>
  <c r="O40" i="38"/>
  <c r="O43" i="38" s="1"/>
  <c r="Q35" i="42"/>
  <c r="P78" i="42"/>
  <c r="P80" i="42" s="1"/>
  <c r="P76" i="42"/>
  <c r="P77" i="42" s="1"/>
  <c r="G32" i="39"/>
  <c r="G45" i="39"/>
  <c r="K15" i="38"/>
  <c r="J22" i="38"/>
  <c r="J23" i="38" s="1"/>
  <c r="R87" i="39"/>
  <c r="R88" i="39" s="1"/>
  <c r="S38" i="39"/>
  <c r="R89" i="39"/>
  <c r="R91" i="39" s="1"/>
  <c r="G33" i="38"/>
  <c r="G46" i="38"/>
  <c r="G48" i="38" s="1"/>
  <c r="G62" i="38" s="1"/>
  <c r="N90" i="38"/>
  <c r="N92" i="38" s="1"/>
  <c r="O39" i="38"/>
  <c r="N88" i="38"/>
  <c r="N89" i="38" s="1"/>
  <c r="N33" i="42"/>
  <c r="M68" i="42"/>
  <c r="N42" i="39"/>
  <c r="N82" i="42"/>
  <c r="E71" i="38"/>
  <c r="E68" i="38"/>
  <c r="S31" i="41"/>
  <c r="R61" i="41"/>
  <c r="R63" i="41" s="1"/>
  <c r="R59" i="41"/>
  <c r="I23" i="42"/>
  <c r="I45" i="42"/>
  <c r="H30" i="39"/>
  <c r="H31" i="39"/>
  <c r="H29" i="39"/>
  <c r="H32" i="38"/>
  <c r="H30" i="38"/>
  <c r="H31" i="38"/>
  <c r="O60" i="8"/>
  <c r="O61" i="8" s="1"/>
  <c r="P18" i="8"/>
  <c r="O62" i="8"/>
  <c r="O64" i="8" s="1"/>
  <c r="R16" i="8"/>
  <c r="Q52" i="8"/>
  <c r="Q54" i="8" s="1"/>
  <c r="Q50" i="8"/>
  <c r="Q51" i="8" s="1"/>
  <c r="U24" i="8"/>
  <c r="D21" i="50"/>
  <c r="C21" i="50" s="1"/>
  <c r="R19" i="8"/>
  <c r="Q67" i="8"/>
  <c r="Q69" i="8" s="1"/>
  <c r="Q65" i="8"/>
  <c r="Q66" i="8" s="1"/>
  <c r="V23" i="8"/>
  <c r="R17" i="8"/>
  <c r="Q57" i="8"/>
  <c r="Q59" i="8" s="1"/>
  <c r="Q55" i="8"/>
  <c r="Q56" i="8" s="1"/>
  <c r="P26" i="42"/>
  <c r="O39" i="42"/>
  <c r="P25" i="42"/>
  <c r="O38" i="42"/>
  <c r="O41" i="42" s="1"/>
  <c r="Q27" i="38"/>
  <c r="P40" i="38"/>
  <c r="P43" i="38" s="1"/>
  <c r="Q28" i="38"/>
  <c r="P41" i="38"/>
  <c r="K69" i="39" l="1"/>
  <c r="L34" i="39"/>
  <c r="O85" i="38"/>
  <c r="O87" i="38" s="1"/>
  <c r="O83" i="38"/>
  <c r="O84" i="38" s="1"/>
  <c r="P38" i="38"/>
  <c r="Q77" i="39"/>
  <c r="Q78" i="39" s="1"/>
  <c r="R36" i="39"/>
  <c r="Q79" i="39"/>
  <c r="Q81" i="39" s="1"/>
  <c r="N32" i="8"/>
  <c r="N33" i="8" s="1"/>
  <c r="Q14" i="42"/>
  <c r="P16" i="42"/>
  <c r="P40" i="42"/>
  <c r="P19" i="42"/>
  <c r="J49" i="8"/>
  <c r="T24" i="41"/>
  <c r="T27" i="41" s="1"/>
  <c r="T37" i="41" s="1"/>
  <c r="T43" i="41" s="1"/>
  <c r="T52" i="41" s="1"/>
  <c r="T26" i="41"/>
  <c r="T25" i="41"/>
  <c r="S33" i="41"/>
  <c r="R71" i="41"/>
  <c r="R73" i="41" s="1"/>
  <c r="R69" i="41"/>
  <c r="R70" i="41" s="1"/>
  <c r="Q36" i="38"/>
  <c r="P75" i="38"/>
  <c r="P77" i="38" s="1"/>
  <c r="P73" i="38"/>
  <c r="P74" i="38" s="1"/>
  <c r="O82" i="39"/>
  <c r="O83" i="39" s="1"/>
  <c r="P37" i="39"/>
  <c r="O84" i="39"/>
  <c r="O86" i="39" s="1"/>
  <c r="O88" i="42"/>
  <c r="O90" i="42" s="1"/>
  <c r="P37" i="42"/>
  <c r="O86" i="42"/>
  <c r="O87" i="42" s="1"/>
  <c r="G47" i="39"/>
  <c r="U17" i="41"/>
  <c r="U19" i="41" s="1"/>
  <c r="V14" i="41"/>
  <c r="P30" i="41"/>
  <c r="O56" i="41"/>
  <c r="O58" i="41" s="1"/>
  <c r="O54" i="41"/>
  <c r="O55" i="41" s="1"/>
  <c r="L49" i="41"/>
  <c r="L50" i="41" s="1"/>
  <c r="M29" i="41"/>
  <c r="L51" i="41"/>
  <c r="L53" i="41" s="1"/>
  <c r="L15" i="8"/>
  <c r="K47" i="8"/>
  <c r="F62" i="38"/>
  <c r="Y48" i="38"/>
  <c r="H33" i="38"/>
  <c r="H46" i="38"/>
  <c r="H48" i="38" s="1"/>
  <c r="H62" i="38" s="1"/>
  <c r="T31" i="41"/>
  <c r="S61" i="41"/>
  <c r="S63" i="41" s="1"/>
  <c r="S59" i="41"/>
  <c r="S60" i="41" s="1"/>
  <c r="I30" i="42"/>
  <c r="I29" i="42"/>
  <c r="I28" i="42"/>
  <c r="S89" i="39"/>
  <c r="S91" i="39" s="1"/>
  <c r="T38" i="39"/>
  <c r="S87" i="39"/>
  <c r="S88" i="39" s="1"/>
  <c r="L15" i="38"/>
  <c r="K22" i="38"/>
  <c r="K23" i="38" s="1"/>
  <c r="I32" i="38"/>
  <c r="I31" i="38"/>
  <c r="I30" i="38"/>
  <c r="L15" i="39"/>
  <c r="K21" i="39"/>
  <c r="K22" i="39" s="1"/>
  <c r="I29" i="39"/>
  <c r="I31" i="39"/>
  <c r="I30" i="39"/>
  <c r="P83" i="42"/>
  <c r="P85" i="42" s="1"/>
  <c r="Q36" i="42"/>
  <c r="P81" i="42"/>
  <c r="P82" i="42" s="1"/>
  <c r="R60" i="41"/>
  <c r="E69" i="38"/>
  <c r="P39" i="38"/>
  <c r="O90" i="38"/>
  <c r="O92" i="38" s="1"/>
  <c r="O88" i="38"/>
  <c r="O89" i="38" s="1"/>
  <c r="G71" i="38"/>
  <c r="G72" i="38" s="1"/>
  <c r="G68" i="38"/>
  <c r="G69" i="38" s="1"/>
  <c r="Q14" i="38"/>
  <c r="Q41" i="38" s="1"/>
  <c r="P42" i="38"/>
  <c r="P17" i="38"/>
  <c r="P21" i="38"/>
  <c r="J23" i="42"/>
  <c r="J45" i="42"/>
  <c r="M70" i="38"/>
  <c r="N35" i="38"/>
  <c r="P39" i="39"/>
  <c r="Q14" i="39"/>
  <c r="P41" i="39"/>
  <c r="P40" i="39"/>
  <c r="P20" i="39"/>
  <c r="M21" i="8"/>
  <c r="L39" i="8"/>
  <c r="P37" i="38"/>
  <c r="O80" i="38"/>
  <c r="O82" i="38" s="1"/>
  <c r="O78" i="38"/>
  <c r="O79" i="38" s="1"/>
  <c r="Q13" i="8"/>
  <c r="P27" i="8"/>
  <c r="H32" i="39"/>
  <c r="H45" i="39"/>
  <c r="H47" i="39" s="1"/>
  <c r="H61" i="39" s="1"/>
  <c r="E72" i="38"/>
  <c r="Q78" i="42"/>
  <c r="Q80" i="42" s="1"/>
  <c r="R35" i="42"/>
  <c r="Q76" i="42"/>
  <c r="Q77" i="42" s="1"/>
  <c r="L15" i="42"/>
  <c r="K21" i="42"/>
  <c r="K20" i="42"/>
  <c r="O42" i="39"/>
  <c r="E70" i="39"/>
  <c r="E67" i="39"/>
  <c r="E67" i="42"/>
  <c r="K48" i="8"/>
  <c r="K45" i="8"/>
  <c r="K46" i="8" s="1"/>
  <c r="F60" i="42"/>
  <c r="Y60" i="42" s="1"/>
  <c r="Y46" i="42"/>
  <c r="O31" i="8"/>
  <c r="O29" i="8"/>
  <c r="O30" i="8"/>
  <c r="N68" i="42"/>
  <c r="O33" i="42"/>
  <c r="J25" i="38"/>
  <c r="J47" i="38"/>
  <c r="G66" i="42"/>
  <c r="G67" i="42" s="1"/>
  <c r="G69" i="42"/>
  <c r="G70" i="42" s="1"/>
  <c r="R72" i="39"/>
  <c r="R73" i="39" s="1"/>
  <c r="S35" i="39"/>
  <c r="R74" i="39"/>
  <c r="R76" i="39" s="1"/>
  <c r="J24" i="39"/>
  <c r="J46" i="39"/>
  <c r="E70" i="42"/>
  <c r="Q66" i="41"/>
  <c r="Q68" i="41" s="1"/>
  <c r="R32" i="41"/>
  <c r="Q64" i="41"/>
  <c r="Q65" i="41" s="1"/>
  <c r="R34" i="42"/>
  <c r="Q73" i="42"/>
  <c r="Q75" i="42" s="1"/>
  <c r="Q71" i="42"/>
  <c r="Q72" i="42" s="1"/>
  <c r="H44" i="42"/>
  <c r="H46" i="42" s="1"/>
  <c r="H60" i="42" s="1"/>
  <c r="H31" i="42"/>
  <c r="R52" i="8"/>
  <c r="R54" i="8" s="1"/>
  <c r="R50" i="8"/>
  <c r="R51" i="8" s="1"/>
  <c r="S16" i="8"/>
  <c r="V24" i="8"/>
  <c r="P60" i="8"/>
  <c r="P61" i="8" s="1"/>
  <c r="P62" i="8"/>
  <c r="P64" i="8" s="1"/>
  <c r="Q18" i="8"/>
  <c r="B22" i="50"/>
  <c r="E21" i="50"/>
  <c r="S17" i="8"/>
  <c r="R57" i="8"/>
  <c r="R59" i="8" s="1"/>
  <c r="R55" i="8"/>
  <c r="R56" i="8" s="1"/>
  <c r="W23" i="8"/>
  <c r="S19" i="8"/>
  <c r="R67" i="8"/>
  <c r="R69" i="8" s="1"/>
  <c r="R65" i="8"/>
  <c r="R66" i="8" s="1"/>
  <c r="P39" i="42"/>
  <c r="Q26" i="42"/>
  <c r="Q25" i="42"/>
  <c r="P38" i="42"/>
  <c r="P41" i="42" s="1"/>
  <c r="R27" i="38"/>
  <c r="R28" i="38"/>
  <c r="M34" i="39" l="1"/>
  <c r="L69" i="39"/>
  <c r="K49" i="8"/>
  <c r="Q38" i="38"/>
  <c r="P85" i="38"/>
  <c r="P87" i="38" s="1"/>
  <c r="P83" i="38"/>
  <c r="P84" i="38" s="1"/>
  <c r="Q40" i="38"/>
  <c r="Q43" i="38" s="1"/>
  <c r="P42" i="39"/>
  <c r="R79" i="39"/>
  <c r="R81" i="39" s="1"/>
  <c r="R77" i="39"/>
  <c r="R78" i="39" s="1"/>
  <c r="S36" i="39"/>
  <c r="Y62" i="38"/>
  <c r="F71" i="38"/>
  <c r="F68" i="38"/>
  <c r="N29" i="41"/>
  <c r="M51" i="41"/>
  <c r="M53" i="41" s="1"/>
  <c r="M49" i="41"/>
  <c r="M50" i="41" s="1"/>
  <c r="P84" i="39"/>
  <c r="P86" i="39" s="1"/>
  <c r="P82" i="39"/>
  <c r="P83" i="39" s="1"/>
  <c r="Q37" i="39"/>
  <c r="R36" i="38"/>
  <c r="Q75" i="38"/>
  <c r="Q77" i="38" s="1"/>
  <c r="Q73" i="38"/>
  <c r="Q74" i="38" s="1"/>
  <c r="U25" i="41"/>
  <c r="U24" i="41"/>
  <c r="U27" i="41" s="1"/>
  <c r="U37" i="41" s="1"/>
  <c r="U43" i="41" s="1"/>
  <c r="U52" i="41" s="1"/>
  <c r="U26" i="41"/>
  <c r="P88" i="42"/>
  <c r="P90" i="42" s="1"/>
  <c r="Q37" i="42"/>
  <c r="P86" i="42"/>
  <c r="P87" i="42" s="1"/>
  <c r="M15" i="8"/>
  <c r="L47" i="8"/>
  <c r="W14" i="41"/>
  <c r="V17" i="41"/>
  <c r="V19" i="41" s="1"/>
  <c r="P54" i="41"/>
  <c r="P55" i="41" s="1"/>
  <c r="P56" i="41"/>
  <c r="P58" i="41" s="1"/>
  <c r="Q30" i="41"/>
  <c r="G61" i="39"/>
  <c r="T33" i="41"/>
  <c r="S71" i="41"/>
  <c r="S73" i="41" s="1"/>
  <c r="S69" i="41"/>
  <c r="S70" i="41" s="1"/>
  <c r="Q40" i="42"/>
  <c r="Q19" i="42"/>
  <c r="R14" i="42"/>
  <c r="Q16" i="42"/>
  <c r="H66" i="42"/>
  <c r="H67" i="42" s="1"/>
  <c r="H69" i="42"/>
  <c r="H70" i="42" s="1"/>
  <c r="J29" i="39"/>
  <c r="J30" i="39"/>
  <c r="J31" i="39"/>
  <c r="J32" i="38"/>
  <c r="J31" i="38"/>
  <c r="J30" i="38"/>
  <c r="O32" i="8"/>
  <c r="O33" i="8" s="1"/>
  <c r="E68" i="39"/>
  <c r="R78" i="42"/>
  <c r="R80" i="42" s="1"/>
  <c r="S35" i="42"/>
  <c r="R76" i="42"/>
  <c r="R77" i="42" s="1"/>
  <c r="H70" i="39"/>
  <c r="H71" i="39" s="1"/>
  <c r="H67" i="39"/>
  <c r="H68" i="39" s="1"/>
  <c r="Q41" i="39"/>
  <c r="Q39" i="39"/>
  <c r="Q40" i="39"/>
  <c r="R14" i="39"/>
  <c r="Q20" i="39"/>
  <c r="M15" i="39"/>
  <c r="L21" i="39"/>
  <c r="L22" i="39" s="1"/>
  <c r="I46" i="38"/>
  <c r="I48" i="38" s="1"/>
  <c r="I62" i="38" s="1"/>
  <c r="I33" i="38"/>
  <c r="K25" i="38"/>
  <c r="K47" i="38"/>
  <c r="I44" i="42"/>
  <c r="I46" i="42" s="1"/>
  <c r="I60" i="42" s="1"/>
  <c r="I31" i="42"/>
  <c r="R73" i="42"/>
  <c r="R75" i="42" s="1"/>
  <c r="R71" i="42"/>
  <c r="R72" i="42" s="1"/>
  <c r="S34" i="42"/>
  <c r="P33" i="42"/>
  <c r="O68" i="42"/>
  <c r="K23" i="42"/>
  <c r="K45" i="42"/>
  <c r="P31" i="8"/>
  <c r="P29" i="8"/>
  <c r="P30" i="8"/>
  <c r="Q37" i="38"/>
  <c r="P80" i="38"/>
  <c r="P82" i="38" s="1"/>
  <c r="P78" i="38"/>
  <c r="P79" i="38" s="1"/>
  <c r="Q83" i="42"/>
  <c r="Q85" i="42" s="1"/>
  <c r="R36" i="42"/>
  <c r="Q81" i="42"/>
  <c r="Q82" i="42" s="1"/>
  <c r="I45" i="39"/>
  <c r="I47" i="39" s="1"/>
  <c r="I61" i="39" s="1"/>
  <c r="I32" i="39"/>
  <c r="M15" i="38"/>
  <c r="L22" i="38"/>
  <c r="L23" i="38" s="1"/>
  <c r="U31" i="41"/>
  <c r="T61" i="41"/>
  <c r="T63" i="41" s="1"/>
  <c r="T59" i="41"/>
  <c r="T60" i="41" s="1"/>
  <c r="S72" i="39"/>
  <c r="S73" i="39" s="1"/>
  <c r="S74" i="39"/>
  <c r="S76" i="39" s="1"/>
  <c r="T35" i="39"/>
  <c r="E71" i="39"/>
  <c r="L21" i="42"/>
  <c r="M15" i="42"/>
  <c r="L20" i="42"/>
  <c r="R13" i="8"/>
  <c r="Q27" i="8"/>
  <c r="L48" i="8"/>
  <c r="L45" i="8"/>
  <c r="L46" i="8" s="1"/>
  <c r="J30" i="42"/>
  <c r="J28" i="42"/>
  <c r="J29" i="42"/>
  <c r="R14" i="38"/>
  <c r="R40" i="38" s="1"/>
  <c r="R43" i="38" s="1"/>
  <c r="Q42" i="38"/>
  <c r="Q17" i="38"/>
  <c r="Q21" i="38"/>
  <c r="P90" i="38"/>
  <c r="P92" i="38" s="1"/>
  <c r="Q39" i="38"/>
  <c r="P88" i="38"/>
  <c r="P89" i="38" s="1"/>
  <c r="H71" i="38"/>
  <c r="H72" i="38" s="1"/>
  <c r="H68" i="38"/>
  <c r="H69" i="38" s="1"/>
  <c r="R66" i="41"/>
  <c r="R68" i="41" s="1"/>
  <c r="S32" i="41"/>
  <c r="R64" i="41"/>
  <c r="R65" i="41" s="1"/>
  <c r="F66" i="42"/>
  <c r="F69" i="42"/>
  <c r="N21" i="8"/>
  <c r="M39" i="8"/>
  <c r="N70" i="38"/>
  <c r="O35" i="38"/>
  <c r="K24" i="39"/>
  <c r="K46" i="39"/>
  <c r="T87" i="39"/>
  <c r="T88" i="39" s="1"/>
  <c r="U38" i="39"/>
  <c r="T89" i="39"/>
  <c r="T91" i="39" s="1"/>
  <c r="T16" i="8"/>
  <c r="S52" i="8"/>
  <c r="S54" i="8" s="1"/>
  <c r="S50" i="8"/>
  <c r="S51" i="8" s="1"/>
  <c r="Q60" i="8"/>
  <c r="Q61" i="8" s="1"/>
  <c r="R18" i="8"/>
  <c r="Q62" i="8"/>
  <c r="Q64" i="8" s="1"/>
  <c r="W24" i="8"/>
  <c r="D22" i="50"/>
  <c r="C22" i="50" s="1"/>
  <c r="T19" i="8"/>
  <c r="S67" i="8"/>
  <c r="S69" i="8" s="1"/>
  <c r="S65" i="8"/>
  <c r="S66" i="8" s="1"/>
  <c r="X23" i="8"/>
  <c r="T17" i="8"/>
  <c r="S57" i="8"/>
  <c r="S59" i="8" s="1"/>
  <c r="S55" i="8"/>
  <c r="S56" i="8" s="1"/>
  <c r="Q39" i="42"/>
  <c r="R26" i="42"/>
  <c r="R25" i="42"/>
  <c r="Q38" i="42"/>
  <c r="Q41" i="42" s="1"/>
  <c r="S28" i="38"/>
  <c r="S27" i="38"/>
  <c r="R41" i="38" l="1"/>
  <c r="N34" i="39"/>
  <c r="M69" i="39"/>
  <c r="R38" i="38"/>
  <c r="Q85" i="38"/>
  <c r="Q87" i="38" s="1"/>
  <c r="Q83" i="38"/>
  <c r="Q84" i="38" s="1"/>
  <c r="S79" i="39"/>
  <c r="S81" i="39" s="1"/>
  <c r="S77" i="39"/>
  <c r="S78" i="39" s="1"/>
  <c r="T36" i="39"/>
  <c r="L49" i="8"/>
  <c r="F70" i="42"/>
  <c r="Y70" i="42" s="1"/>
  <c r="Y69" i="42"/>
  <c r="G67" i="39"/>
  <c r="G70" i="39"/>
  <c r="F69" i="38"/>
  <c r="Y68" i="38"/>
  <c r="H3" i="38" s="1"/>
  <c r="K3" i="38" s="1"/>
  <c r="F67" i="42"/>
  <c r="Y66" i="42"/>
  <c r="H3" i="42" s="1"/>
  <c r="K3" i="42" s="1"/>
  <c r="R16" i="42"/>
  <c r="S14" i="42"/>
  <c r="R19" i="42"/>
  <c r="R40" i="42"/>
  <c r="Q54" i="41"/>
  <c r="Q55" i="41" s="1"/>
  <c r="Q56" i="41"/>
  <c r="Q58" i="41" s="1"/>
  <c r="R30" i="41"/>
  <c r="V25" i="41"/>
  <c r="V24" i="41"/>
  <c r="V27" i="41" s="1"/>
  <c r="V37" i="41" s="1"/>
  <c r="V43" i="41" s="1"/>
  <c r="V52" i="41" s="1"/>
  <c r="V26" i="41"/>
  <c r="N15" i="8"/>
  <c r="M47" i="8"/>
  <c r="F72" i="38"/>
  <c r="Y72" i="38" s="1"/>
  <c r="Y71" i="38"/>
  <c r="W17" i="41"/>
  <c r="W19" i="41" s="1"/>
  <c r="X14" i="41"/>
  <c r="R73" i="38"/>
  <c r="R74" i="38" s="1"/>
  <c r="R75" i="38"/>
  <c r="R77" i="38" s="1"/>
  <c r="S36" i="38"/>
  <c r="U33" i="41"/>
  <c r="T69" i="41"/>
  <c r="T71" i="41"/>
  <c r="Q86" i="42"/>
  <c r="Q87" i="42" s="1"/>
  <c r="R37" i="42"/>
  <c r="Q88" i="42"/>
  <c r="Q90" i="42" s="1"/>
  <c r="R37" i="39"/>
  <c r="Q84" i="39"/>
  <c r="Q86" i="39" s="1"/>
  <c r="Q82" i="39"/>
  <c r="Q83" i="39" s="1"/>
  <c r="O29" i="41"/>
  <c r="N49" i="41"/>
  <c r="N50" i="41" s="1"/>
  <c r="N51" i="41"/>
  <c r="N53" i="41" s="1"/>
  <c r="L25" i="38"/>
  <c r="L47" i="38"/>
  <c r="M48" i="8"/>
  <c r="M45" i="8"/>
  <c r="M46" i="8" s="1"/>
  <c r="S14" i="38"/>
  <c r="S41" i="38" s="1"/>
  <c r="R42" i="38"/>
  <c r="R17" i="38"/>
  <c r="R21" i="38"/>
  <c r="T72" i="39"/>
  <c r="T73" i="39" s="1"/>
  <c r="U35" i="39"/>
  <c r="T74" i="39"/>
  <c r="T76" i="39" s="1"/>
  <c r="N15" i="38"/>
  <c r="M22" i="38"/>
  <c r="M23" i="38" s="1"/>
  <c r="S78" i="42"/>
  <c r="S80" i="42" s="1"/>
  <c r="T35" i="42"/>
  <c r="S76" i="42"/>
  <c r="S77" i="42" s="1"/>
  <c r="K29" i="39"/>
  <c r="K30" i="39"/>
  <c r="K31" i="39"/>
  <c r="N39" i="8"/>
  <c r="O21" i="8"/>
  <c r="I70" i="39"/>
  <c r="I71" i="39" s="1"/>
  <c r="I67" i="39"/>
  <c r="I68" i="39" s="1"/>
  <c r="I71" i="38"/>
  <c r="I72" i="38" s="1"/>
  <c r="I68" i="38"/>
  <c r="I69" i="38" s="1"/>
  <c r="Q42" i="39"/>
  <c r="U89" i="39"/>
  <c r="U91" i="39" s="1"/>
  <c r="V38" i="39"/>
  <c r="U87" i="39"/>
  <c r="U88" i="39" s="1"/>
  <c r="O70" i="38"/>
  <c r="P35" i="38"/>
  <c r="Q90" i="38"/>
  <c r="Q92" i="38" s="1"/>
  <c r="R39" i="38"/>
  <c r="Q88" i="38"/>
  <c r="Q89" i="38" s="1"/>
  <c r="J31" i="42"/>
  <c r="J44" i="42"/>
  <c r="J46" i="42" s="1"/>
  <c r="J60" i="42" s="1"/>
  <c r="Q31" i="8"/>
  <c r="Q29" i="8"/>
  <c r="Q30" i="8"/>
  <c r="M21" i="42"/>
  <c r="N15" i="42"/>
  <c r="M20" i="42"/>
  <c r="Q80" i="38"/>
  <c r="Q82" i="38" s="1"/>
  <c r="R37" i="38"/>
  <c r="Q78" i="38"/>
  <c r="Q79" i="38" s="1"/>
  <c r="S73" i="42"/>
  <c r="S75" i="42" s="1"/>
  <c r="T34" i="42"/>
  <c r="S71" i="42"/>
  <c r="S72" i="42" s="1"/>
  <c r="L46" i="39"/>
  <c r="L24" i="39"/>
  <c r="J45" i="39"/>
  <c r="J47" i="39" s="1"/>
  <c r="J61" i="39" s="1"/>
  <c r="J32" i="39"/>
  <c r="V31" i="41"/>
  <c r="U61" i="41"/>
  <c r="U63" i="41" s="1"/>
  <c r="U59" i="41"/>
  <c r="U60" i="41" s="1"/>
  <c r="Q33" i="42"/>
  <c r="P68" i="42"/>
  <c r="I69" i="42"/>
  <c r="I70" i="42" s="1"/>
  <c r="I66" i="42"/>
  <c r="I67" i="42" s="1"/>
  <c r="J46" i="38"/>
  <c r="J48" i="38" s="1"/>
  <c r="J62" i="38" s="1"/>
  <c r="J33" i="38"/>
  <c r="S66" i="41"/>
  <c r="S68" i="41" s="1"/>
  <c r="T32" i="41"/>
  <c r="S64" i="41"/>
  <c r="S65" i="41" s="1"/>
  <c r="S13" i="8"/>
  <c r="R27" i="8"/>
  <c r="L23" i="42"/>
  <c r="L45" i="42"/>
  <c r="R83" i="42"/>
  <c r="R85" i="42" s="1"/>
  <c r="S36" i="42"/>
  <c r="R81" i="42"/>
  <c r="R82" i="42" s="1"/>
  <c r="P32" i="8"/>
  <c r="P33" i="8" s="1"/>
  <c r="K30" i="42"/>
  <c r="K29" i="42"/>
  <c r="K28" i="42"/>
  <c r="K32" i="38"/>
  <c r="K31" i="38"/>
  <c r="K30" i="38"/>
  <c r="N15" i="39"/>
  <c r="M21" i="39"/>
  <c r="M22" i="39" s="1"/>
  <c r="R39" i="39"/>
  <c r="S14" i="39"/>
  <c r="R41" i="39"/>
  <c r="R20" i="39"/>
  <c r="R40" i="39"/>
  <c r="X24" i="8"/>
  <c r="R62" i="8"/>
  <c r="R64" i="8" s="1"/>
  <c r="R60" i="8"/>
  <c r="R61" i="8" s="1"/>
  <c r="S18" i="8"/>
  <c r="U16" i="8"/>
  <c r="T52" i="8"/>
  <c r="T54" i="8" s="1"/>
  <c r="T50" i="8"/>
  <c r="T51" i="8" s="1"/>
  <c r="B23" i="50"/>
  <c r="E22" i="50"/>
  <c r="U19" i="8"/>
  <c r="T65" i="8"/>
  <c r="T66" i="8" s="1"/>
  <c r="T67" i="8"/>
  <c r="T69" i="8" s="1"/>
  <c r="U17" i="8"/>
  <c r="T57" i="8"/>
  <c r="T59" i="8" s="1"/>
  <c r="T55" i="8"/>
  <c r="T56" i="8" s="1"/>
  <c r="S26" i="42"/>
  <c r="R39" i="42"/>
  <c r="T28" i="38"/>
  <c r="S25" i="42"/>
  <c r="R38" i="42"/>
  <c r="R41" i="42" s="1"/>
  <c r="T27" i="38"/>
  <c r="S40" i="38"/>
  <c r="S43" i="38" s="1"/>
  <c r="N69" i="39" l="1"/>
  <c r="O34" i="39"/>
  <c r="R85" i="38"/>
  <c r="R87" i="38" s="1"/>
  <c r="S38" i="38"/>
  <c r="R83" i="38"/>
  <c r="R84" i="38" s="1"/>
  <c r="T77" i="39"/>
  <c r="T78" i="39" s="1"/>
  <c r="T79" i="39"/>
  <c r="T81" i="39" s="1"/>
  <c r="U36" i="39"/>
  <c r="X17" i="41"/>
  <c r="X19" i="41" s="1"/>
  <c r="Y14" i="41"/>
  <c r="T73" i="41"/>
  <c r="S73" i="38"/>
  <c r="T36" i="38"/>
  <c r="S75" i="38"/>
  <c r="W26" i="41"/>
  <c r="W25" i="41"/>
  <c r="W24" i="41"/>
  <c r="W27" i="41" s="1"/>
  <c r="W37" i="41" s="1"/>
  <c r="W43" i="41" s="1"/>
  <c r="W52" i="41" s="1"/>
  <c r="N47" i="8"/>
  <c r="O15" i="8"/>
  <c r="R56" i="41"/>
  <c r="R58" i="41" s="1"/>
  <c r="R54" i="41"/>
  <c r="R55" i="41" s="1"/>
  <c r="S30" i="41"/>
  <c r="G68" i="39"/>
  <c r="M49" i="8"/>
  <c r="R84" i="39"/>
  <c r="R86" i="39" s="1"/>
  <c r="R82" i="39"/>
  <c r="R83" i="39" s="1"/>
  <c r="S37" i="39"/>
  <c r="T70" i="41"/>
  <c r="S16" i="42"/>
  <c r="S19" i="42"/>
  <c r="S40" i="42"/>
  <c r="T14" i="42"/>
  <c r="R88" i="42"/>
  <c r="R90" i="42" s="1"/>
  <c r="S37" i="42"/>
  <c r="R86" i="42"/>
  <c r="R87" i="42" s="1"/>
  <c r="O49" i="41"/>
  <c r="O50" i="41" s="1"/>
  <c r="O51" i="41"/>
  <c r="O53" i="41" s="1"/>
  <c r="P29" i="41"/>
  <c r="U71" i="41"/>
  <c r="U73" i="41" s="1"/>
  <c r="V33" i="41"/>
  <c r="U69" i="41"/>
  <c r="U70" i="41" s="1"/>
  <c r="G71" i="39"/>
  <c r="M25" i="38"/>
  <c r="M47" i="38"/>
  <c r="M46" i="39"/>
  <c r="M24" i="39"/>
  <c r="R31" i="8"/>
  <c r="R29" i="8"/>
  <c r="R30" i="8"/>
  <c r="N21" i="42"/>
  <c r="O15" i="42"/>
  <c r="N20" i="42"/>
  <c r="Q35" i="38"/>
  <c r="P70" i="38"/>
  <c r="T78" i="42"/>
  <c r="T80" i="42" s="1"/>
  <c r="U35" i="42"/>
  <c r="T76" i="42"/>
  <c r="T77" i="42" s="1"/>
  <c r="O15" i="38"/>
  <c r="N22" i="38"/>
  <c r="N23" i="38" s="1"/>
  <c r="S42" i="38"/>
  <c r="T14" i="38"/>
  <c r="T40" i="38" s="1"/>
  <c r="T43" i="38" s="1"/>
  <c r="S17" i="38"/>
  <c r="S21" i="38"/>
  <c r="R42" i="39"/>
  <c r="O15" i="39"/>
  <c r="N21" i="39"/>
  <c r="N22" i="39" s="1"/>
  <c r="S83" i="42"/>
  <c r="S85" i="42" s="1"/>
  <c r="T36" i="42"/>
  <c r="S81" i="42"/>
  <c r="S82" i="42" s="1"/>
  <c r="T13" i="8"/>
  <c r="S27" i="8"/>
  <c r="L29" i="39"/>
  <c r="L30" i="39"/>
  <c r="L31" i="39"/>
  <c r="M23" i="42"/>
  <c r="M45" i="42"/>
  <c r="J66" i="42"/>
  <c r="J67" i="42" s="1"/>
  <c r="J69" i="42"/>
  <c r="J70" i="42" s="1"/>
  <c r="R90" i="38"/>
  <c r="R92" i="38" s="1"/>
  <c r="S39" i="38"/>
  <c r="R88" i="38"/>
  <c r="R89" i="38" s="1"/>
  <c r="S39" i="39"/>
  <c r="T14" i="39"/>
  <c r="S40" i="39"/>
  <c r="S41" i="39"/>
  <c r="S20" i="39"/>
  <c r="K46" i="38"/>
  <c r="K48" i="38" s="1"/>
  <c r="K62" i="38" s="1"/>
  <c r="K33" i="38"/>
  <c r="W31" i="41"/>
  <c r="V61" i="41"/>
  <c r="V63" i="41" s="1"/>
  <c r="V59" i="41"/>
  <c r="V60" i="41" s="1"/>
  <c r="J70" i="39"/>
  <c r="J71" i="39" s="1"/>
  <c r="J67" i="39"/>
  <c r="J68" i="39" s="1"/>
  <c r="T73" i="42"/>
  <c r="T75" i="42" s="1"/>
  <c r="U34" i="42"/>
  <c r="T71" i="42"/>
  <c r="T72" i="42" s="1"/>
  <c r="R80" i="38"/>
  <c r="R82" i="38" s="1"/>
  <c r="S37" i="38"/>
  <c r="R78" i="38"/>
  <c r="R79" i="38" s="1"/>
  <c r="P21" i="8"/>
  <c r="O39" i="8"/>
  <c r="K45" i="39"/>
  <c r="K47" i="39" s="1"/>
  <c r="K61" i="39" s="1"/>
  <c r="K32" i="39"/>
  <c r="U74" i="39"/>
  <c r="U76" i="39" s="1"/>
  <c r="V35" i="39"/>
  <c r="U72" i="39"/>
  <c r="U73" i="39" s="1"/>
  <c r="K44" i="42"/>
  <c r="K46" i="42" s="1"/>
  <c r="K60" i="42" s="1"/>
  <c r="K31" i="42"/>
  <c r="L30" i="42"/>
  <c r="L29" i="42"/>
  <c r="L28" i="42"/>
  <c r="T66" i="41"/>
  <c r="T68" i="41" s="1"/>
  <c r="U32" i="41"/>
  <c r="T64" i="41"/>
  <c r="T65" i="41" s="1"/>
  <c r="J71" i="38"/>
  <c r="J72" i="38" s="1"/>
  <c r="J68" i="38"/>
  <c r="J69" i="38" s="1"/>
  <c r="R33" i="42"/>
  <c r="Q68" i="42"/>
  <c r="Q32" i="8"/>
  <c r="Q33" i="8" s="1"/>
  <c r="V87" i="39"/>
  <c r="V88" i="39" s="1"/>
  <c r="V89" i="39"/>
  <c r="V91" i="39" s="1"/>
  <c r="W38" i="39"/>
  <c r="N48" i="8"/>
  <c r="N45" i="8"/>
  <c r="N46" i="8" s="1"/>
  <c r="L32" i="38"/>
  <c r="L31" i="38"/>
  <c r="L30" i="38"/>
  <c r="S62" i="8"/>
  <c r="S64" i="8" s="1"/>
  <c r="T18" i="8"/>
  <c r="S60" i="8"/>
  <c r="S61" i="8" s="1"/>
  <c r="U50" i="8"/>
  <c r="U51" i="8" s="1"/>
  <c r="V16" i="8"/>
  <c r="U52" i="8"/>
  <c r="U54" i="8" s="1"/>
  <c r="D23" i="50"/>
  <c r="C23" i="50" s="1"/>
  <c r="V17" i="8"/>
  <c r="U57" i="8"/>
  <c r="U59" i="8" s="1"/>
  <c r="U55" i="8"/>
  <c r="U56" i="8" s="1"/>
  <c r="V19" i="8"/>
  <c r="U67" i="8"/>
  <c r="U69" i="8" s="1"/>
  <c r="U65" i="8"/>
  <c r="U66" i="8" s="1"/>
  <c r="T26" i="42"/>
  <c r="S39" i="42"/>
  <c r="U28" i="38"/>
  <c r="T41" i="38"/>
  <c r="U27" i="38"/>
  <c r="T25" i="42"/>
  <c r="S38" i="42"/>
  <c r="S41" i="42" s="1"/>
  <c r="O69" i="39" l="1"/>
  <c r="P34" i="39"/>
  <c r="S85" i="38"/>
  <c r="S87" i="38" s="1"/>
  <c r="T38" i="38"/>
  <c r="S83" i="38"/>
  <c r="S84" i="38" s="1"/>
  <c r="V36" i="39"/>
  <c r="U79" i="39"/>
  <c r="U81" i="39" s="1"/>
  <c r="U77" i="39"/>
  <c r="U78" i="39" s="1"/>
  <c r="N49" i="8"/>
  <c r="S56" i="41"/>
  <c r="S58" i="41" s="1"/>
  <c r="S54" i="41"/>
  <c r="S55" i="41" s="1"/>
  <c r="T30" i="41"/>
  <c r="T16" i="42"/>
  <c r="T40" i="42"/>
  <c r="U14" i="42"/>
  <c r="T19" i="42"/>
  <c r="O47" i="8"/>
  <c r="P15" i="8"/>
  <c r="P51" i="41"/>
  <c r="P53" i="41" s="1"/>
  <c r="P49" i="41"/>
  <c r="P50" i="41" s="1"/>
  <c r="Q29" i="41"/>
  <c r="S88" i="42"/>
  <c r="S90" i="42" s="1"/>
  <c r="S86" i="42"/>
  <c r="S87" i="42" s="1"/>
  <c r="T37" i="42"/>
  <c r="S77" i="38"/>
  <c r="S74" i="38"/>
  <c r="V69" i="41"/>
  <c r="W33" i="41"/>
  <c r="V71" i="41"/>
  <c r="V73" i="41" s="1"/>
  <c r="T37" i="39"/>
  <c r="S84" i="39"/>
  <c r="S86" i="39" s="1"/>
  <c r="S82" i="39"/>
  <c r="S83" i="39" s="1"/>
  <c r="T73" i="38"/>
  <c r="T74" i="38" s="1"/>
  <c r="U36" i="38"/>
  <c r="T75" i="38"/>
  <c r="T77" i="38" s="1"/>
  <c r="X24" i="41"/>
  <c r="X27" i="41" s="1"/>
  <c r="X37" i="41" s="1"/>
  <c r="X43" i="41" s="1"/>
  <c r="X52" i="41" s="1"/>
  <c r="X25" i="41"/>
  <c r="X26" i="41"/>
  <c r="N25" i="38"/>
  <c r="N47" i="38"/>
  <c r="L46" i="38"/>
  <c r="L48" i="38" s="1"/>
  <c r="L62" i="38" s="1"/>
  <c r="L33" i="38"/>
  <c r="W87" i="39"/>
  <c r="W88" i="39" s="1"/>
  <c r="X38" i="39"/>
  <c r="W89" i="39"/>
  <c r="W91" i="39" s="1"/>
  <c r="S33" i="42"/>
  <c r="R68" i="42"/>
  <c r="V32" i="41"/>
  <c r="U66" i="41"/>
  <c r="U68" i="41" s="1"/>
  <c r="U64" i="41"/>
  <c r="U65" i="41" s="1"/>
  <c r="O48" i="8"/>
  <c r="O45" i="8"/>
  <c r="O46" i="8" s="1"/>
  <c r="K71" i="38"/>
  <c r="K72" i="38" s="1"/>
  <c r="K68" i="38"/>
  <c r="K69" i="38" s="1"/>
  <c r="P15" i="38"/>
  <c r="O22" i="38"/>
  <c r="O23" i="38" s="1"/>
  <c r="V35" i="42"/>
  <c r="U78" i="42"/>
  <c r="U80" i="42" s="1"/>
  <c r="U76" i="42"/>
  <c r="U77" i="42" s="1"/>
  <c r="Q70" i="38"/>
  <c r="R35" i="38"/>
  <c r="M31" i="39"/>
  <c r="M30" i="39"/>
  <c r="M29" i="39"/>
  <c r="V72" i="39"/>
  <c r="V73" i="39" s="1"/>
  <c r="W35" i="39"/>
  <c r="V74" i="39"/>
  <c r="V76" i="39" s="1"/>
  <c r="Q21" i="8"/>
  <c r="P39" i="8"/>
  <c r="V34" i="42"/>
  <c r="U73" i="42"/>
  <c r="U75" i="42" s="1"/>
  <c r="U71" i="42"/>
  <c r="U72" i="42" s="1"/>
  <c r="T39" i="39"/>
  <c r="U14" i="39"/>
  <c r="T41" i="39"/>
  <c r="T40" i="39"/>
  <c r="T20" i="39"/>
  <c r="S90" i="38"/>
  <c r="S92" i="38" s="1"/>
  <c r="T39" i="38"/>
  <c r="S88" i="38"/>
  <c r="S89" i="38" s="1"/>
  <c r="L45" i="39"/>
  <c r="L47" i="39" s="1"/>
  <c r="L61" i="39" s="1"/>
  <c r="L32" i="39"/>
  <c r="S31" i="8"/>
  <c r="S29" i="8"/>
  <c r="S30" i="8"/>
  <c r="N24" i="39"/>
  <c r="N46" i="39"/>
  <c r="T42" i="38"/>
  <c r="U14" i="38"/>
  <c r="U40" i="38" s="1"/>
  <c r="U43" i="38" s="1"/>
  <c r="T21" i="38"/>
  <c r="T17" i="38"/>
  <c r="R32" i="8"/>
  <c r="R33" i="8" s="1"/>
  <c r="L44" i="42"/>
  <c r="L46" i="42" s="1"/>
  <c r="L60" i="42" s="1"/>
  <c r="L31" i="42"/>
  <c r="K66" i="42"/>
  <c r="K67" i="42" s="1"/>
  <c r="K69" i="42"/>
  <c r="K70" i="42" s="1"/>
  <c r="T37" i="38"/>
  <c r="S80" i="38"/>
  <c r="S82" i="38" s="1"/>
  <c r="S78" i="38"/>
  <c r="S79" i="38" s="1"/>
  <c r="S42" i="39"/>
  <c r="M30" i="42"/>
  <c r="M28" i="42"/>
  <c r="M29" i="42"/>
  <c r="T27" i="8"/>
  <c r="U13" i="8"/>
  <c r="P15" i="39"/>
  <c r="O21" i="39"/>
  <c r="O22" i="39" s="1"/>
  <c r="P15" i="42"/>
  <c r="O21" i="42"/>
  <c r="O20" i="42"/>
  <c r="K70" i="39"/>
  <c r="K67" i="39"/>
  <c r="K68" i="39" s="1"/>
  <c r="X31" i="41"/>
  <c r="W61" i="41"/>
  <c r="W63" i="41" s="1"/>
  <c r="W59" i="41"/>
  <c r="W60" i="41" s="1"/>
  <c r="U36" i="42"/>
  <c r="T81" i="42"/>
  <c r="T82" i="42" s="1"/>
  <c r="T83" i="42"/>
  <c r="T85" i="42" s="1"/>
  <c r="N23" i="42"/>
  <c r="N45" i="42"/>
  <c r="M32" i="38"/>
  <c r="M30" i="38"/>
  <c r="M31" i="38"/>
  <c r="T62" i="8"/>
  <c r="T64" i="8" s="1"/>
  <c r="T60" i="8"/>
  <c r="T61" i="8" s="1"/>
  <c r="U18" i="8"/>
  <c r="V52" i="8"/>
  <c r="W16" i="8"/>
  <c r="V50" i="8"/>
  <c r="V51" i="8" s="1"/>
  <c r="B24" i="50"/>
  <c r="E23" i="50"/>
  <c r="W19" i="8"/>
  <c r="V65" i="8"/>
  <c r="V66" i="8" s="1"/>
  <c r="V67" i="8"/>
  <c r="V69" i="8" s="1"/>
  <c r="W17" i="8"/>
  <c r="V57" i="8"/>
  <c r="V59" i="8" s="1"/>
  <c r="V55" i="8"/>
  <c r="V56" i="8" s="1"/>
  <c r="T39" i="42"/>
  <c r="U26" i="42"/>
  <c r="T38" i="42"/>
  <c r="T41" i="42" s="1"/>
  <c r="U25" i="42"/>
  <c r="V27" i="38"/>
  <c r="V28" i="38"/>
  <c r="Q34" i="39" l="1"/>
  <c r="P69" i="39"/>
  <c r="U41" i="38"/>
  <c r="T85" i="38"/>
  <c r="T87" i="38" s="1"/>
  <c r="U38" i="38"/>
  <c r="T83" i="38"/>
  <c r="T84" i="38" s="1"/>
  <c r="V77" i="39"/>
  <c r="V79" i="39"/>
  <c r="W36" i="39"/>
  <c r="O49" i="8"/>
  <c r="T82" i="39"/>
  <c r="U37" i="39"/>
  <c r="T84" i="39"/>
  <c r="V70" i="41"/>
  <c r="Q15" i="8"/>
  <c r="P47" i="8"/>
  <c r="R29" i="41"/>
  <c r="Q51" i="41"/>
  <c r="Q49" i="41"/>
  <c r="Q50" i="41" s="1"/>
  <c r="K71" i="39"/>
  <c r="U37" i="42"/>
  <c r="T88" i="42"/>
  <c r="T90" i="42" s="1"/>
  <c r="T86" i="42"/>
  <c r="T87" i="42" s="1"/>
  <c r="U73" i="38"/>
  <c r="U74" i="38" s="1"/>
  <c r="U75" i="38"/>
  <c r="U77" i="38" s="1"/>
  <c r="V36" i="38"/>
  <c r="X33" i="41"/>
  <c r="W69" i="41"/>
  <c r="W70" i="41" s="1"/>
  <c r="W71" i="41"/>
  <c r="W73" i="41" s="1"/>
  <c r="V14" i="42"/>
  <c r="U16" i="42"/>
  <c r="U19" i="42"/>
  <c r="U40" i="42"/>
  <c r="U30" i="41"/>
  <c r="T54" i="41"/>
  <c r="T55" i="41" s="1"/>
  <c r="T56" i="41"/>
  <c r="T58" i="41" s="1"/>
  <c r="L69" i="42"/>
  <c r="L70" i="42" s="1"/>
  <c r="L66" i="42"/>
  <c r="L67" i="42" s="1"/>
  <c r="L71" i="38"/>
  <c r="L72" i="38" s="1"/>
  <c r="L68" i="38"/>
  <c r="L69" i="38" s="1"/>
  <c r="M46" i="38"/>
  <c r="M48" i="38" s="1"/>
  <c r="M62" i="38" s="1"/>
  <c r="M33" i="38"/>
  <c r="T31" i="8"/>
  <c r="T29" i="8"/>
  <c r="T30" i="8"/>
  <c r="L70" i="39"/>
  <c r="L71" i="39" s="1"/>
  <c r="L67" i="39"/>
  <c r="L68" i="39" s="1"/>
  <c r="U40" i="39"/>
  <c r="U41" i="39"/>
  <c r="U39" i="39"/>
  <c r="U20" i="39"/>
  <c r="V14" i="39"/>
  <c r="P48" i="8"/>
  <c r="P45" i="8"/>
  <c r="P46" i="8" s="1"/>
  <c r="V13" i="8"/>
  <c r="U27" i="8"/>
  <c r="T78" i="38"/>
  <c r="T79" i="38" s="1"/>
  <c r="T80" i="38"/>
  <c r="T82" i="38" s="1"/>
  <c r="U37" i="38"/>
  <c r="V71" i="42"/>
  <c r="V72" i="42" s="1"/>
  <c r="W34" i="42"/>
  <c r="V73" i="42"/>
  <c r="V75" i="42" s="1"/>
  <c r="O24" i="39"/>
  <c r="O46" i="39"/>
  <c r="N29" i="39"/>
  <c r="N31" i="39"/>
  <c r="N30" i="39"/>
  <c r="S32" i="8"/>
  <c r="S33" i="8" s="1"/>
  <c r="T42" i="39"/>
  <c r="R21" i="8"/>
  <c r="Q39" i="8"/>
  <c r="Q15" i="38"/>
  <c r="P22" i="38"/>
  <c r="P23" i="38" s="1"/>
  <c r="V64" i="41"/>
  <c r="V65" i="41" s="1"/>
  <c r="V66" i="41"/>
  <c r="V68" i="41" s="1"/>
  <c r="W32" i="41"/>
  <c r="X87" i="39"/>
  <c r="X89" i="39"/>
  <c r="Y38" i="39"/>
  <c r="N30" i="42"/>
  <c r="N29" i="42"/>
  <c r="N28" i="42"/>
  <c r="X61" i="41"/>
  <c r="X59" i="41"/>
  <c r="Y31" i="41"/>
  <c r="P21" i="42"/>
  <c r="Q15" i="42"/>
  <c r="P20" i="42"/>
  <c r="S68" i="42"/>
  <c r="T33" i="42"/>
  <c r="U83" i="42"/>
  <c r="U85" i="42" s="1"/>
  <c r="V36" i="42"/>
  <c r="U81" i="42"/>
  <c r="U82" i="42" s="1"/>
  <c r="O23" i="42"/>
  <c r="O45" i="42"/>
  <c r="Q15" i="39"/>
  <c r="P21" i="39"/>
  <c r="P22" i="39" s="1"/>
  <c r="M31" i="42"/>
  <c r="M44" i="42"/>
  <c r="M46" i="42" s="1"/>
  <c r="M60" i="42" s="1"/>
  <c r="U42" i="38"/>
  <c r="V14" i="38"/>
  <c r="V40" i="38" s="1"/>
  <c r="V43" i="38" s="1"/>
  <c r="U17" i="38"/>
  <c r="U21" i="38"/>
  <c r="T90" i="38"/>
  <c r="T92" i="38" s="1"/>
  <c r="U39" i="38"/>
  <c r="T88" i="38"/>
  <c r="T89" i="38" s="1"/>
  <c r="W72" i="39"/>
  <c r="W73" i="39" s="1"/>
  <c r="W74" i="39"/>
  <c r="W76" i="39" s="1"/>
  <c r="X35" i="39"/>
  <c r="M32" i="39"/>
  <c r="M45" i="39"/>
  <c r="M47" i="39" s="1"/>
  <c r="M61" i="39" s="1"/>
  <c r="R70" i="38"/>
  <c r="S35" i="38"/>
  <c r="V78" i="42"/>
  <c r="V80" i="42" s="1"/>
  <c r="W35" i="42"/>
  <c r="V76" i="42"/>
  <c r="V77" i="42" s="1"/>
  <c r="O25" i="38"/>
  <c r="O47" i="38"/>
  <c r="N32" i="38"/>
  <c r="N30" i="38"/>
  <c r="N31" i="38"/>
  <c r="U62" i="8"/>
  <c r="U64" i="8" s="1"/>
  <c r="U60" i="8"/>
  <c r="U61" i="8" s="1"/>
  <c r="V18" i="8"/>
  <c r="X16" i="8"/>
  <c r="Y16" i="8" s="1"/>
  <c r="W52" i="8"/>
  <c r="W54" i="8" s="1"/>
  <c r="W50" i="8"/>
  <c r="V54" i="8"/>
  <c r="D24" i="50"/>
  <c r="C24" i="50" s="1"/>
  <c r="X17" i="8"/>
  <c r="W55" i="8"/>
  <c r="W56" i="8" s="1"/>
  <c r="W57" i="8"/>
  <c r="W59" i="8" s="1"/>
  <c r="W67" i="8"/>
  <c r="W69" i="8" s="1"/>
  <c r="X19" i="8"/>
  <c r="W65" i="8"/>
  <c r="W66" i="8" s="1"/>
  <c r="V26" i="42"/>
  <c r="U39" i="42"/>
  <c r="V25" i="42"/>
  <c r="U38" i="42"/>
  <c r="U41" i="42" s="1"/>
  <c r="W27" i="38"/>
  <c r="W28" i="38"/>
  <c r="R34" i="39" l="1"/>
  <c r="Q69" i="39"/>
  <c r="U42" i="39"/>
  <c r="V38" i="38"/>
  <c r="U83" i="38"/>
  <c r="U84" i="38" s="1"/>
  <c r="U85" i="38"/>
  <c r="U87" i="38" s="1"/>
  <c r="X36" i="39"/>
  <c r="W79" i="39"/>
  <c r="W81" i="39" s="1"/>
  <c r="W77" i="39"/>
  <c r="W78" i="39" s="1"/>
  <c r="V81" i="39"/>
  <c r="V78" i="39"/>
  <c r="T32" i="8"/>
  <c r="T33" i="8" s="1"/>
  <c r="Q53" i="41"/>
  <c r="V73" i="38"/>
  <c r="V74" i="38" s="1"/>
  <c r="V75" i="38"/>
  <c r="W36" i="38"/>
  <c r="R51" i="41"/>
  <c r="R53" i="41" s="1"/>
  <c r="S29" i="41"/>
  <c r="R49" i="41"/>
  <c r="R50" i="41" s="1"/>
  <c r="Q47" i="8"/>
  <c r="R15" i="8"/>
  <c r="T86" i="39"/>
  <c r="P49" i="8"/>
  <c r="U82" i="39"/>
  <c r="U83" i="39" s="1"/>
  <c r="V37" i="39"/>
  <c r="U84" i="39"/>
  <c r="U86" i="39" s="1"/>
  <c r="U56" i="41"/>
  <c r="U58" i="41" s="1"/>
  <c r="V30" i="41"/>
  <c r="U54" i="41"/>
  <c r="U55" i="41" s="1"/>
  <c r="V40" i="42"/>
  <c r="W14" i="42"/>
  <c r="V16" i="42"/>
  <c r="V19" i="42"/>
  <c r="X69" i="41"/>
  <c r="X70" i="41" s="1"/>
  <c r="X71" i="41"/>
  <c r="Y33" i="41"/>
  <c r="U86" i="42"/>
  <c r="U87" i="42" s="1"/>
  <c r="V37" i="42"/>
  <c r="U88" i="42"/>
  <c r="U90" i="42" s="1"/>
  <c r="T83" i="39"/>
  <c r="W78" i="42"/>
  <c r="W80" i="42" s="1"/>
  <c r="X35" i="42"/>
  <c r="W76" i="42"/>
  <c r="W77" i="42" s="1"/>
  <c r="W14" i="38"/>
  <c r="W41" i="38" s="1"/>
  <c r="V17" i="38"/>
  <c r="V42" i="38"/>
  <c r="V21" i="38"/>
  <c r="P24" i="39"/>
  <c r="P46" i="39"/>
  <c r="V83" i="42"/>
  <c r="V85" i="42" s="1"/>
  <c r="W36" i="42"/>
  <c r="V81" i="42"/>
  <c r="V82" i="42" s="1"/>
  <c r="X60" i="41"/>
  <c r="Y59" i="41"/>
  <c r="H7" i="41" s="1"/>
  <c r="X32" i="41"/>
  <c r="W66" i="41"/>
  <c r="W68" i="41" s="1"/>
  <c r="W64" i="41"/>
  <c r="W65" i="41" s="1"/>
  <c r="P25" i="38"/>
  <c r="P47" i="38"/>
  <c r="N32" i="39"/>
  <c r="N45" i="39"/>
  <c r="N47" i="39" s="1"/>
  <c r="N61" i="39" s="1"/>
  <c r="V37" i="38"/>
  <c r="U80" i="38"/>
  <c r="U82" i="38" s="1"/>
  <c r="U78" i="38"/>
  <c r="U79" i="38" s="1"/>
  <c r="W13" i="8"/>
  <c r="V27" i="8"/>
  <c r="R15" i="38"/>
  <c r="Q22" i="38"/>
  <c r="Q23" i="38" s="1"/>
  <c r="V41" i="38"/>
  <c r="O32" i="38"/>
  <c r="O31" i="38"/>
  <c r="O30" i="38"/>
  <c r="M66" i="42"/>
  <c r="M67" i="42" s="1"/>
  <c r="M69" i="42"/>
  <c r="M70" i="42" s="1"/>
  <c r="U33" i="42"/>
  <c r="T68" i="42"/>
  <c r="P23" i="42"/>
  <c r="P45" i="42"/>
  <c r="N44" i="42"/>
  <c r="N46" i="42" s="1"/>
  <c r="N60" i="42" s="1"/>
  <c r="N31" i="42"/>
  <c r="X91" i="39"/>
  <c r="Y91" i="39" s="1"/>
  <c r="Y89" i="39"/>
  <c r="Q48" i="8"/>
  <c r="Q45" i="8"/>
  <c r="Q46" i="8" s="1"/>
  <c r="O30" i="39"/>
  <c r="O31" i="39"/>
  <c r="O29" i="39"/>
  <c r="X34" i="42"/>
  <c r="W73" i="42"/>
  <c r="W75" i="42" s="1"/>
  <c r="W71" i="42"/>
  <c r="W72" i="42" s="1"/>
  <c r="M70" i="39"/>
  <c r="M71" i="39" s="1"/>
  <c r="M67" i="39"/>
  <c r="M68" i="39" s="1"/>
  <c r="R15" i="39"/>
  <c r="Q21" i="39"/>
  <c r="Q22" i="39" s="1"/>
  <c r="Q21" i="42"/>
  <c r="R15" i="42"/>
  <c r="Q20" i="42"/>
  <c r="X63" i="41"/>
  <c r="Y63" i="41" s="1"/>
  <c r="Y61" i="41"/>
  <c r="N33" i="38"/>
  <c r="N46" i="38"/>
  <c r="N48" i="38" s="1"/>
  <c r="N62" i="38" s="1"/>
  <c r="T35" i="38"/>
  <c r="S70" i="38"/>
  <c r="X74" i="39"/>
  <c r="X72" i="39"/>
  <c r="Y35" i="39"/>
  <c r="V39" i="38"/>
  <c r="U90" i="38"/>
  <c r="U92" i="38" s="1"/>
  <c r="U88" i="38"/>
  <c r="U89" i="38" s="1"/>
  <c r="O30" i="42"/>
  <c r="O29" i="42"/>
  <c r="O28" i="42"/>
  <c r="X88" i="39"/>
  <c r="Y87" i="39"/>
  <c r="H7" i="39" s="1"/>
  <c r="R39" i="8"/>
  <c r="S21" i="8"/>
  <c r="U31" i="8"/>
  <c r="U29" i="8"/>
  <c r="U30" i="8"/>
  <c r="W14" i="39"/>
  <c r="V41" i="39"/>
  <c r="V20" i="39"/>
  <c r="V40" i="39"/>
  <c r="V39" i="39"/>
  <c r="M71" i="38"/>
  <c r="M72" i="38" s="1"/>
  <c r="M68" i="38"/>
  <c r="M69" i="38" s="1"/>
  <c r="V62" i="8"/>
  <c r="W18" i="8"/>
  <c r="V60" i="8"/>
  <c r="X52" i="8"/>
  <c r="X50" i="8"/>
  <c r="X51" i="8" s="1"/>
  <c r="W51" i="8"/>
  <c r="B25" i="50"/>
  <c r="E24" i="50"/>
  <c r="X67" i="8"/>
  <c r="X65" i="8"/>
  <c r="Y19" i="8"/>
  <c r="X57" i="8"/>
  <c r="X55" i="8"/>
  <c r="Y17" i="8"/>
  <c r="W26" i="42"/>
  <c r="V39" i="42"/>
  <c r="X27" i="38"/>
  <c r="X28" i="38"/>
  <c r="W25" i="42"/>
  <c r="V38" i="42"/>
  <c r="V41" i="42" s="1"/>
  <c r="R69" i="39" l="1"/>
  <c r="S34" i="39"/>
  <c r="V85" i="38"/>
  <c r="V87" i="38" s="1"/>
  <c r="W38" i="38"/>
  <c r="V83" i="38"/>
  <c r="V84" i="38" s="1"/>
  <c r="X79" i="39"/>
  <c r="X81" i="39" s="1"/>
  <c r="Y81" i="39" s="1"/>
  <c r="X77" i="39"/>
  <c r="Y36" i="39"/>
  <c r="Q49" i="8"/>
  <c r="W40" i="38"/>
  <c r="W43" i="38" s="1"/>
  <c r="S15" i="8"/>
  <c r="R47" i="8"/>
  <c r="V88" i="42"/>
  <c r="V90" i="42" s="1"/>
  <c r="W37" i="42"/>
  <c r="V86" i="42"/>
  <c r="V87" i="42" s="1"/>
  <c r="T29" i="41"/>
  <c r="S51" i="41"/>
  <c r="S53" i="41" s="1"/>
  <c r="S49" i="41"/>
  <c r="S50" i="41" s="1"/>
  <c r="W30" i="41"/>
  <c r="V54" i="41"/>
  <c r="V55" i="41" s="1"/>
  <c r="V56" i="41"/>
  <c r="V58" i="41" s="1"/>
  <c r="V82" i="39"/>
  <c r="V84" i="39"/>
  <c r="V86" i="39" s="1"/>
  <c r="W37" i="39"/>
  <c r="X36" i="38"/>
  <c r="Y36" i="38" s="1"/>
  <c r="W75" i="38"/>
  <c r="W77" i="38" s="1"/>
  <c r="W73" i="38"/>
  <c r="W74" i="38" s="1"/>
  <c r="Y69" i="41"/>
  <c r="H9" i="41" s="1"/>
  <c r="X73" i="41"/>
  <c r="Y73" i="41" s="1"/>
  <c r="Y71" i="41"/>
  <c r="W40" i="42"/>
  <c r="X14" i="42"/>
  <c r="W16" i="42"/>
  <c r="W19" i="42"/>
  <c r="V77" i="38"/>
  <c r="Q25" i="38"/>
  <c r="Q47" i="38"/>
  <c r="V42" i="39"/>
  <c r="W39" i="39"/>
  <c r="W40" i="39"/>
  <c r="W20" i="39"/>
  <c r="W41" i="39"/>
  <c r="X14" i="39"/>
  <c r="S39" i="8"/>
  <c r="T21" i="8"/>
  <c r="O31" i="42"/>
  <c r="O44" i="42"/>
  <c r="O46" i="42" s="1"/>
  <c r="O60" i="42" s="1"/>
  <c r="X73" i="39"/>
  <c r="Y72" i="39"/>
  <c r="H4" i="39" s="1"/>
  <c r="U35" i="38"/>
  <c r="T70" i="38"/>
  <c r="Q24" i="39"/>
  <c r="Q46" i="39"/>
  <c r="S15" i="38"/>
  <c r="R22" i="38"/>
  <c r="R23" i="38" s="1"/>
  <c r="X14" i="38"/>
  <c r="X41" i="38" s="1"/>
  <c r="W42" i="38"/>
  <c r="W17" i="38"/>
  <c r="W21" i="38"/>
  <c r="U32" i="8"/>
  <c r="U33" i="8" s="1"/>
  <c r="R48" i="8"/>
  <c r="R45" i="8"/>
  <c r="R46" i="8" s="1"/>
  <c r="X76" i="39"/>
  <c r="Y76" i="39" s="1"/>
  <c r="Y74" i="39"/>
  <c r="N71" i="38"/>
  <c r="N72" i="38" s="1"/>
  <c r="N68" i="38"/>
  <c r="N69" i="38" s="1"/>
  <c r="S15" i="39"/>
  <c r="R21" i="39"/>
  <c r="R22" i="39" s="1"/>
  <c r="P30" i="42"/>
  <c r="P28" i="42"/>
  <c r="P29" i="42"/>
  <c r="X66" i="41"/>
  <c r="X64" i="41"/>
  <c r="Y32" i="41"/>
  <c r="W83" i="42"/>
  <c r="W85" i="42" s="1"/>
  <c r="X36" i="42"/>
  <c r="W81" i="42"/>
  <c r="W82" i="42" s="1"/>
  <c r="W39" i="38"/>
  <c r="V90" i="38"/>
  <c r="V92" i="38" s="1"/>
  <c r="V88" i="38"/>
  <c r="V89" i="38" s="1"/>
  <c r="R21" i="42"/>
  <c r="S15" i="42"/>
  <c r="R20" i="42"/>
  <c r="X73" i="42"/>
  <c r="X71" i="42"/>
  <c r="Y34" i="42"/>
  <c r="V31" i="8"/>
  <c r="V29" i="8"/>
  <c r="V30" i="8"/>
  <c r="V80" i="38"/>
  <c r="V82" i="38" s="1"/>
  <c r="W37" i="38"/>
  <c r="V78" i="38"/>
  <c r="V79" i="38" s="1"/>
  <c r="P32" i="38"/>
  <c r="P31" i="38"/>
  <c r="P30" i="38"/>
  <c r="X78" i="42"/>
  <c r="X76" i="42"/>
  <c r="Y35" i="42"/>
  <c r="Q23" i="42"/>
  <c r="Q45" i="42"/>
  <c r="O45" i="39"/>
  <c r="O47" i="39" s="1"/>
  <c r="O61" i="39" s="1"/>
  <c r="O32" i="39"/>
  <c r="N69" i="42"/>
  <c r="N70" i="42" s="1"/>
  <c r="N66" i="42"/>
  <c r="N67" i="42" s="1"/>
  <c r="U68" i="42"/>
  <c r="V33" i="42"/>
  <c r="O46" i="38"/>
  <c r="O48" i="38" s="1"/>
  <c r="O62" i="38" s="1"/>
  <c r="O33" i="38"/>
  <c r="X13" i="8"/>
  <c r="W27" i="8"/>
  <c r="N70" i="39"/>
  <c r="N71" i="39" s="1"/>
  <c r="N67" i="39"/>
  <c r="N68" i="39" s="1"/>
  <c r="P31" i="39"/>
  <c r="P29" i="39"/>
  <c r="P30" i="39"/>
  <c r="X54" i="8"/>
  <c r="Y54" i="8" s="1"/>
  <c r="Y52" i="8"/>
  <c r="V61" i="8"/>
  <c r="Y50" i="8"/>
  <c r="H5" i="8" s="1"/>
  <c r="W60" i="8"/>
  <c r="W61" i="8" s="1"/>
  <c r="W62" i="8"/>
  <c r="W64" i="8" s="1"/>
  <c r="X18" i="8"/>
  <c r="V64" i="8"/>
  <c r="D25" i="50"/>
  <c r="C25" i="50" s="1"/>
  <c r="X56" i="8"/>
  <c r="Y55" i="8"/>
  <c r="H6" i="8" s="1"/>
  <c r="X69" i="8"/>
  <c r="Y69" i="8" s="1"/>
  <c r="Y67" i="8"/>
  <c r="X59" i="8"/>
  <c r="Y59" i="8" s="1"/>
  <c r="Y57" i="8"/>
  <c r="X66" i="8"/>
  <c r="Y65" i="8"/>
  <c r="H8" i="8" s="1"/>
  <c r="X26" i="42"/>
  <c r="W39" i="42"/>
  <c r="X25" i="42"/>
  <c r="W38" i="42"/>
  <c r="W41" i="42" s="1"/>
  <c r="T34" i="39" l="1"/>
  <c r="S69" i="39"/>
  <c r="W83" i="38"/>
  <c r="W84" i="38" s="1"/>
  <c r="X38" i="38"/>
  <c r="W85" i="38"/>
  <c r="W87" i="38" s="1"/>
  <c r="X78" i="39"/>
  <c r="Y77" i="39"/>
  <c r="H5" i="39" s="1"/>
  <c r="Y79" i="39"/>
  <c r="X40" i="38"/>
  <c r="X43" i="38" s="1"/>
  <c r="X16" i="42"/>
  <c r="X40" i="42"/>
  <c r="X19" i="42"/>
  <c r="Y14" i="42"/>
  <c r="W82" i="39"/>
  <c r="W83" i="39" s="1"/>
  <c r="W84" i="39"/>
  <c r="X37" i="39"/>
  <c r="W88" i="42"/>
  <c r="W90" i="42" s="1"/>
  <c r="X37" i="42"/>
  <c r="W86" i="42"/>
  <c r="W87" i="42" s="1"/>
  <c r="S47" i="8"/>
  <c r="T15" i="8"/>
  <c r="W56" i="41"/>
  <c r="W58" i="41" s="1"/>
  <c r="X30" i="41"/>
  <c r="W54" i="41"/>
  <c r="W55" i="41" s="1"/>
  <c r="R49" i="8"/>
  <c r="X73" i="38"/>
  <c r="X74" i="38" s="1"/>
  <c r="X75" i="38"/>
  <c r="V83" i="39"/>
  <c r="T51" i="41"/>
  <c r="T53" i="41" s="1"/>
  <c r="T49" i="41"/>
  <c r="T50" i="41" s="1"/>
  <c r="U29" i="41"/>
  <c r="R25" i="38"/>
  <c r="R47" i="38"/>
  <c r="X80" i="42"/>
  <c r="Y80" i="42" s="1"/>
  <c r="Y78" i="42"/>
  <c r="V32" i="8"/>
  <c r="V33" i="8" s="1"/>
  <c r="X65" i="41"/>
  <c r="Y64" i="41"/>
  <c r="H8" i="41" s="1"/>
  <c r="U70" i="38"/>
  <c r="V35" i="38"/>
  <c r="X39" i="39"/>
  <c r="X41" i="39"/>
  <c r="X40" i="39"/>
  <c r="X20" i="39"/>
  <c r="Y14" i="39"/>
  <c r="W42" i="39"/>
  <c r="O71" i="38"/>
  <c r="O72" i="38" s="1"/>
  <c r="O68" i="38"/>
  <c r="O69" i="38" s="1"/>
  <c r="Q30" i="42"/>
  <c r="Q28" i="42"/>
  <c r="Q29" i="42"/>
  <c r="P46" i="38"/>
  <c r="P48" i="38" s="1"/>
  <c r="P62" i="38" s="1"/>
  <c r="P33" i="38"/>
  <c r="W80" i="38"/>
  <c r="W82" i="38" s="1"/>
  <c r="X37" i="38"/>
  <c r="W78" i="38"/>
  <c r="W79" i="38" s="1"/>
  <c r="S21" i="42"/>
  <c r="T15" i="42"/>
  <c r="S20" i="42"/>
  <c r="W88" i="38"/>
  <c r="W89" i="38" s="1"/>
  <c r="W90" i="38"/>
  <c r="W92" i="38" s="1"/>
  <c r="X39" i="38"/>
  <c r="X81" i="42"/>
  <c r="X83" i="42"/>
  <c r="Y36" i="42"/>
  <c r="X68" i="41"/>
  <c r="Y68" i="41" s="1"/>
  <c r="Y66" i="41"/>
  <c r="R24" i="39"/>
  <c r="R46" i="39"/>
  <c r="Q31" i="39"/>
  <c r="Q30" i="39"/>
  <c r="Q29" i="39"/>
  <c r="T39" i="8"/>
  <c r="U21" i="8"/>
  <c r="P32" i="39"/>
  <c r="P45" i="39"/>
  <c r="P47" i="39" s="1"/>
  <c r="P61" i="39" s="1"/>
  <c r="W31" i="8"/>
  <c r="W29" i="8"/>
  <c r="W30" i="8"/>
  <c r="V68" i="42"/>
  <c r="W33" i="42"/>
  <c r="X72" i="42"/>
  <c r="Y71" i="42"/>
  <c r="H4" i="42" s="1"/>
  <c r="R23" i="42"/>
  <c r="R45" i="42"/>
  <c r="T15" i="39"/>
  <c r="S21" i="39"/>
  <c r="S22" i="39" s="1"/>
  <c r="S48" i="8"/>
  <c r="S45" i="8"/>
  <c r="S46" i="8" s="1"/>
  <c r="X27" i="8"/>
  <c r="Y13" i="8"/>
  <c r="O70" i="39"/>
  <c r="O71" i="39" s="1"/>
  <c r="O67" i="39"/>
  <c r="O68" i="39" s="1"/>
  <c r="X77" i="42"/>
  <c r="Y76" i="42"/>
  <c r="H5" i="42" s="1"/>
  <c r="X75" i="42"/>
  <c r="Y75" i="42" s="1"/>
  <c r="Y73" i="42"/>
  <c r="P31" i="42"/>
  <c r="P44" i="42"/>
  <c r="P46" i="42" s="1"/>
  <c r="P60" i="42" s="1"/>
  <c r="X42" i="38"/>
  <c r="X17" i="38"/>
  <c r="X21" i="38"/>
  <c r="Y14" i="38"/>
  <c r="T15" i="38"/>
  <c r="S22" i="38"/>
  <c r="S23" i="38" s="1"/>
  <c r="O66" i="42"/>
  <c r="O67" i="42" s="1"/>
  <c r="O69" i="42"/>
  <c r="O70" i="42" s="1"/>
  <c r="Q32" i="38"/>
  <c r="Q31" i="38"/>
  <c r="Q30" i="38"/>
  <c r="X62" i="8"/>
  <c r="X60" i="8"/>
  <c r="Y18" i="8"/>
  <c r="B26" i="50"/>
  <c r="E25" i="50"/>
  <c r="X39" i="42"/>
  <c r="X38" i="42"/>
  <c r="X41" i="42" s="1"/>
  <c r="T69" i="39" l="1"/>
  <c r="U34" i="39"/>
  <c r="X83" i="38"/>
  <c r="X85" i="38"/>
  <c r="X87" i="38" s="1"/>
  <c r="Y87" i="38" s="1"/>
  <c r="Y38" i="38"/>
  <c r="Y73" i="38"/>
  <c r="H4" i="38" s="1"/>
  <c r="S49" i="8"/>
  <c r="X54" i="41"/>
  <c r="Y30" i="41"/>
  <c r="X56" i="41"/>
  <c r="T47" i="8"/>
  <c r="U15" i="8"/>
  <c r="U49" i="41"/>
  <c r="U50" i="41" s="1"/>
  <c r="U51" i="41"/>
  <c r="V29" i="41"/>
  <c r="X84" i="39"/>
  <c r="X86" i="39" s="1"/>
  <c r="X82" i="39"/>
  <c r="Y37" i="39"/>
  <c r="X77" i="38"/>
  <c r="Y77" i="38" s="1"/>
  <c r="Y75" i="38"/>
  <c r="W86" i="39"/>
  <c r="X86" i="42"/>
  <c r="X88" i="42"/>
  <c r="X90" i="42" s="1"/>
  <c r="Y90" i="42" s="1"/>
  <c r="Y37" i="42"/>
  <c r="Q46" i="38"/>
  <c r="Q48" i="38" s="1"/>
  <c r="Q62" i="38" s="1"/>
  <c r="Q33" i="38"/>
  <c r="P69" i="42"/>
  <c r="P70" i="42" s="1"/>
  <c r="P66" i="42"/>
  <c r="P67" i="42" s="1"/>
  <c r="W68" i="42"/>
  <c r="X33" i="42"/>
  <c r="T48" i="8"/>
  <c r="T49" i="8" s="1"/>
  <c r="T45" i="8"/>
  <c r="T46" i="8" s="1"/>
  <c r="S23" i="42"/>
  <c r="S45" i="42"/>
  <c r="S25" i="38"/>
  <c r="S47" i="38"/>
  <c r="U15" i="38"/>
  <c r="T22" i="38"/>
  <c r="T23" i="38" s="1"/>
  <c r="R30" i="42"/>
  <c r="R28" i="42"/>
  <c r="R29" i="42"/>
  <c r="P70" i="39"/>
  <c r="P71" i="39" s="1"/>
  <c r="P67" i="39"/>
  <c r="P68" i="39" s="1"/>
  <c r="Q32" i="39"/>
  <c r="Q45" i="39"/>
  <c r="Q47" i="39" s="1"/>
  <c r="Q61" i="39" s="1"/>
  <c r="P71" i="38"/>
  <c r="P72" i="38" s="1"/>
  <c r="P68" i="38"/>
  <c r="P69" i="38" s="1"/>
  <c r="X42" i="39"/>
  <c r="Y42" i="39" s="1"/>
  <c r="X31" i="8"/>
  <c r="X29" i="8"/>
  <c r="X30" i="8"/>
  <c r="S24" i="39"/>
  <c r="S46" i="39"/>
  <c r="R30" i="39"/>
  <c r="R29" i="39"/>
  <c r="R31" i="39"/>
  <c r="X85" i="42"/>
  <c r="Y85" i="42" s="1"/>
  <c r="Y83" i="42"/>
  <c r="X80" i="38"/>
  <c r="X78" i="38"/>
  <c r="Y37" i="38"/>
  <c r="U15" i="39"/>
  <c r="T21" i="39"/>
  <c r="T22" i="39" s="1"/>
  <c r="W32" i="8"/>
  <c r="W33" i="8" s="1"/>
  <c r="U39" i="8"/>
  <c r="V21" i="8"/>
  <c r="X82" i="42"/>
  <c r="Y81" i="42"/>
  <c r="H6" i="42" s="1"/>
  <c r="X90" i="38"/>
  <c r="X88" i="38"/>
  <c r="Y39" i="38"/>
  <c r="T21" i="42"/>
  <c r="U15" i="42"/>
  <c r="T20" i="42"/>
  <c r="Q31" i="42"/>
  <c r="Q44" i="42"/>
  <c r="Q46" i="42" s="1"/>
  <c r="Q60" i="42" s="1"/>
  <c r="W35" i="38"/>
  <c r="V70" i="38"/>
  <c r="R32" i="38"/>
  <c r="R30" i="38"/>
  <c r="R31" i="38"/>
  <c r="X61" i="8"/>
  <c r="Y60" i="8"/>
  <c r="H7" i="8" s="1"/>
  <c r="X64" i="8"/>
  <c r="Y64" i="8" s="1"/>
  <c r="Y62" i="8"/>
  <c r="D26" i="50"/>
  <c r="C26" i="50" s="1"/>
  <c r="V34" i="39" l="1"/>
  <c r="U69" i="39"/>
  <c r="Y85" i="38"/>
  <c r="X84" i="38"/>
  <c r="Y83" i="38"/>
  <c r="H6" i="38" s="1"/>
  <c r="Y86" i="39"/>
  <c r="Y86" i="42"/>
  <c r="H7" i="42" s="1"/>
  <c r="X87" i="42"/>
  <c r="Y88" i="42"/>
  <c r="Y84" i="39"/>
  <c r="W29" i="41"/>
  <c r="V51" i="41"/>
  <c r="V53" i="41" s="1"/>
  <c r="V49" i="41"/>
  <c r="V50" i="41" s="1"/>
  <c r="V15" i="8"/>
  <c r="U47" i="8"/>
  <c r="X55" i="41"/>
  <c r="Y54" i="41"/>
  <c r="H6" i="41" s="1"/>
  <c r="Y56" i="41"/>
  <c r="X58" i="41"/>
  <c r="Y58" i="41" s="1"/>
  <c r="X83" i="39"/>
  <c r="Y82" i="39"/>
  <c r="H6" i="39" s="1"/>
  <c r="U53" i="41"/>
  <c r="T25" i="38"/>
  <c r="T47" i="38"/>
  <c r="X89" i="38"/>
  <c r="Y88" i="38"/>
  <c r="H7" i="38" s="1"/>
  <c r="V39" i="8"/>
  <c r="W21" i="8"/>
  <c r="V15" i="39"/>
  <c r="U21" i="39"/>
  <c r="U22" i="39" s="1"/>
  <c r="R33" i="38"/>
  <c r="R46" i="38"/>
  <c r="R48" i="38" s="1"/>
  <c r="R62" i="38" s="1"/>
  <c r="W70" i="38"/>
  <c r="X35" i="38"/>
  <c r="V15" i="42"/>
  <c r="U21" i="42"/>
  <c r="U20" i="42"/>
  <c r="X92" i="38"/>
  <c r="Y92" i="38" s="1"/>
  <c r="Y90" i="38"/>
  <c r="U48" i="8"/>
  <c r="U45" i="8"/>
  <c r="U46" i="8" s="1"/>
  <c r="Q70" i="39"/>
  <c r="Q71" i="39" s="1"/>
  <c r="Q67" i="39"/>
  <c r="Q68" i="39" s="1"/>
  <c r="V15" i="38"/>
  <c r="U22" i="38"/>
  <c r="U23" i="38" s="1"/>
  <c r="Q66" i="42"/>
  <c r="Q67" i="42" s="1"/>
  <c r="Q69" i="42"/>
  <c r="Q70" i="42" s="1"/>
  <c r="T23" i="42"/>
  <c r="T45" i="42"/>
  <c r="X79" i="38"/>
  <c r="Y78" i="38"/>
  <c r="H5" i="38" s="1"/>
  <c r="S29" i="39"/>
  <c r="S30" i="39"/>
  <c r="S31" i="39"/>
  <c r="R44" i="42"/>
  <c r="R46" i="42" s="1"/>
  <c r="R60" i="42" s="1"/>
  <c r="R31" i="42"/>
  <c r="S30" i="42"/>
  <c r="S29" i="42"/>
  <c r="S28" i="42"/>
  <c r="X68" i="42"/>
  <c r="Y68" i="42" s="1"/>
  <c r="Y33" i="42"/>
  <c r="M3" i="42" s="1"/>
  <c r="T24" i="39"/>
  <c r="T46" i="39"/>
  <c r="X82" i="38"/>
  <c r="Y82" i="38" s="1"/>
  <c r="Y80" i="38"/>
  <c r="R45" i="39"/>
  <c r="R47" i="39" s="1"/>
  <c r="R61" i="39" s="1"/>
  <c r="R32" i="39"/>
  <c r="X32" i="8"/>
  <c r="X33" i="8" s="1"/>
  <c r="Y33" i="8" s="1"/>
  <c r="S32" i="38"/>
  <c r="S31" i="38"/>
  <c r="S30" i="38"/>
  <c r="Q71" i="38"/>
  <c r="Q72" i="38" s="1"/>
  <c r="Q68" i="38"/>
  <c r="Q69" i="38" s="1"/>
  <c r="B27" i="50"/>
  <c r="E26" i="50"/>
  <c r="V69" i="39" l="1"/>
  <c r="W34" i="39"/>
  <c r="U49" i="8"/>
  <c r="W51" i="41"/>
  <c r="W49" i="41"/>
  <c r="W50" i="41" s="1"/>
  <c r="X29" i="41"/>
  <c r="Y29" i="41" s="1"/>
  <c r="V47" i="8"/>
  <c r="W15" i="8"/>
  <c r="U25" i="38"/>
  <c r="U47" i="38"/>
  <c r="S46" i="38"/>
  <c r="S48" i="38" s="1"/>
  <c r="S62" i="38" s="1"/>
  <c r="S33" i="38"/>
  <c r="U23" i="42"/>
  <c r="U45" i="42"/>
  <c r="U24" i="39"/>
  <c r="U46" i="39"/>
  <c r="S31" i="42"/>
  <c r="S44" i="42"/>
  <c r="S46" i="42" s="1"/>
  <c r="S60" i="42" s="1"/>
  <c r="R66" i="42"/>
  <c r="R67" i="42" s="1"/>
  <c r="R69" i="42"/>
  <c r="R70" i="42" s="1"/>
  <c r="V21" i="42"/>
  <c r="W15" i="42"/>
  <c r="V20" i="42"/>
  <c r="R71" i="38"/>
  <c r="R72" i="38" s="1"/>
  <c r="R68" i="38"/>
  <c r="R69" i="38" s="1"/>
  <c r="W15" i="39"/>
  <c r="V21" i="39"/>
  <c r="V22" i="39" s="1"/>
  <c r="R70" i="39"/>
  <c r="R71" i="39" s="1"/>
  <c r="R67" i="39"/>
  <c r="R68" i="39" s="1"/>
  <c r="T29" i="39"/>
  <c r="T31" i="39"/>
  <c r="T30" i="39"/>
  <c r="W39" i="8"/>
  <c r="X21" i="8"/>
  <c r="X39" i="8" s="1"/>
  <c r="S32" i="39"/>
  <c r="S45" i="39"/>
  <c r="S47" i="39" s="1"/>
  <c r="S61" i="39" s="1"/>
  <c r="T30" i="42"/>
  <c r="T28" i="42"/>
  <c r="T29" i="42"/>
  <c r="W15" i="38"/>
  <c r="V22" i="38"/>
  <c r="V23" i="38" s="1"/>
  <c r="X70" i="38"/>
  <c r="Y70" i="38" s="1"/>
  <c r="Y35" i="38"/>
  <c r="M3" i="38" s="1"/>
  <c r="V48" i="8"/>
  <c r="V45" i="8"/>
  <c r="V46" i="8" s="1"/>
  <c r="T32" i="38"/>
  <c r="T30" i="38"/>
  <c r="T31" i="38"/>
  <c r="D27" i="50"/>
  <c r="C27" i="50" s="1"/>
  <c r="X34" i="39" l="1"/>
  <c r="W69" i="39"/>
  <c r="V49" i="8"/>
  <c r="Y39" i="8"/>
  <c r="X49" i="41"/>
  <c r="X50" i="41" s="1"/>
  <c r="X51" i="41"/>
  <c r="X53" i="41" s="1"/>
  <c r="X15" i="8"/>
  <c r="X47" i="8" s="1"/>
  <c r="W47" i="8"/>
  <c r="W53" i="41"/>
  <c r="Y21" i="8"/>
  <c r="V25" i="38"/>
  <c r="V47" i="38"/>
  <c r="S70" i="39"/>
  <c r="S71" i="39" s="1"/>
  <c r="S67" i="39"/>
  <c r="S68" i="39" s="1"/>
  <c r="W48" i="8"/>
  <c r="W45" i="8"/>
  <c r="V23" i="42"/>
  <c r="V45" i="42"/>
  <c r="U30" i="42"/>
  <c r="U28" i="42"/>
  <c r="U29" i="42"/>
  <c r="S71" i="38"/>
  <c r="S72" i="38" s="1"/>
  <c r="S68" i="38"/>
  <c r="S69" i="38" s="1"/>
  <c r="T31" i="42"/>
  <c r="T44" i="42"/>
  <c r="T46" i="42" s="1"/>
  <c r="T60" i="42" s="1"/>
  <c r="V24" i="39"/>
  <c r="V46" i="39"/>
  <c r="U30" i="39"/>
  <c r="U31" i="39"/>
  <c r="U29" i="39"/>
  <c r="T46" i="38"/>
  <c r="T48" i="38" s="1"/>
  <c r="T62" i="38" s="1"/>
  <c r="T33" i="38"/>
  <c r="X15" i="38"/>
  <c r="W22" i="38"/>
  <c r="W23" i="38" s="1"/>
  <c r="X48" i="8"/>
  <c r="T32" i="39"/>
  <c r="T45" i="39"/>
  <c r="T47" i="39" s="1"/>
  <c r="T61" i="39" s="1"/>
  <c r="X15" i="39"/>
  <c r="X21" i="39" s="1"/>
  <c r="X22" i="39" s="1"/>
  <c r="W21" i="39"/>
  <c r="W22" i="39" s="1"/>
  <c r="X15" i="42"/>
  <c r="W21" i="42"/>
  <c r="W20" i="42"/>
  <c r="S69" i="42"/>
  <c r="S70" i="42" s="1"/>
  <c r="S66" i="42"/>
  <c r="S67" i="42" s="1"/>
  <c r="U32" i="38"/>
  <c r="U30" i="38"/>
  <c r="U31" i="38"/>
  <c r="B28" i="50"/>
  <c r="F28" i="50" s="1"/>
  <c r="E27" i="50"/>
  <c r="X69" i="39" l="1"/>
  <c r="Y69" i="39" s="1"/>
  <c r="Y34" i="39"/>
  <c r="Y51" i="41"/>
  <c r="Y47" i="8"/>
  <c r="X45" i="8"/>
  <c r="X46" i="8" s="1"/>
  <c r="Y15" i="8"/>
  <c r="W46" i="8"/>
  <c r="W49" i="8"/>
  <c r="W25" i="38"/>
  <c r="W47" i="38"/>
  <c r="W24" i="39"/>
  <c r="W46" i="39"/>
  <c r="X22" i="38"/>
  <c r="X23" i="38" s="1"/>
  <c r="U46" i="38"/>
  <c r="U48" i="38" s="1"/>
  <c r="U62" i="38" s="1"/>
  <c r="U33" i="38"/>
  <c r="X24" i="39"/>
  <c r="X46" i="39"/>
  <c r="Y48" i="8"/>
  <c r="X49" i="8"/>
  <c r="U45" i="39"/>
  <c r="U47" i="39" s="1"/>
  <c r="U61" i="39" s="1"/>
  <c r="U32" i="39"/>
  <c r="V30" i="39"/>
  <c r="V29" i="39"/>
  <c r="V31" i="39"/>
  <c r="X21" i="42"/>
  <c r="X20" i="42"/>
  <c r="V32" i="38"/>
  <c r="V31" i="38"/>
  <c r="V30" i="38"/>
  <c r="W23" i="42"/>
  <c r="W45" i="42"/>
  <c r="T70" i="39"/>
  <c r="T71" i="39" s="1"/>
  <c r="T67" i="39"/>
  <c r="T68" i="39" s="1"/>
  <c r="T71" i="38"/>
  <c r="T72" i="38" s="1"/>
  <c r="T68" i="38"/>
  <c r="T69" i="38" s="1"/>
  <c r="T66" i="42"/>
  <c r="T67" i="42" s="1"/>
  <c r="T69" i="42"/>
  <c r="T70" i="42" s="1"/>
  <c r="V30" i="42"/>
  <c r="V28" i="42"/>
  <c r="V29" i="42"/>
  <c r="U44" i="42"/>
  <c r="U46" i="42" s="1"/>
  <c r="U60" i="42" s="1"/>
  <c r="U31" i="42"/>
  <c r="D28" i="50"/>
  <c r="C28" i="50" s="1"/>
  <c r="Y45" i="8" l="1"/>
  <c r="H4" i="8" s="1"/>
  <c r="K4" i="8" s="1"/>
  <c r="Y49" i="8"/>
  <c r="Y46" i="39"/>
  <c r="X25" i="38"/>
  <c r="X47" i="38"/>
  <c r="Y47" i="38" s="1"/>
  <c r="W30" i="42"/>
  <c r="W29" i="42"/>
  <c r="W28" i="42"/>
  <c r="U71" i="38"/>
  <c r="U72" i="38" s="1"/>
  <c r="U68" i="38"/>
  <c r="U69" i="38" s="1"/>
  <c r="W31" i="39"/>
  <c r="W30" i="39"/>
  <c r="W29" i="39"/>
  <c r="U66" i="42"/>
  <c r="U67" i="42" s="1"/>
  <c r="U69" i="42"/>
  <c r="U70" i="42" s="1"/>
  <c r="V33" i="38"/>
  <c r="V46" i="38"/>
  <c r="V48" i="38" s="1"/>
  <c r="V62" i="38" s="1"/>
  <c r="X23" i="42"/>
  <c r="X45" i="42"/>
  <c r="Y45" i="42" s="1"/>
  <c r="V31" i="42"/>
  <c r="V44" i="42"/>
  <c r="V46" i="42" s="1"/>
  <c r="V60" i="42" s="1"/>
  <c r="V45" i="39"/>
  <c r="V47" i="39" s="1"/>
  <c r="V61" i="39" s="1"/>
  <c r="V32" i="39"/>
  <c r="U70" i="39"/>
  <c r="U71" i="39" s="1"/>
  <c r="U67" i="39"/>
  <c r="U68" i="39" s="1"/>
  <c r="X30" i="39"/>
  <c r="X31" i="39"/>
  <c r="X29" i="39"/>
  <c r="W32" i="38"/>
  <c r="W31" i="38"/>
  <c r="W30" i="38"/>
  <c r="B29" i="50"/>
  <c r="E28" i="50"/>
  <c r="W33" i="38" l="1"/>
  <c r="W46" i="38"/>
  <c r="W48" i="38" s="1"/>
  <c r="W62" i="38" s="1"/>
  <c r="V70" i="39"/>
  <c r="V71" i="39" s="1"/>
  <c r="V67" i="39"/>
  <c r="V68" i="39" s="1"/>
  <c r="X30" i="42"/>
  <c r="X29" i="42"/>
  <c r="X28" i="42"/>
  <c r="V66" i="42"/>
  <c r="V67" i="42" s="1"/>
  <c r="V69" i="42"/>
  <c r="V70" i="42" s="1"/>
  <c r="V71" i="38"/>
  <c r="V72" i="38" s="1"/>
  <c r="V68" i="38"/>
  <c r="V69" i="38" s="1"/>
  <c r="W32" i="39"/>
  <c r="W45" i="39"/>
  <c r="W47" i="39" s="1"/>
  <c r="W61" i="39" s="1"/>
  <c r="X32" i="39"/>
  <c r="X45" i="39"/>
  <c r="W44" i="42"/>
  <c r="W46" i="42" s="1"/>
  <c r="W60" i="42" s="1"/>
  <c r="W31" i="42"/>
  <c r="X32" i="38"/>
  <c r="X31" i="38"/>
  <c r="X30" i="38"/>
  <c r="D29" i="50"/>
  <c r="C29" i="50" s="1"/>
  <c r="X47" i="39" l="1"/>
  <c r="Y45" i="39"/>
  <c r="E29" i="50"/>
  <c r="X33" i="38"/>
  <c r="X46" i="38"/>
  <c r="X48" i="38" s="1"/>
  <c r="X62" i="38" s="1"/>
  <c r="W66" i="42"/>
  <c r="W67" i="42" s="1"/>
  <c r="W69" i="42"/>
  <c r="W70" i="42" s="1"/>
  <c r="W71" i="38"/>
  <c r="W72" i="38" s="1"/>
  <c r="W68" i="38"/>
  <c r="W69" i="38" s="1"/>
  <c r="W70" i="39"/>
  <c r="W71" i="39" s="1"/>
  <c r="W67" i="39"/>
  <c r="W68" i="39" s="1"/>
  <c r="X31" i="42"/>
  <c r="X44" i="42"/>
  <c r="X46" i="42" s="1"/>
  <c r="X60" i="42" s="1"/>
  <c r="B30" i="50"/>
  <c r="X61" i="39" l="1"/>
  <c r="Y47" i="39"/>
  <c r="X66" i="42"/>
  <c r="X67" i="42" s="1"/>
  <c r="X69" i="42"/>
  <c r="X70" i="42" s="1"/>
  <c r="X71" i="38"/>
  <c r="X72" i="38" s="1"/>
  <c r="X68" i="38"/>
  <c r="X69" i="38" s="1"/>
  <c r="D30" i="50"/>
  <c r="C30" i="50" s="1"/>
  <c r="Y61" i="39" l="1"/>
  <c r="X67" i="39"/>
  <c r="X70" i="39"/>
  <c r="B31" i="50"/>
  <c r="E30" i="50"/>
  <c r="X71" i="39" l="1"/>
  <c r="Y71" i="39" s="1"/>
  <c r="Y70" i="39"/>
  <c r="X68" i="39"/>
  <c r="Y67" i="39"/>
  <c r="D31" i="50"/>
  <c r="C31" i="50" s="1"/>
  <c r="H3" i="39" l="1"/>
  <c r="K3" i="39" s="1"/>
  <c r="M3" i="39"/>
  <c r="B32" i="50"/>
  <c r="E31" i="50"/>
  <c r="D32" i="50" l="1"/>
  <c r="C32" i="50" s="1"/>
  <c r="B33" i="50" l="1"/>
  <c r="E32" i="50"/>
  <c r="D33" i="50" l="1"/>
  <c r="C33" i="50" s="1"/>
  <c r="B34" i="50" l="1"/>
  <c r="E33" i="50"/>
  <c r="D34" i="50" l="1"/>
  <c r="C34" i="50" s="1"/>
  <c r="B35" i="50" l="1"/>
  <c r="E34" i="50"/>
  <c r="D35" i="50" l="1"/>
  <c r="C35" i="50" s="1"/>
  <c r="B36" i="50" l="1"/>
  <c r="E35" i="50"/>
  <c r="D36" i="50" l="1"/>
  <c r="C36" i="50" s="1"/>
  <c r="B37" i="50" l="1"/>
  <c r="E36" i="50"/>
  <c r="D37" i="50" l="1"/>
  <c r="C37" i="50" s="1"/>
  <c r="B38" i="50" l="1"/>
  <c r="E37" i="50"/>
  <c r="D38" i="50" l="1"/>
  <c r="C38" i="50" s="1"/>
  <c r="B39" i="50" l="1"/>
  <c r="E38" i="50"/>
  <c r="D39" i="50" l="1"/>
  <c r="C39" i="50" s="1"/>
  <c r="E39" i="50" l="1"/>
  <c r="B40" i="50"/>
  <c r="F40" i="50" s="1"/>
  <c r="D40" i="50" l="1"/>
  <c r="C40" i="50" s="1"/>
  <c r="B41" i="50" l="1"/>
  <c r="E40" i="50"/>
  <c r="D41" i="50" l="1"/>
  <c r="C41" i="50" s="1"/>
  <c r="B42" i="50" l="1"/>
  <c r="E41" i="50"/>
  <c r="D42" i="50" l="1"/>
  <c r="C42" i="50" s="1"/>
  <c r="E42" i="50" l="1"/>
  <c r="B43" i="50"/>
  <c r="D43" i="50" l="1"/>
  <c r="C43" i="50" s="1"/>
  <c r="B44" i="50" l="1"/>
  <c r="E43" i="50"/>
  <c r="D44" i="50" l="1"/>
  <c r="C44" i="50" s="1"/>
  <c r="B45" i="50" l="1"/>
  <c r="E44" i="50"/>
  <c r="D45" i="50" l="1"/>
  <c r="C45" i="50" s="1"/>
  <c r="B46" i="50" l="1"/>
  <c r="E45" i="50"/>
  <c r="D46" i="50" l="1"/>
  <c r="C46" i="50" s="1"/>
  <c r="B47" i="50" l="1"/>
  <c r="E46" i="50"/>
  <c r="D47" i="50" l="1"/>
  <c r="C47" i="50" s="1"/>
  <c r="B48" i="50" l="1"/>
  <c r="E47" i="50"/>
  <c r="D48" i="50" l="1"/>
  <c r="C48" i="50" s="1"/>
  <c r="B49" i="50" l="1"/>
  <c r="E48" i="50"/>
  <c r="D49" i="50" l="1"/>
  <c r="C49" i="50" s="1"/>
  <c r="B50" i="50" l="1"/>
  <c r="E49" i="50"/>
  <c r="D50" i="50" l="1"/>
  <c r="C50" i="50" s="1"/>
  <c r="B51" i="50" l="1"/>
  <c r="E50" i="50"/>
  <c r="D51" i="50" l="1"/>
  <c r="C51" i="50" s="1"/>
  <c r="B52" i="50" l="1"/>
  <c r="E51" i="50"/>
  <c r="D52" i="50" l="1"/>
  <c r="C52" i="50" s="1"/>
  <c r="B53" i="50" l="1"/>
  <c r="E52" i="50"/>
  <c r="D53" i="50" l="1"/>
  <c r="C53" i="50" s="1"/>
  <c r="B54" i="50" l="1"/>
  <c r="E53" i="50"/>
  <c r="D54" i="50" l="1"/>
  <c r="C54" i="50" s="1"/>
  <c r="E54" i="50" l="1"/>
  <c r="B55" i="50"/>
  <c r="D55" i="50" l="1"/>
  <c r="C55" i="50" s="1"/>
  <c r="B56" i="50" l="1"/>
  <c r="E55" i="50"/>
  <c r="D56" i="50" l="1"/>
  <c r="C56" i="50" s="1"/>
  <c r="B57" i="50" l="1"/>
  <c r="E56" i="50"/>
  <c r="D57" i="50" l="1"/>
  <c r="C57" i="50" s="1"/>
  <c r="B58" i="50" l="1"/>
  <c r="E57" i="50"/>
  <c r="D58" i="50" l="1"/>
  <c r="C58" i="50" s="1"/>
  <c r="B59" i="50" l="1"/>
  <c r="E58" i="50"/>
  <c r="D59" i="50" l="1"/>
  <c r="C59" i="50" s="1"/>
  <c r="B60" i="50" l="1"/>
  <c r="E59" i="50"/>
  <c r="D60" i="50" l="1"/>
  <c r="C60" i="50" s="1"/>
  <c r="B61" i="50" l="1"/>
  <c r="E60" i="50"/>
  <c r="D61" i="50" l="1"/>
  <c r="C61" i="50" s="1"/>
  <c r="B62" i="50" l="1"/>
  <c r="E61" i="50"/>
  <c r="D62" i="50" l="1"/>
  <c r="C62" i="50" s="1"/>
  <c r="B63" i="50" l="1"/>
  <c r="E62" i="50"/>
  <c r="D63" i="50" l="1"/>
  <c r="C63" i="50" s="1"/>
  <c r="B64" i="50" l="1"/>
  <c r="E63" i="50"/>
  <c r="D64" i="50" l="1"/>
  <c r="C64" i="50" s="1"/>
  <c r="B65" i="50" l="1"/>
  <c r="E64" i="50"/>
  <c r="D65" i="50" l="1"/>
  <c r="C65" i="50" s="1"/>
  <c r="B66" i="50" l="1"/>
  <c r="E65" i="50"/>
  <c r="D66" i="50" l="1"/>
  <c r="C66" i="50" s="1"/>
  <c r="B67" i="50" l="1"/>
  <c r="E66" i="50"/>
  <c r="D67" i="50" l="1"/>
  <c r="C67" i="50" s="1"/>
  <c r="B68" i="50" l="1"/>
  <c r="E67" i="50"/>
  <c r="D68" i="50" l="1"/>
  <c r="C68" i="50" s="1"/>
  <c r="B69" i="50" l="1"/>
  <c r="E68" i="50"/>
  <c r="D69" i="50" l="1"/>
  <c r="C69" i="50" s="1"/>
  <c r="B70" i="50" l="1"/>
  <c r="E69" i="50"/>
  <c r="D70" i="50" l="1"/>
  <c r="C70" i="50" s="1"/>
  <c r="B71" i="50" l="1"/>
  <c r="E70" i="50"/>
  <c r="D71" i="50" l="1"/>
  <c r="C71" i="50" s="1"/>
  <c r="E71" i="50" l="1"/>
  <c r="B72" i="50"/>
  <c r="D72" i="50" l="1"/>
  <c r="C72" i="50" s="1"/>
  <c r="B73" i="50" l="1"/>
  <c r="E72" i="50"/>
  <c r="D73" i="50" l="1"/>
  <c r="C73" i="50" s="1"/>
  <c r="B74" i="50" l="1"/>
  <c r="E73" i="50"/>
  <c r="D74" i="50" l="1"/>
  <c r="C74" i="50" s="1"/>
  <c r="B75" i="50" l="1"/>
  <c r="E74" i="50"/>
  <c r="D75" i="50" l="1"/>
  <c r="C75" i="50" s="1"/>
  <c r="B76" i="50" l="1"/>
  <c r="E75" i="50"/>
  <c r="D76" i="50" l="1"/>
  <c r="C76" i="50" s="1"/>
  <c r="B77" i="50" l="1"/>
  <c r="E76" i="50"/>
  <c r="D77" i="50" l="1"/>
  <c r="C77" i="50" s="1"/>
  <c r="B78" i="50" l="1"/>
  <c r="E77" i="50"/>
  <c r="D78" i="50" l="1"/>
  <c r="C78" i="50" s="1"/>
  <c r="B79" i="50" l="1"/>
  <c r="E78" i="50"/>
  <c r="D79" i="50" l="1"/>
  <c r="C79" i="50" s="1"/>
  <c r="B80" i="50" l="1"/>
  <c r="E79" i="50"/>
  <c r="D80" i="50" l="1"/>
  <c r="C80" i="50" s="1"/>
  <c r="B81" i="50" l="1"/>
  <c r="E80" i="50"/>
  <c r="D81" i="50" l="1"/>
  <c r="C81" i="50" s="1"/>
  <c r="B82" i="50" l="1"/>
  <c r="E81" i="50"/>
  <c r="D82" i="50" l="1"/>
  <c r="C82" i="50" s="1"/>
  <c r="B83" i="50" l="1"/>
  <c r="E82" i="50"/>
  <c r="D83" i="50" l="1"/>
  <c r="C83" i="50" s="1"/>
  <c r="B84" i="50" l="1"/>
  <c r="E83" i="50"/>
  <c r="D84" i="50" l="1"/>
  <c r="C84" i="50" s="1"/>
  <c r="B85" i="50" l="1"/>
  <c r="E84" i="50"/>
  <c r="D85" i="50" l="1"/>
  <c r="C85" i="50" s="1"/>
  <c r="B86" i="50" l="1"/>
  <c r="E85" i="50"/>
  <c r="D86" i="50" l="1"/>
  <c r="C86" i="50" s="1"/>
  <c r="B87" i="50" l="1"/>
  <c r="E86" i="50"/>
  <c r="D87" i="50" l="1"/>
  <c r="C87" i="50" s="1"/>
  <c r="B88" i="50" l="1"/>
  <c r="E87" i="50"/>
  <c r="D88" i="50" l="1"/>
  <c r="C88" i="50" s="1"/>
  <c r="B89" i="50" l="1"/>
  <c r="E88" i="50"/>
  <c r="D89" i="50" l="1"/>
  <c r="C89" i="50" s="1"/>
  <c r="B90" i="50" l="1"/>
  <c r="E89" i="50"/>
  <c r="D90" i="50" l="1"/>
  <c r="C90" i="50" s="1"/>
  <c r="B91" i="50" l="1"/>
  <c r="E90" i="50"/>
  <c r="D91" i="50" l="1"/>
  <c r="C91" i="50" s="1"/>
  <c r="B92" i="50" l="1"/>
  <c r="E91" i="50"/>
  <c r="D92" i="50" l="1"/>
  <c r="C92" i="50" s="1"/>
  <c r="B93" i="50" l="1"/>
  <c r="E92" i="50"/>
  <c r="D93" i="50" l="1"/>
  <c r="C93" i="50" s="1"/>
  <c r="B94" i="50" l="1"/>
  <c r="E93" i="50"/>
  <c r="D94" i="50" l="1"/>
  <c r="C94" i="50" s="1"/>
  <c r="B95" i="50" l="1"/>
  <c r="E94" i="50"/>
  <c r="D95" i="50" l="1"/>
  <c r="C95" i="50" s="1"/>
  <c r="B96" i="50" l="1"/>
  <c r="E95" i="50"/>
  <c r="D96" i="50" l="1"/>
  <c r="C96" i="50" s="1"/>
  <c r="B97" i="50" l="1"/>
  <c r="E96" i="50"/>
  <c r="D97" i="50" l="1"/>
  <c r="C97" i="50" s="1"/>
  <c r="B98" i="50" l="1"/>
  <c r="E97" i="50"/>
  <c r="D98" i="50" l="1"/>
  <c r="C98" i="50" s="1"/>
  <c r="B99" i="50" l="1"/>
  <c r="E98" i="50"/>
  <c r="D99" i="50" l="1"/>
  <c r="C99" i="50" s="1"/>
  <c r="B100" i="50" l="1"/>
  <c r="E99" i="50"/>
  <c r="D100" i="50" l="1"/>
  <c r="C100" i="50" s="1"/>
  <c r="B101" i="50" l="1"/>
  <c r="E100" i="50"/>
  <c r="D101" i="50" l="1"/>
  <c r="C101" i="50" s="1"/>
  <c r="B102" i="50" l="1"/>
  <c r="E101" i="50"/>
  <c r="D102" i="50" l="1"/>
  <c r="C102" i="50" s="1"/>
  <c r="B103" i="50" l="1"/>
  <c r="E102" i="50"/>
  <c r="D103" i="50" l="1"/>
  <c r="C103" i="50" s="1"/>
  <c r="B104" i="50" l="1"/>
  <c r="E103" i="50"/>
  <c r="D104" i="50" l="1"/>
  <c r="C104" i="50" s="1"/>
  <c r="B105" i="50" l="1"/>
  <c r="E104" i="50"/>
  <c r="D105" i="50" l="1"/>
  <c r="C105" i="50" s="1"/>
  <c r="B106" i="50" l="1"/>
  <c r="E105" i="50"/>
  <c r="D106" i="50" l="1"/>
  <c r="C106" i="50" s="1"/>
  <c r="B107" i="50" l="1"/>
  <c r="E106" i="50"/>
  <c r="D107" i="50" l="1"/>
  <c r="C107" i="50" s="1"/>
  <c r="B108" i="50" l="1"/>
  <c r="E107" i="50"/>
  <c r="D108" i="50" l="1"/>
  <c r="C108" i="50" s="1"/>
  <c r="B109" i="50" l="1"/>
  <c r="E108" i="50"/>
  <c r="D109" i="50" l="1"/>
  <c r="C109" i="50" s="1"/>
  <c r="E109" i="50" l="1"/>
  <c r="B110" i="50"/>
  <c r="D110" i="50" l="1"/>
  <c r="C110" i="50" s="1"/>
  <c r="E110" i="50" l="1"/>
  <c r="B111" i="50"/>
  <c r="D111" i="50" l="1"/>
  <c r="C111" i="50" s="1"/>
  <c r="E111" i="50" l="1"/>
  <c r="B112" i="50"/>
  <c r="D112" i="50" l="1"/>
  <c r="C112" i="50" s="1"/>
  <c r="E112" i="50" l="1"/>
  <c r="B113" i="50"/>
  <c r="D113" i="50" l="1"/>
  <c r="C113" i="50" s="1"/>
  <c r="E113" i="50" l="1"/>
  <c r="B114" i="50"/>
  <c r="D114" i="50" l="1"/>
  <c r="C114" i="50" s="1"/>
  <c r="B115" i="50" l="1"/>
  <c r="E114" i="50"/>
  <c r="D115" i="50" l="1"/>
  <c r="C115" i="50" s="1"/>
  <c r="B116" i="50" l="1"/>
  <c r="E115" i="50"/>
  <c r="D116" i="50" l="1"/>
  <c r="C116" i="50" s="1"/>
  <c r="B117" i="50" l="1"/>
  <c r="E116" i="50"/>
  <c r="D117" i="50" l="1"/>
  <c r="C117" i="50" s="1"/>
  <c r="B118" i="50" l="1"/>
  <c r="E117" i="50"/>
  <c r="D118" i="50" l="1"/>
  <c r="C118" i="50" s="1"/>
  <c r="E118" i="50" l="1"/>
  <c r="B119" i="50"/>
  <c r="D119" i="50" l="1"/>
  <c r="C119" i="50" s="1"/>
  <c r="E119" i="50" l="1"/>
  <c r="B120" i="50"/>
  <c r="D120" i="50" l="1"/>
  <c r="C120" i="50" s="1"/>
  <c r="B121" i="50" l="1"/>
  <c r="E120" i="50"/>
  <c r="D121" i="50" l="1"/>
  <c r="C121" i="50" s="1"/>
  <c r="E121" i="50" l="1"/>
  <c r="B122" i="50"/>
  <c r="D122" i="50" l="1"/>
  <c r="C122" i="50" s="1"/>
  <c r="E122" i="50" l="1"/>
  <c r="B123" i="50"/>
  <c r="D123" i="50" l="1"/>
  <c r="C123" i="50" s="1"/>
  <c r="B124" i="50" l="1"/>
  <c r="E123" i="50"/>
  <c r="D124" i="50" l="1"/>
  <c r="C124" i="50" s="1"/>
  <c r="B125" i="50" l="1"/>
  <c r="E124" i="50"/>
  <c r="D125" i="50" l="1"/>
  <c r="C125" i="50" s="1"/>
  <c r="E125" i="50" l="1"/>
  <c r="B126" i="50"/>
  <c r="D126" i="50" l="1"/>
  <c r="C126" i="50" s="1"/>
  <c r="E126" i="50" l="1"/>
  <c r="B127" i="50"/>
  <c r="D127" i="50" l="1"/>
  <c r="C127" i="50" s="1"/>
  <c r="E127" i="50" l="1"/>
  <c r="B128" i="50"/>
  <c r="D128" i="50" l="1"/>
  <c r="C128" i="50" s="1"/>
  <c r="B129" i="50" l="1"/>
  <c r="E128" i="50"/>
  <c r="D129" i="50" l="1"/>
  <c r="C129" i="50" s="1"/>
  <c r="E129" i="50" l="1"/>
  <c r="B130" i="50"/>
  <c r="D130" i="50" l="1"/>
  <c r="C130" i="50" s="1"/>
  <c r="E130" i="50" l="1"/>
  <c r="B131" i="50"/>
  <c r="D131" i="50" l="1"/>
  <c r="C131" i="50" s="1"/>
  <c r="E131" i="50" l="1"/>
  <c r="B132" i="50"/>
  <c r="D132" i="50" l="1"/>
  <c r="C132" i="50" s="1"/>
  <c r="E132" i="50" l="1"/>
  <c r="B133" i="50"/>
  <c r="D133" i="50" l="1"/>
  <c r="C133" i="50" s="1"/>
  <c r="E133" i="50" l="1"/>
  <c r="B134" i="50"/>
  <c r="D134" i="50" l="1"/>
  <c r="C134" i="50" s="1"/>
  <c r="B135" i="50" l="1"/>
  <c r="E134" i="50"/>
  <c r="D135" i="50" l="1"/>
  <c r="C135" i="50" s="1"/>
  <c r="E135" i="50" l="1"/>
  <c r="B136" i="50"/>
  <c r="D136" i="50" l="1"/>
  <c r="C136" i="50" s="1"/>
  <c r="B137" i="50" l="1"/>
  <c r="E136" i="50"/>
  <c r="D137" i="50" l="1"/>
  <c r="C137" i="50" s="1"/>
  <c r="E137" i="50" l="1"/>
  <c r="B138" i="50"/>
  <c r="D138" i="50" l="1"/>
  <c r="C138" i="50" s="1"/>
  <c r="E138" i="50" l="1"/>
  <c r="B139" i="50"/>
  <c r="D139" i="50" l="1"/>
  <c r="C139" i="50" s="1"/>
  <c r="E139" i="50" l="1"/>
  <c r="B140" i="50"/>
  <c r="D140" i="50" l="1"/>
  <c r="C140" i="50" s="1"/>
  <c r="B141" i="50" l="1"/>
  <c r="E140" i="50"/>
  <c r="D141" i="50" l="1"/>
  <c r="C141" i="50" s="1"/>
  <c r="E141" i="50" l="1"/>
  <c r="B142" i="50"/>
  <c r="D142" i="50" l="1"/>
  <c r="C142" i="50" s="1"/>
  <c r="E142" i="50" l="1"/>
  <c r="B143" i="50"/>
  <c r="D143" i="50" l="1"/>
  <c r="C143" i="50" s="1"/>
  <c r="E143" i="50" l="1"/>
  <c r="B144" i="50"/>
  <c r="D144" i="50" l="1"/>
  <c r="C144" i="50" s="1"/>
  <c r="E144" i="50" l="1"/>
  <c r="B145" i="50"/>
  <c r="D145" i="50" l="1"/>
  <c r="C145" i="50" s="1"/>
  <c r="E145" i="50" l="1"/>
  <c r="B146" i="50"/>
  <c r="D146" i="50" l="1"/>
  <c r="C146" i="50" s="1"/>
  <c r="B147" i="50" l="1"/>
  <c r="E146" i="50"/>
  <c r="D147" i="50" l="1"/>
  <c r="C147" i="50" s="1"/>
  <c r="E147" i="50" l="1"/>
  <c r="B148" i="50"/>
  <c r="D148" i="50" l="1"/>
  <c r="C148" i="50" s="1"/>
  <c r="B149" i="50" l="1"/>
  <c r="E148" i="50"/>
  <c r="D149" i="50" l="1"/>
  <c r="C149" i="50" s="1"/>
  <c r="E149" i="50" l="1"/>
  <c r="B150" i="50"/>
  <c r="D150" i="50" l="1"/>
  <c r="C150" i="50" s="1"/>
  <c r="B151" i="50" l="1"/>
  <c r="E150" i="50"/>
  <c r="D151" i="50" l="1"/>
  <c r="C151" i="50" s="1"/>
  <c r="E151" i="50" l="1"/>
  <c r="B152" i="50"/>
  <c r="D152" i="50" l="1"/>
  <c r="C152" i="50" s="1"/>
  <c r="B153" i="50" l="1"/>
  <c r="E152" i="50"/>
  <c r="D153" i="50" l="1"/>
  <c r="C153" i="50" s="1"/>
  <c r="B154" i="50" l="1"/>
  <c r="E153" i="50"/>
  <c r="D154" i="50" l="1"/>
  <c r="C154" i="50" s="1"/>
  <c r="E154" i="50" l="1"/>
  <c r="B155" i="50"/>
  <c r="D155" i="50" l="1"/>
  <c r="C155" i="50" s="1"/>
  <c r="B156" i="50" l="1"/>
  <c r="E155" i="50"/>
  <c r="D156" i="50" l="1"/>
  <c r="C156" i="50" s="1"/>
  <c r="B157" i="50" l="1"/>
  <c r="E156" i="50"/>
  <c r="D157" i="50" l="1"/>
  <c r="C157" i="50" s="1"/>
  <c r="E157" i="50" l="1"/>
  <c r="B158" i="50"/>
  <c r="D158" i="50" l="1"/>
  <c r="C158" i="50" s="1"/>
  <c r="B159" i="50" l="1"/>
  <c r="E158" i="50"/>
  <c r="D159" i="50" l="1"/>
  <c r="C159" i="50" s="1"/>
  <c r="E159" i="50" l="1"/>
  <c r="B160" i="50"/>
  <c r="D160" i="50" l="1"/>
  <c r="C160" i="50" s="1"/>
  <c r="E160" i="50" l="1"/>
  <c r="B161" i="50"/>
  <c r="D161" i="50" l="1"/>
  <c r="C161" i="50" s="1"/>
  <c r="B162" i="50" l="1"/>
  <c r="E161" i="50"/>
  <c r="D162" i="50" l="1"/>
  <c r="C162" i="50" s="1"/>
  <c r="E162" i="50" l="1"/>
  <c r="B163" i="50"/>
  <c r="D163" i="50" l="1"/>
  <c r="C163" i="50" s="1"/>
  <c r="B164" i="50" l="1"/>
  <c r="E163" i="50"/>
  <c r="D164" i="50" l="1"/>
  <c r="C164" i="50" s="1"/>
  <c r="B165" i="50" l="1"/>
  <c r="E164" i="50"/>
  <c r="D165" i="50" l="1"/>
  <c r="C165" i="50" s="1"/>
  <c r="E165" i="50" l="1"/>
  <c r="B166" i="50"/>
  <c r="D166" i="50" l="1"/>
  <c r="C166" i="50" s="1"/>
  <c r="E166" i="50" l="1"/>
  <c r="B167" i="50"/>
  <c r="D167" i="50" l="1"/>
  <c r="C167" i="50" s="1"/>
  <c r="E167" i="50" l="1"/>
  <c r="B168" i="50"/>
  <c r="D168" i="50" l="1"/>
  <c r="C168" i="50" s="1"/>
  <c r="B169" i="50" l="1"/>
  <c r="E168" i="50"/>
  <c r="D169" i="50" l="1"/>
  <c r="C169" i="50" s="1"/>
  <c r="E169" i="50" l="1"/>
  <c r="B170" i="50"/>
  <c r="D170" i="50" l="1"/>
  <c r="C170" i="50" s="1"/>
  <c r="B171" i="50" l="1"/>
  <c r="E170" i="50"/>
  <c r="D171" i="50" l="1"/>
  <c r="C171" i="50" s="1"/>
  <c r="B172" i="50" l="1"/>
  <c r="E171" i="50"/>
  <c r="D172" i="50" l="1"/>
  <c r="C172" i="50" s="1"/>
  <c r="E172" i="50" l="1"/>
  <c r="B173" i="50"/>
  <c r="D173" i="50" l="1"/>
  <c r="C173" i="50" s="1"/>
  <c r="E173" i="50" l="1"/>
  <c r="B174" i="50"/>
  <c r="D174" i="50" l="1"/>
  <c r="C174" i="50" s="1"/>
  <c r="B175" i="50" l="1"/>
  <c r="E174" i="50"/>
  <c r="D175" i="50" l="1"/>
  <c r="C175" i="50" s="1"/>
  <c r="E175" i="50" l="1"/>
  <c r="B176" i="50"/>
  <c r="D176" i="50" l="1"/>
  <c r="C176" i="50" s="1"/>
  <c r="E176" i="50" l="1"/>
  <c r="B177" i="50"/>
  <c r="D177" i="50" l="1"/>
  <c r="C177" i="50" s="1"/>
  <c r="E177" i="50" l="1"/>
  <c r="B178" i="50"/>
  <c r="D178" i="50" l="1"/>
  <c r="C178" i="50" s="1"/>
  <c r="B179" i="50" l="1"/>
  <c r="E178" i="50"/>
  <c r="D179" i="50" l="1"/>
  <c r="C179" i="50" s="1"/>
  <c r="E179" i="50" l="1"/>
  <c r="B180" i="50"/>
  <c r="D180" i="50" l="1"/>
  <c r="C180" i="50" s="1"/>
  <c r="E180" i="50" l="1"/>
  <c r="B181" i="50"/>
  <c r="D181" i="50" l="1"/>
  <c r="C181" i="50" s="1"/>
  <c r="E181" i="50" l="1"/>
  <c r="B182" i="50"/>
  <c r="D182" i="50" l="1"/>
  <c r="C182" i="50" s="1"/>
  <c r="B183" i="50" l="1"/>
  <c r="E182" i="50"/>
  <c r="D183" i="50" l="1"/>
  <c r="C183" i="50" s="1"/>
  <c r="E183" i="50" l="1"/>
  <c r="B184" i="50"/>
  <c r="D184" i="50" l="1"/>
  <c r="C184" i="50" s="1"/>
  <c r="B185" i="50" l="1"/>
  <c r="E184" i="50"/>
  <c r="D185" i="50" l="1"/>
  <c r="C185" i="50" s="1"/>
  <c r="E185" i="50" l="1"/>
  <c r="B186" i="50"/>
  <c r="D186" i="50" l="1"/>
  <c r="C186" i="50" s="1"/>
  <c r="E186" i="50" l="1"/>
  <c r="B187" i="50"/>
  <c r="D187" i="50" l="1"/>
  <c r="C187" i="50" s="1"/>
  <c r="E187" i="50" l="1"/>
  <c r="B188" i="50"/>
  <c r="D188" i="50" l="1"/>
  <c r="C188" i="50" s="1"/>
  <c r="B189" i="50" l="1"/>
  <c r="E188" i="50"/>
  <c r="D189" i="50" l="1"/>
  <c r="C189" i="50" s="1"/>
  <c r="E189" i="50" l="1"/>
  <c r="B190" i="50"/>
  <c r="D190" i="50" l="1"/>
  <c r="C190" i="50" s="1"/>
  <c r="B191" i="50" l="1"/>
  <c r="E190" i="50"/>
  <c r="D191" i="50" l="1"/>
  <c r="C191" i="50" s="1"/>
  <c r="E191" i="50" l="1"/>
  <c r="B192" i="50"/>
  <c r="D192" i="50" l="1"/>
  <c r="C192" i="50" s="1"/>
  <c r="E192" i="50" l="1"/>
  <c r="B193" i="50"/>
  <c r="D193" i="50" l="1"/>
  <c r="C193" i="50" s="1"/>
  <c r="E193" i="50" l="1"/>
  <c r="B194" i="50"/>
  <c r="D194" i="50" l="1"/>
  <c r="C194" i="50" s="1"/>
  <c r="E194" i="50" l="1"/>
  <c r="B195" i="50"/>
  <c r="D195" i="50" l="1"/>
  <c r="C195" i="50" s="1"/>
  <c r="B196" i="50" l="1"/>
  <c r="E195" i="50"/>
  <c r="D196" i="50" l="1"/>
  <c r="C196" i="50" s="1"/>
  <c r="B197" i="50" l="1"/>
  <c r="E196" i="50"/>
  <c r="D197" i="50" l="1"/>
  <c r="C197" i="50" s="1"/>
  <c r="B198" i="50" l="1"/>
  <c r="E197" i="50"/>
  <c r="D198" i="50" l="1"/>
  <c r="C198" i="50" s="1"/>
  <c r="E198" i="50" l="1"/>
  <c r="B199" i="50"/>
  <c r="D199" i="50" l="1"/>
  <c r="C199" i="50" s="1"/>
  <c r="B200" i="50" l="1"/>
  <c r="E199" i="50"/>
  <c r="D200" i="50" l="1"/>
  <c r="C200" i="50" s="1"/>
  <c r="E200" i="50" l="1"/>
  <c r="B201" i="50"/>
  <c r="D201" i="50" l="1"/>
  <c r="C201" i="50" s="1"/>
  <c r="E201" i="50" l="1"/>
  <c r="B202" i="50"/>
  <c r="D202" i="50" l="1"/>
  <c r="C202" i="50" s="1"/>
  <c r="E202" i="50" l="1"/>
  <c r="B203" i="50"/>
  <c r="D203" i="50" l="1"/>
  <c r="C203" i="50" s="1"/>
  <c r="E203" i="50" l="1"/>
  <c r="B204" i="50"/>
  <c r="D204" i="50" l="1"/>
  <c r="C204" i="50" s="1"/>
  <c r="B205" i="50" l="1"/>
  <c r="E204" i="50"/>
  <c r="D205" i="50" l="1"/>
  <c r="C205" i="50" s="1"/>
  <c r="E205" i="50" l="1"/>
  <c r="B206" i="50"/>
  <c r="D206" i="50" l="1"/>
  <c r="C206" i="50" s="1"/>
  <c r="B207" i="50" l="1"/>
  <c r="E206" i="50"/>
  <c r="D207" i="50" l="1"/>
  <c r="C207" i="50" s="1"/>
  <c r="E207" i="50" l="1"/>
  <c r="B208" i="50"/>
  <c r="D208" i="50" l="1"/>
  <c r="C208" i="50" s="1"/>
  <c r="B209" i="50" l="1"/>
  <c r="E208" i="50"/>
  <c r="D209" i="50" l="1"/>
  <c r="C209" i="50" s="1"/>
  <c r="B210" i="50" l="1"/>
  <c r="E209" i="50"/>
  <c r="D210" i="50" l="1"/>
  <c r="C210" i="50" s="1"/>
  <c r="E210" i="50" l="1"/>
  <c r="B211" i="50"/>
  <c r="D211" i="50" l="1"/>
  <c r="C211" i="50" s="1"/>
  <c r="E211" i="50" l="1"/>
  <c r="B212" i="50"/>
  <c r="D212" i="50" l="1"/>
  <c r="C212" i="50" s="1"/>
  <c r="B213" i="50" l="1"/>
  <c r="E212" i="50"/>
  <c r="D213" i="50" l="1"/>
  <c r="C213" i="50" s="1"/>
  <c r="B214" i="50" l="1"/>
  <c r="E213" i="50"/>
  <c r="D214" i="50" l="1"/>
  <c r="C214" i="50" s="1"/>
  <c r="E214" i="50" l="1"/>
  <c r="B215" i="50"/>
  <c r="D215" i="50" l="1"/>
  <c r="C215" i="50" s="1"/>
  <c r="E215" i="50" l="1"/>
  <c r="B216" i="50"/>
  <c r="D216" i="50" l="1"/>
  <c r="C216" i="50" s="1"/>
  <c r="E216" i="50" l="1"/>
  <c r="B217" i="50"/>
  <c r="D217" i="50" l="1"/>
  <c r="C217" i="50" s="1"/>
  <c r="B218" i="50" l="1"/>
  <c r="E217" i="50"/>
  <c r="D218" i="50" l="1"/>
  <c r="C218" i="50" s="1"/>
  <c r="E218" i="50" l="1"/>
  <c r="B219" i="50"/>
  <c r="D219" i="50" l="1"/>
  <c r="C219" i="50" s="1"/>
  <c r="B220" i="50" l="1"/>
  <c r="E219" i="50"/>
  <c r="D220" i="50" l="1"/>
  <c r="C220" i="50" s="1"/>
  <c r="B221" i="50" l="1"/>
  <c r="E220" i="50"/>
  <c r="D221" i="50" l="1"/>
  <c r="C221" i="50" s="1"/>
  <c r="E221" i="50" l="1"/>
  <c r="B222" i="50"/>
  <c r="D222" i="50" l="1"/>
  <c r="C222" i="50" s="1"/>
  <c r="B223" i="50" l="1"/>
  <c r="E222" i="50"/>
  <c r="D223" i="50" l="1"/>
  <c r="C223" i="50" s="1"/>
  <c r="E223" i="50" l="1"/>
  <c r="B224" i="50"/>
  <c r="D224" i="50" l="1"/>
  <c r="C224" i="50" s="1"/>
  <c r="E224" i="50" l="1"/>
  <c r="B225" i="50"/>
  <c r="D225" i="50" l="1"/>
  <c r="C225" i="50" s="1"/>
  <c r="B226" i="50" l="1"/>
  <c r="E225" i="50"/>
  <c r="D226" i="50" l="1"/>
  <c r="C226" i="50" s="1"/>
  <c r="E226" i="50" l="1"/>
  <c r="B227" i="50"/>
  <c r="D227" i="50" l="1"/>
  <c r="C227" i="50" s="1"/>
  <c r="B228" i="50" l="1"/>
  <c r="E227" i="50"/>
  <c r="D228" i="50" l="1"/>
  <c r="C228" i="50" s="1"/>
  <c r="B229" i="50" l="1"/>
  <c r="E228" i="50"/>
  <c r="D229" i="50" l="1"/>
  <c r="C229" i="50" s="1"/>
  <c r="E229" i="50" l="1"/>
  <c r="B230" i="50"/>
  <c r="D230" i="50" l="1"/>
  <c r="C230" i="50" s="1"/>
  <c r="E230" i="50" l="1"/>
  <c r="B231" i="50"/>
  <c r="D231" i="50" l="1"/>
  <c r="C231" i="50" s="1"/>
  <c r="E231" i="50" l="1"/>
  <c r="B232" i="50"/>
  <c r="D232" i="50" l="1"/>
  <c r="C232" i="50" s="1"/>
  <c r="B233" i="50" l="1"/>
  <c r="E232" i="50"/>
  <c r="D233" i="50" l="1"/>
  <c r="C233" i="50" s="1"/>
  <c r="E233" i="50" l="1"/>
  <c r="B234" i="50"/>
  <c r="D234" i="50" l="1"/>
  <c r="C234" i="50" s="1"/>
  <c r="E234" i="50" l="1"/>
  <c r="B235" i="50"/>
  <c r="D235" i="50" l="1"/>
  <c r="C235" i="50" s="1"/>
  <c r="B236" i="50" l="1"/>
  <c r="E235" i="50"/>
  <c r="D236" i="50" l="1"/>
  <c r="C236" i="50" s="1"/>
  <c r="E236" i="50" l="1"/>
  <c r="B237" i="50"/>
  <c r="D237" i="50" l="1"/>
  <c r="C237" i="50" s="1"/>
  <c r="E237" i="50" l="1"/>
  <c r="B238" i="50"/>
  <c r="D238" i="50" l="1"/>
  <c r="C238" i="50" s="1"/>
  <c r="B239" i="50" l="1"/>
  <c r="E238" i="50"/>
  <c r="D239" i="50" l="1"/>
  <c r="C239" i="50" s="1"/>
  <c r="E239" i="50" l="1"/>
  <c r="B240" i="50"/>
  <c r="D240" i="50" l="1"/>
  <c r="C240" i="50" s="1"/>
  <c r="E240" i="50" l="1"/>
  <c r="B241" i="50"/>
  <c r="D241" i="50" l="1"/>
  <c r="C241" i="50" s="1"/>
  <c r="E241" i="50" l="1"/>
  <c r="B242" i="50"/>
  <c r="D242" i="50" l="1"/>
  <c r="C242" i="50" s="1"/>
  <c r="E242" i="50" l="1"/>
  <c r="B243" i="50"/>
  <c r="D243" i="50" l="1"/>
  <c r="C243" i="50" s="1"/>
  <c r="E243" i="50" l="1"/>
  <c r="B244" i="50"/>
  <c r="D244" i="50" l="1"/>
  <c r="C244" i="50" s="1"/>
  <c r="B245" i="50" l="1"/>
  <c r="E244" i="50"/>
  <c r="D245" i="50" l="1"/>
  <c r="C245" i="50" s="1"/>
  <c r="E245" i="50" l="1"/>
  <c r="C8" i="50" s="1"/>
  <c r="B246" i="50"/>
  <c r="D246" i="50" l="1"/>
  <c r="C246" i="50" s="1"/>
  <c r="E246" i="50" l="1"/>
  <c r="B247" i="50"/>
  <c r="D247" i="50" l="1"/>
  <c r="C247" i="50" s="1"/>
  <c r="B248" i="50" l="1"/>
  <c r="E247" i="50"/>
  <c r="D248" i="50" l="1"/>
  <c r="C248" i="50" s="1"/>
  <c r="B249" i="50" l="1"/>
  <c r="E248" i="50"/>
  <c r="D249" i="50" l="1"/>
  <c r="C249" i="50" s="1"/>
  <c r="B250" i="50" l="1"/>
  <c r="E249" i="50"/>
  <c r="D250" i="50" l="1"/>
  <c r="C250" i="50" s="1"/>
  <c r="B251" i="50" l="1"/>
  <c r="E250" i="50"/>
  <c r="D251" i="50" l="1"/>
  <c r="C251" i="50" s="1"/>
  <c r="B252" i="50" l="1"/>
  <c r="E251" i="50"/>
  <c r="D252" i="50" l="1"/>
  <c r="C252" i="50" s="1"/>
  <c r="B253" i="50" l="1"/>
  <c r="E252" i="50"/>
  <c r="D253" i="50" l="1"/>
  <c r="C253" i="50" s="1"/>
  <c r="B254" i="50" l="1"/>
  <c r="E253" i="50"/>
  <c r="D254" i="50" l="1"/>
  <c r="C254" i="50" s="1"/>
  <c r="B255" i="50" l="1"/>
  <c r="E254" i="50"/>
  <c r="D255" i="50" l="1"/>
  <c r="C255" i="50" s="1"/>
  <c r="E255" i="50" l="1"/>
  <c r="B256" i="50"/>
  <c r="C9" i="50" s="1"/>
  <c r="D256" i="50" l="1"/>
  <c r="C256" i="50" s="1"/>
  <c r="B257" i="50" s="1"/>
  <c r="E257" i="50" l="1"/>
  <c r="C257" i="50"/>
  <c r="B258" i="50" s="1"/>
  <c r="E256" i="50"/>
  <c r="E258" i="50" l="1"/>
  <c r="C258" i="50"/>
  <c r="B259" i="50" s="1"/>
  <c r="C259" i="50" l="1"/>
  <c r="B260" i="50" s="1"/>
  <c r="E259" i="50"/>
  <c r="E260" i="50" l="1"/>
  <c r="C260" i="50"/>
  <c r="B261" i="50" s="1"/>
  <c r="C261" i="50" l="1"/>
  <c r="B262" i="50" s="1"/>
  <c r="E261" i="50"/>
  <c r="E262" i="50" l="1"/>
  <c r="C262" i="50"/>
  <c r="B263" i="50" s="1"/>
  <c r="C263" i="50" l="1"/>
  <c r="B264" i="50" s="1"/>
  <c r="E263" i="50"/>
  <c r="E264" i="50" l="1"/>
  <c r="C264" i="50"/>
  <c r="B265" i="50" s="1"/>
  <c r="E265" i="50" l="1"/>
  <c r="C265" i="50"/>
  <c r="B266" i="50" s="1"/>
  <c r="C266" i="50" l="1"/>
  <c r="B267" i="50" s="1"/>
  <c r="E266" i="50"/>
  <c r="E267" i="50" l="1"/>
  <c r="C267" i="50"/>
  <c r="B268" i="50" s="1"/>
  <c r="E268" i="50" l="1"/>
  <c r="C268" i="50"/>
  <c r="B269" i="50" s="1"/>
  <c r="E269" i="50" l="1"/>
  <c r="C269" i="50"/>
  <c r="B270" i="50" s="1"/>
  <c r="C270" i="50" l="1"/>
  <c r="B271" i="50" s="1"/>
  <c r="E270" i="50"/>
  <c r="E271" i="50" l="1"/>
  <c r="C271" i="50"/>
  <c r="B272" i="50" s="1"/>
  <c r="E272" i="50" l="1"/>
  <c r="C272" i="50"/>
  <c r="B273" i="50" s="1"/>
  <c r="E273" i="50" l="1"/>
  <c r="C273" i="50"/>
  <c r="B274" i="50" s="1"/>
  <c r="C274" i="50" s="1"/>
  <c r="B275" i="50" s="1"/>
  <c r="C275" i="50" s="1"/>
  <c r="B276" i="50" s="1"/>
  <c r="C276" i="50" s="1"/>
  <c r="B277" i="50" s="1"/>
  <c r="C277" i="50" s="1"/>
  <c r="B278" i="50" s="1"/>
  <c r="C278" i="50" s="1"/>
  <c r="B279" i="50" s="1"/>
  <c r="C279" i="50" s="1"/>
  <c r="B280" i="50" s="1"/>
  <c r="C280" i="50" s="1"/>
  <c r="B281" i="50" s="1"/>
  <c r="C281" i="50" s="1"/>
  <c r="B282" i="50" s="1"/>
  <c r="C282" i="50" s="1"/>
  <c r="B283" i="50" s="1"/>
  <c r="C283" i="50" s="1"/>
  <c r="B284" i="50" s="1"/>
  <c r="C284" i="50" s="1"/>
  <c r="B285" i="50" s="1"/>
  <c r="C285" i="50" s="1"/>
  <c r="B286" i="50" s="1"/>
  <c r="C286" i="50" s="1"/>
  <c r="B287" i="50" s="1"/>
  <c r="C287" i="50" s="1"/>
  <c r="B288" i="50" s="1"/>
  <c r="C288" i="50" s="1"/>
  <c r="B289" i="50" s="1"/>
  <c r="C289" i="50" s="1"/>
  <c r="B290" i="50" s="1"/>
  <c r="C290" i="50" s="1"/>
  <c r="B291" i="50" s="1"/>
  <c r="C291" i="50" s="1"/>
  <c r="B292" i="50" s="1"/>
  <c r="C292" i="50" s="1"/>
  <c r="B293" i="50" s="1"/>
  <c r="C293" i="50" s="1"/>
  <c r="B294" i="50" s="1"/>
  <c r="C294" i="50" s="1"/>
  <c r="B295" i="50" s="1"/>
  <c r="C295" i="50" s="1"/>
  <c r="B296" i="50" s="1"/>
  <c r="C296" i="50" s="1"/>
  <c r="B297" i="50" s="1"/>
  <c r="C297" i="50" s="1"/>
  <c r="B298" i="50" s="1"/>
  <c r="C298" i="50" s="1"/>
  <c r="B299" i="50" s="1"/>
  <c r="C299" i="50" s="1"/>
  <c r="B300" i="50" s="1"/>
  <c r="C300" i="50" s="1"/>
  <c r="B301" i="50" s="1"/>
  <c r="C301" i="50" s="1"/>
  <c r="B302" i="50" s="1"/>
  <c r="C302" i="50" s="1"/>
  <c r="B303" i="50" s="1"/>
  <c r="C303" i="50" s="1"/>
  <c r="B304" i="50" s="1"/>
  <c r="C304" i="50" s="1"/>
  <c r="B305" i="50" s="1"/>
  <c r="C305" i="50" s="1"/>
  <c r="B306" i="50" s="1"/>
  <c r="C306" i="50" s="1"/>
  <c r="B307" i="50" s="1"/>
  <c r="C307" i="50" s="1"/>
  <c r="B308" i="50" s="1"/>
  <c r="C308" i="50" s="1"/>
  <c r="B309" i="50" s="1"/>
  <c r="C309" i="50" s="1"/>
  <c r="B310" i="50" s="1"/>
  <c r="C310" i="50" s="1"/>
  <c r="B311" i="50" s="1"/>
  <c r="C311" i="50" s="1"/>
  <c r="B312" i="50" s="1"/>
  <c r="C312" i="50" s="1"/>
  <c r="B313" i="50" s="1"/>
  <c r="C313" i="50" s="1"/>
  <c r="B314" i="50" s="1"/>
  <c r="C314" i="50" s="1"/>
  <c r="B315" i="50" s="1"/>
  <c r="C315" i="50" s="1"/>
  <c r="B316" i="50" s="1"/>
  <c r="C316" i="50" s="1"/>
  <c r="B317" i="50" s="1"/>
  <c r="C317" i="50" s="1"/>
  <c r="B318" i="50" s="1"/>
  <c r="C318" i="50" s="1"/>
  <c r="B319" i="50" s="1"/>
  <c r="C319" i="50" s="1"/>
  <c r="B320" i="50" s="1"/>
  <c r="C320" i="50" s="1"/>
  <c r="B321" i="50" s="1"/>
  <c r="C321" i="50" s="1"/>
  <c r="B322" i="50" s="1"/>
  <c r="C322" i="50" s="1"/>
  <c r="B323" i="50" s="1"/>
  <c r="C323" i="50" s="1"/>
  <c r="B324" i="50" s="1"/>
  <c r="C324" i="50" s="1"/>
  <c r="B325" i="50" s="1"/>
  <c r="C325" i="50" s="1"/>
  <c r="B326" i="50" s="1"/>
  <c r="C326" i="50" s="1"/>
  <c r="B327" i="50" s="1"/>
  <c r="C327" i="50" s="1"/>
  <c r="B328" i="50" s="1"/>
  <c r="C328" i="50" s="1"/>
  <c r="B329" i="50" s="1"/>
  <c r="C329" i="50" s="1"/>
  <c r="B330" i="50" s="1"/>
  <c r="C330" i="50" s="1"/>
  <c r="B331" i="50" s="1"/>
  <c r="C331" i="50" s="1"/>
  <c r="B332" i="50" s="1"/>
  <c r="C332" i="50" s="1"/>
  <c r="B333" i="50" s="1"/>
  <c r="C333" i="50" s="1"/>
  <c r="B334" i="50" s="1"/>
  <c r="C334" i="50" s="1"/>
  <c r="B335" i="50" s="1"/>
  <c r="C335" i="50" s="1"/>
  <c r="B336" i="50" s="1"/>
  <c r="C336" i="50" s="1"/>
  <c r="B337" i="50" s="1"/>
  <c r="C337" i="50" s="1"/>
  <c r="B338" i="50" s="1"/>
  <c r="C338" i="50" s="1"/>
  <c r="B339" i="50" s="1"/>
  <c r="C339" i="50" s="1"/>
  <c r="B340" i="50" s="1"/>
  <c r="C340" i="50" s="1"/>
  <c r="B341" i="50" s="1"/>
  <c r="C341" i="50" s="1"/>
  <c r="B342" i="50" s="1"/>
  <c r="C342" i="50" s="1"/>
  <c r="B343" i="50" s="1"/>
  <c r="C343" i="50" s="1"/>
  <c r="B344" i="50" s="1"/>
  <c r="C344" i="50" s="1"/>
  <c r="B345" i="50" s="1"/>
  <c r="C345" i="50" s="1"/>
  <c r="B346" i="50" s="1"/>
  <c r="C346" i="50" s="1"/>
  <c r="B347" i="50" s="1"/>
  <c r="C347" i="50" s="1"/>
  <c r="B348" i="50" s="1"/>
  <c r="C348" i="50" s="1"/>
  <c r="B349" i="50" s="1"/>
  <c r="C349" i="50" s="1"/>
  <c r="B350" i="50" s="1"/>
  <c r="C350" i="50" s="1"/>
  <c r="B351" i="50" s="1"/>
  <c r="C351" i="50" s="1"/>
  <c r="B352" i="50" s="1"/>
  <c r="C352" i="50" s="1"/>
  <c r="B353" i="50" s="1"/>
  <c r="C353" i="50" s="1"/>
  <c r="B354" i="50" s="1"/>
  <c r="C354" i="50" s="1"/>
  <c r="B355" i="50" s="1"/>
  <c r="C355" i="50" s="1"/>
  <c r="B356" i="50" s="1"/>
  <c r="C356" i="50" s="1"/>
  <c r="B357" i="50" s="1"/>
  <c r="C357" i="50" s="1"/>
  <c r="B358" i="50" s="1"/>
  <c r="C358" i="50" s="1"/>
  <c r="B359" i="50" s="1"/>
  <c r="C359" i="50" s="1"/>
  <c r="B360" i="50" s="1"/>
  <c r="C360" i="50" s="1"/>
  <c r="B361" i="50" s="1"/>
  <c r="C361" i="50" s="1"/>
  <c r="B362" i="50" s="1"/>
  <c r="C362" i="50" s="1"/>
  <c r="B363" i="50" s="1"/>
  <c r="C363" i="50" s="1"/>
  <c r="B364" i="50" s="1"/>
  <c r="C364" i="50" s="1"/>
  <c r="B365" i="50" s="1"/>
  <c r="C365" i="50" s="1"/>
  <c r="B366" i="50" s="1"/>
  <c r="C366" i="50" s="1"/>
  <c r="B367" i="50" s="1"/>
  <c r="C367" i="50" s="1"/>
  <c r="B368" i="50" s="1"/>
  <c r="C368" i="50" s="1"/>
  <c r="B369" i="50" s="1"/>
  <c r="C369" i="50" s="1"/>
  <c r="B370" i="50" s="1"/>
  <c r="C370" i="50" s="1"/>
  <c r="B371" i="50" s="1"/>
  <c r="C371" i="50" s="1"/>
  <c r="B372" i="50" s="1"/>
  <c r="C372" i="50" s="1"/>
  <c r="B373" i="50" s="1"/>
  <c r="C373" i="50" s="1"/>
  <c r="B374" i="50" s="1"/>
  <c r="C374" i="50" s="1"/>
  <c r="B375" i="50" s="1"/>
  <c r="C375" i="50" s="1"/>
  <c r="B376" i="50" s="1"/>
  <c r="C376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tc={424C696B-19EB-334D-8E9A-E2D98F681E01}</author>
    <author>tc={1AED08DA-0055-9D47-A25E-8AA13DFE05BE}</author>
    <author>Robert W. Kinslow</author>
    <author>tc={950228FF-AB72-AD4B-A143-ED855D0C1551}</author>
    <author>tc={6D6EA97C-4136-3E49-9543-055E0D324CF1}</author>
  </authors>
  <commentList>
    <comment ref="O14" authorId="0" shapeId="0" xr:uid="{424C696B-19EB-334D-8E9A-E2D98F681E0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from HECO Effective Rate Schedule. See attached PDF in the External Sources zip folder.</t>
      </text>
    </comment>
    <comment ref="E20" authorId="1" shapeId="0" xr:uid="{1AED08DA-0055-9D47-A25E-8AA13DFE05B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Applicant will report the property owners, but we verify against the county website’s property search.</t>
      </text>
    </comment>
    <comment ref="D24" authorId="2" shapeId="0" xr:uid="{00000000-0006-0000-0000-000001000000}">
      <text>
        <r>
          <rPr>
            <b/>
            <sz val="9"/>
            <color indexed="81"/>
            <rFont val="Tahoma"/>
            <family val="2"/>
          </rPr>
          <t>Robert W. Kinslow:</t>
        </r>
        <r>
          <rPr>
            <sz val="9"/>
            <color indexed="81"/>
            <rFont val="Tahoma"/>
            <family val="2"/>
          </rPr>
          <t xml:space="preserve">
Low Income Home Energy Assistance Program code</t>
        </r>
      </text>
    </comment>
    <comment ref="G24" authorId="2" shapeId="0" xr:uid="{00000000-0006-0000-0000-000002000000}">
      <text>
        <r>
          <rPr>
            <b/>
            <sz val="9"/>
            <color indexed="81"/>
            <rFont val="Tahoma"/>
            <family val="2"/>
          </rPr>
          <t>Robert W. Kinslow:</t>
        </r>
        <r>
          <rPr>
            <sz val="9"/>
            <color indexed="81"/>
            <rFont val="Tahoma"/>
            <family val="2"/>
          </rPr>
          <t xml:space="preserve">
Special Medical Needs code</t>
        </r>
      </text>
    </comment>
    <comment ref="J24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Robert W. Kinslow:</t>
        </r>
        <r>
          <rPr>
            <sz val="9"/>
            <color indexed="81"/>
            <rFont val="Tahoma"/>
            <family val="2"/>
          </rPr>
          <t xml:space="preserve">
Time of Use code</t>
        </r>
      </text>
    </comment>
    <comment ref="D28" authorId="3" shapeId="0" xr:uid="{950228FF-AB72-AD4B-A143-ED855D0C155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information is provided by HECO via email.</t>
      </text>
    </comment>
    <comment ref="I38" authorId="4" shapeId="0" xr:uid="{6D6EA97C-4136-3E49-9543-055E0D324CF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verify whether the household qualifies as LMI by checking the reported income against the HUD Income Guidelines</t>
      </text>
    </comment>
  </commentList>
</comments>
</file>

<file path=xl/sharedStrings.xml><?xml version="1.0" encoding="utf-8"?>
<sst xmlns="http://schemas.openxmlformats.org/spreadsheetml/2006/main" count="920" uniqueCount="468">
  <si>
    <t>Date:</t>
  </si>
  <si>
    <t>Utility:</t>
  </si>
  <si>
    <t>Meter #:</t>
  </si>
  <si>
    <t>Acct #:</t>
  </si>
  <si>
    <t>Utility Account Name:</t>
  </si>
  <si>
    <t>Fee</t>
  </si>
  <si>
    <t>Applicant Name(s):</t>
  </si>
  <si>
    <t>1)</t>
  </si>
  <si>
    <r>
      <t>Type of Property (Per RPT Website</t>
    </r>
    <r>
      <rPr>
        <sz val="11"/>
        <color theme="1"/>
        <rFont val="Arial"/>
        <family val="2"/>
      </rPr>
      <t>)</t>
    </r>
    <r>
      <rPr>
        <sz val="8"/>
        <color theme="1"/>
        <rFont val="Arial"/>
        <family val="2"/>
      </rPr>
      <t>:</t>
    </r>
  </si>
  <si>
    <t>2)</t>
  </si>
  <si>
    <t>Is property serviced by HECO, HELCO or MECO?</t>
  </si>
  <si>
    <t>3)</t>
  </si>
  <si>
    <t>Contractor:</t>
  </si>
  <si>
    <t>Contact:</t>
  </si>
  <si>
    <t>Historical Utility Bill Information:</t>
  </si>
  <si>
    <t>Past Mo</t>
  </si>
  <si>
    <t>2 Mos</t>
  </si>
  <si>
    <t>3 Mos</t>
  </si>
  <si>
    <t>4 Mos</t>
  </si>
  <si>
    <t>5 Mos</t>
  </si>
  <si>
    <t>6 Mos</t>
  </si>
  <si>
    <t>7 Mos</t>
  </si>
  <si>
    <t>8 Mos</t>
  </si>
  <si>
    <t>9 Mos</t>
  </si>
  <si>
    <t>10 Mos</t>
  </si>
  <si>
    <t>11 Mos</t>
  </si>
  <si>
    <t>12 Mos</t>
  </si>
  <si>
    <t>Total</t>
  </si>
  <si>
    <t>Date</t>
  </si>
  <si>
    <t>kWh</t>
  </si>
  <si>
    <t>Amt</t>
  </si>
  <si>
    <t>If any answers to the questions above are "No" - send adverse action letter, otherwise, approve</t>
  </si>
  <si>
    <t>Adverse Action Letter sent on:</t>
  </si>
  <si>
    <t>Review for project eligibility requirements:</t>
  </si>
  <si>
    <t>Yes</t>
  </si>
  <si>
    <t>No</t>
  </si>
  <si>
    <t>Premise Number</t>
  </si>
  <si>
    <t>Future Move Out Date:</t>
  </si>
  <si>
    <t>Rate Schedule</t>
  </si>
  <si>
    <t>Bill Cycle</t>
  </si>
  <si>
    <t>Installation Address (St):</t>
  </si>
  <si>
    <t>City, State, ZIP</t>
  </si>
  <si>
    <t>Aloha!</t>
  </si>
  <si>
    <t>Email</t>
  </si>
  <si>
    <t>Is the Applicant the Ratepayer?</t>
  </si>
  <si>
    <t>Property Owners (per RPT website):</t>
  </si>
  <si>
    <t>Information From Hawaiian Electric Companies:</t>
  </si>
  <si>
    <t>No. Disconnection Notices</t>
  </si>
  <si>
    <t>Interconnection Agreements</t>
  </si>
  <si>
    <t>Special Codes:</t>
  </si>
  <si>
    <t>LIHEAP</t>
  </si>
  <si>
    <t>TOU</t>
  </si>
  <si>
    <t>Utility Connection Date</t>
  </si>
  <si>
    <t>Has the Ratepayer been paying as agreed W/O any Disconnect Notices?</t>
  </si>
  <si>
    <t>Is it an eligible Rate Schedule?</t>
  </si>
  <si>
    <t>Solar PV System</t>
  </si>
  <si>
    <t>Solar Thermal Hot Water</t>
  </si>
  <si>
    <t>Solar PV Hot Water</t>
  </si>
  <si>
    <t>Heat Pump Water Heater</t>
  </si>
  <si>
    <t>Is the Contractor GEMS (and as applicable HE) approved?</t>
  </si>
  <si>
    <t>Is the installation on the approved EI list?</t>
  </si>
  <si>
    <t>Contract Cost of EI</t>
  </si>
  <si>
    <t>Interest Rate</t>
  </si>
  <si>
    <t>Energy Improvement must be on the GEMS Approved List;</t>
  </si>
  <si>
    <t>4)</t>
  </si>
  <si>
    <t>5)</t>
  </si>
  <si>
    <t>Sincerely,</t>
  </si>
  <si>
    <t>Annual</t>
  </si>
  <si>
    <t>Monthly</t>
  </si>
  <si>
    <t>Post EI kWh Consumption</t>
  </si>
  <si>
    <t>Principal AND Interest</t>
  </si>
  <si>
    <t>Period (in months)</t>
  </si>
  <si>
    <t>Principal</t>
  </si>
  <si>
    <t>Monthly Payment</t>
  </si>
  <si>
    <t>Term of Loan</t>
  </si>
  <si>
    <t>Interest Income</t>
  </si>
  <si>
    <t>Amortization Table</t>
  </si>
  <si>
    <t>Interest</t>
  </si>
  <si>
    <t>Principal Remaining</t>
  </si>
  <si>
    <t>Installaton Address</t>
  </si>
  <si>
    <t>Cost of System</t>
  </si>
  <si>
    <t>Rebates</t>
  </si>
  <si>
    <t>Monthly Program Charge</t>
  </si>
  <si>
    <t>kWh Consumption</t>
  </si>
  <si>
    <t>Federal Tax Credits</t>
  </si>
  <si>
    <t>State Tax Credits</t>
  </si>
  <si>
    <t>HGIA Processor:</t>
  </si>
  <si>
    <t>Title:</t>
  </si>
  <si>
    <t>Installation must meet the program's minimum warranty and other requirements.</t>
  </si>
  <si>
    <t>SMN</t>
  </si>
  <si>
    <t>cc:</t>
  </si>
  <si>
    <t>Hawaii Green Infrastructure Authority</t>
  </si>
  <si>
    <t>250 S. Hotel Street, Room 501, Honolulu, HI  96813</t>
  </si>
  <si>
    <t>P.O. Box 2359, Honolulu, HI  96804</t>
  </si>
  <si>
    <t>Telephone:  808-587-3868</t>
  </si>
  <si>
    <t>Your application for GEM$ financing has been approved, based on the following rates and terms:</t>
  </si>
  <si>
    <t>On-Bill Obligation Amount:</t>
  </si>
  <si>
    <t>Interest Rate:</t>
  </si>
  <si>
    <t>Term:</t>
  </si>
  <si>
    <t>Years</t>
  </si>
  <si>
    <t>Amortization:</t>
  </si>
  <si>
    <t>Money $aver Program Charge:</t>
  </si>
  <si>
    <t>Enclosed, please find the following documents:</t>
  </si>
  <si>
    <t># of Years</t>
  </si>
  <si>
    <t>.5% Degradation</t>
  </si>
  <si>
    <t>Amount kWh Underproduced</t>
  </si>
  <si>
    <t>Monthly Post-Solar Payment</t>
  </si>
  <si>
    <t>Variance</t>
  </si>
  <si>
    <t>Yr 1 kWh Production</t>
  </si>
  <si>
    <t>Total Historical kWh Consumption</t>
  </si>
  <si>
    <t>Money $aver Program Charge</t>
  </si>
  <si>
    <t>Participant</t>
  </si>
  <si>
    <t>System Size (kW)</t>
  </si>
  <si>
    <t>OBO Amount</t>
  </si>
  <si>
    <t>On-Bill Obligation (OBO) Amount</t>
  </si>
  <si>
    <r>
      <t>Cost/Watt</t>
    </r>
    <r>
      <rPr>
        <b/>
        <sz val="10"/>
        <rFont val="Arial"/>
        <family val="2"/>
      </rPr>
      <t xml:space="preserve"> (</t>
    </r>
    <r>
      <rPr>
        <b/>
        <sz val="10"/>
        <color rgb="FFFF0000"/>
        <rFont val="Arial"/>
        <family val="2"/>
      </rPr>
      <t>must be &lt;$4.50)</t>
    </r>
  </si>
  <si>
    <t>Effective Rate Date</t>
  </si>
  <si>
    <t>Average Monthly kWh Consumption</t>
  </si>
  <si>
    <t>YR 1 kWh Production</t>
  </si>
  <si>
    <t>Installation Address</t>
  </si>
  <si>
    <t>2-1)</t>
  </si>
  <si>
    <t>2-2)</t>
  </si>
  <si>
    <t>2-3)</t>
  </si>
  <si>
    <t>Energy Improvement (EI):</t>
  </si>
  <si>
    <t>OBR Program Requirements</t>
  </si>
  <si>
    <t>Has the utility account been in existance for at least 1 year? *</t>
  </si>
  <si>
    <t>Protected Utility Authorization sent to billsaverproduction@hawaiianelectric.com Sent:</t>
  </si>
  <si>
    <t>Received:</t>
  </si>
  <si>
    <t>Verify Account Number</t>
  </si>
  <si>
    <t xml:space="preserve">     * Exception: </t>
  </si>
  <si>
    <t>1-1)</t>
  </si>
  <si>
    <t>1-2)</t>
  </si>
  <si>
    <r>
      <t>If any answers to the questions above are "</t>
    </r>
    <r>
      <rPr>
        <b/>
        <sz val="11"/>
        <color theme="1"/>
        <rFont val="Arial"/>
        <family val="2"/>
      </rPr>
      <t>NO</t>
    </r>
    <r>
      <rPr>
        <sz val="11"/>
        <color theme="1"/>
        <rFont val="Arial"/>
        <family val="2"/>
      </rPr>
      <t>" - send adverse action letter, otherwise, conditionally approve</t>
    </r>
  </si>
  <si>
    <t>Approved By:</t>
  </si>
  <si>
    <r>
      <t>Step 2:  Project Eligibility</t>
    </r>
    <r>
      <rPr>
        <sz val="11"/>
        <color rgb="FF339966"/>
        <rFont val="Arial"/>
        <family val="2"/>
      </rPr>
      <t xml:space="preserve"> </t>
    </r>
  </si>
  <si>
    <r>
      <t>Step 1:  Applicant Eligibility</t>
    </r>
    <r>
      <rPr>
        <sz val="11"/>
        <color rgb="FF339966"/>
        <rFont val="Arial"/>
        <family val="2"/>
      </rPr>
      <t xml:space="preserve"> </t>
    </r>
  </si>
  <si>
    <t>First "x" kWh</t>
  </si>
  <si>
    <t>Next "x" kWH</t>
  </si>
  <si>
    <t>Over "x" kWH</t>
  </si>
  <si>
    <t>Cost/kWh</t>
  </si>
  <si>
    <t>Mailing Address (ST)</t>
  </si>
  <si>
    <t>Mailing City, ST, Zip</t>
  </si>
  <si>
    <t>Recommended By:</t>
  </si>
  <si>
    <t>Reviewed &amp; Concured By:</t>
  </si>
  <si>
    <t>Missing Items:</t>
  </si>
  <si>
    <t>*</t>
  </si>
  <si>
    <t>Once again, thank you for your continued interest in GEM$.  Please feel free to contact me</t>
  </si>
  <si>
    <t>if you have any questions or need further clarification.</t>
  </si>
  <si>
    <t xml:space="preserve">  Missing Info Ltr mailed on: </t>
  </si>
  <si>
    <t>(if rebate is $750)</t>
  </si>
  <si>
    <t>Recalculate interest rate if rebate is &lt; $750</t>
  </si>
  <si>
    <t>19 Years</t>
  </si>
  <si>
    <t>20 Years</t>
  </si>
  <si>
    <t>DHHL Leasehold</t>
  </si>
  <si>
    <t>Solar PV</t>
  </si>
  <si>
    <t>Solar Hot Water</t>
  </si>
  <si>
    <t>Coincident Load:</t>
  </si>
  <si>
    <t># HH Members</t>
  </si>
  <si>
    <t>Should equal Total HH Members</t>
  </si>
  <si>
    <t>Total (control):</t>
  </si>
  <si>
    <t>Due Date:</t>
  </si>
  <si>
    <t>Cancelled:</t>
  </si>
  <si>
    <t xml:space="preserve">If we do not receive the required information by </t>
  </si>
  <si>
    <t>, your application will be</t>
  </si>
  <si>
    <t># Work/School During Day (30%):</t>
  </si>
  <si>
    <t># Retire (45%):</t>
  </si>
  <si>
    <t># Work/School During Night (50%):</t>
  </si>
  <si>
    <t># Home During Day (45%):</t>
  </si>
  <si>
    <t>Coincident Load Calculation:</t>
  </si>
  <si>
    <t>#</t>
  </si>
  <si>
    <t>%</t>
  </si>
  <si>
    <t>Prorated</t>
  </si>
  <si>
    <t>Prorated Coincident Load:</t>
  </si>
  <si>
    <t>Hawaii Energy Website Calculator:</t>
  </si>
  <si>
    <r>
      <t xml:space="preserve">Cost without Solar - </t>
    </r>
    <r>
      <rPr>
        <sz val="10"/>
        <color rgb="FFFF0000"/>
        <rFont val="Arial"/>
        <family val="2"/>
      </rPr>
      <t>Big Island (1.0133)</t>
    </r>
  </si>
  <si>
    <r>
      <t xml:space="preserve">Cost without Solar - </t>
    </r>
    <r>
      <rPr>
        <sz val="10"/>
        <color rgb="FFFF0000"/>
        <rFont val="Arial"/>
        <family val="2"/>
      </rPr>
      <t>Maui (1.0239)</t>
    </r>
  </si>
  <si>
    <r>
      <t xml:space="preserve">Cost without Solar - </t>
    </r>
    <r>
      <rPr>
        <sz val="10"/>
        <color rgb="FFFF0000"/>
        <rFont val="Arial"/>
        <family val="2"/>
      </rPr>
      <t>Lanai (1.0229)</t>
    </r>
  </si>
  <si>
    <r>
      <t xml:space="preserve">Cost without Solar - </t>
    </r>
    <r>
      <rPr>
        <sz val="10"/>
        <color rgb="FFFF0000"/>
        <rFont val="Arial"/>
        <family val="2"/>
      </rPr>
      <t>Molokai (1.0172)</t>
    </r>
  </si>
  <si>
    <t>Yr 1 kWh Reduction</t>
  </si>
  <si>
    <t>Monthly Pre-Solar Utility Payment  - Oahu</t>
  </si>
  <si>
    <r>
      <t>Cost without Solar - Oahu</t>
    </r>
    <r>
      <rPr>
        <sz val="10"/>
        <color rgb="FFFF0000"/>
        <rFont val="Arial"/>
        <family val="2"/>
      </rPr>
      <t xml:space="preserve"> (1.0501)</t>
    </r>
  </si>
  <si>
    <r>
      <t>Cost without Solar - Big Island</t>
    </r>
    <r>
      <rPr>
        <sz val="10"/>
        <color rgb="FFFF0000"/>
        <rFont val="Arial"/>
        <family val="2"/>
      </rPr>
      <t xml:space="preserve"> (1.0133)</t>
    </r>
  </si>
  <si>
    <r>
      <t>Cost without Solar - Maui</t>
    </r>
    <r>
      <rPr>
        <sz val="10"/>
        <color rgb="FFFF0000"/>
        <rFont val="Arial"/>
        <family val="2"/>
      </rPr>
      <t xml:space="preserve"> (1.0239)</t>
    </r>
  </si>
  <si>
    <r>
      <t>Cost without Solar - Lanai</t>
    </r>
    <r>
      <rPr>
        <sz val="10"/>
        <color rgb="FFFF0000"/>
        <rFont val="Arial"/>
        <family val="2"/>
      </rPr>
      <t xml:space="preserve"> (1.0229)</t>
    </r>
  </si>
  <si>
    <r>
      <t xml:space="preserve">Cost without Solar - Molokai </t>
    </r>
    <r>
      <rPr>
        <sz val="10"/>
        <color rgb="FFFF0000"/>
        <rFont val="Arial"/>
        <family val="2"/>
      </rPr>
      <t>(1.0172)</t>
    </r>
  </si>
  <si>
    <t>Monthly Pre-Solar Utility Payment  - Big Island</t>
  </si>
  <si>
    <t>Monthly Pre-Solar Utility Payment  - Maui</t>
  </si>
  <si>
    <t>Monthly Pre-Solar Utility Payment  - Lanai</t>
  </si>
  <si>
    <t>Monthly Pre-Solar Utility Payment  - Molokai</t>
  </si>
  <si>
    <t>Energy From Grid - Big Island</t>
  </si>
  <si>
    <t>Energy From Grid - Maui</t>
  </si>
  <si>
    <t>Energy From Grid - Lanai</t>
  </si>
  <si>
    <t>Energy From Grid - Molokai</t>
  </si>
  <si>
    <t>Total Annual Payment, Post PV - Oahu</t>
  </si>
  <si>
    <t>Total Annual Payment, Post PV - Big Island</t>
  </si>
  <si>
    <t>Total Annual Payment, Post PV - Maui</t>
  </si>
  <si>
    <t>Total Annual Payment, Post PV - Lanai</t>
  </si>
  <si>
    <t>Total Annual Payment, Post PV - Molokai</t>
  </si>
  <si>
    <t>Fed Tax Credits</t>
  </si>
  <si>
    <t>St Tax Credits</t>
  </si>
  <si>
    <t>Regular:</t>
  </si>
  <si>
    <t>Refundable:</t>
  </si>
  <si>
    <t>Max SHW</t>
  </si>
  <si>
    <t>of OBO</t>
  </si>
  <si>
    <t># Systems:</t>
  </si>
  <si>
    <t>Annual $ Savings - Oahu</t>
  </si>
  <si>
    <t>% Bill Savings - Oahu</t>
  </si>
  <si>
    <t>Annual $ Savings - Big Island</t>
  </si>
  <si>
    <t>% Bill Savings - Bilg Island</t>
  </si>
  <si>
    <t>Annual $ Savings - Maui</t>
  </si>
  <si>
    <t>% Bill Savings - Maui</t>
  </si>
  <si>
    <t>Annual $ Savings - Lanai</t>
  </si>
  <si>
    <t>% Bill Savings - Lanai</t>
  </si>
  <si>
    <t>Annual $ Savings - Molokai</t>
  </si>
  <si>
    <t>% Bill Savings - Molokai</t>
  </si>
  <si>
    <t>Money $aver Program Charge (Annual)</t>
  </si>
  <si>
    <t>Monthly Post-Solar Payment - Big Island</t>
  </si>
  <si>
    <t>Variance - Big Island</t>
  </si>
  <si>
    <t>Monthly Post-Solar Payment - Maui</t>
  </si>
  <si>
    <t>Variance - Maui</t>
  </si>
  <si>
    <t>Monthly Post-Solar Payment - Lanai</t>
  </si>
  <si>
    <t>Variance - Lanai</t>
  </si>
  <si>
    <t>Monthly Post-Solar Payment - Molokai</t>
  </si>
  <si>
    <t>Variance - Molokai</t>
  </si>
  <si>
    <t>Lifetime Savings - Oahu</t>
  </si>
  <si>
    <t>Lifetime Savings - Big Island</t>
  </si>
  <si>
    <t>Lifetime Savings - Maui</t>
  </si>
  <si>
    <t>Lifetime Savings - Lanai</t>
  </si>
  <si>
    <t>Lifetime Savings - Molokai</t>
  </si>
  <si>
    <t>HO Benefit - Oahu</t>
  </si>
  <si>
    <t>HO Benefit - Big Island</t>
  </si>
  <si>
    <t>HO Benefit - Maui</t>
  </si>
  <si>
    <t>HO Benefit - Lanai</t>
  </si>
  <si>
    <t>HO Benefit - Molokai</t>
  </si>
  <si>
    <t># SHW Systems:</t>
  </si>
  <si>
    <r>
      <rPr>
        <sz val="11"/>
        <color rgb="FFFF0000"/>
        <rFont val="Arial"/>
        <family val="2"/>
      </rPr>
      <t>Solar Hot Water</t>
    </r>
    <r>
      <rPr>
        <sz val="11"/>
        <color theme="1"/>
        <rFont val="Arial"/>
        <family val="2"/>
      </rPr>
      <t xml:space="preserve"> Systems (kWh Reduction):</t>
    </r>
  </si>
  <si>
    <t>Solar PV:</t>
  </si>
  <si>
    <t>YR 1 Production:</t>
  </si>
  <si>
    <t>Cost/Watt:</t>
  </si>
  <si>
    <t>(must be &lt;$4.50)</t>
  </si>
  <si>
    <t>Not Approved - Project Denial Letter Sent on:</t>
  </si>
  <si>
    <t>Approved - Approval Ltr w/Docs Sent on:</t>
  </si>
  <si>
    <r>
      <rPr>
        <b/>
        <sz val="10"/>
        <rFont val="Arial"/>
        <family val="2"/>
      </rPr>
      <t>Interconnection:</t>
    </r>
    <r>
      <rPr>
        <b/>
        <sz val="10"/>
        <color rgb="FFFF0000"/>
        <rFont val="Arial"/>
        <family val="2"/>
      </rPr>
      <t xml:space="preserve">  NEM</t>
    </r>
  </si>
  <si>
    <t>Cost/System:</t>
  </si>
  <si>
    <t>Est kWh Reduction</t>
  </si>
  <si>
    <t>Pre-Solar Monthly</t>
  </si>
  <si>
    <t>Energy From Grid - Oahu (incl rate increase &amp; degradation)</t>
  </si>
  <si>
    <t>Monthly Post-Solar Payment - Oahu</t>
  </si>
  <si>
    <t>Variance - Oahu</t>
  </si>
  <si>
    <t>% Bill Savings - Big Island</t>
  </si>
  <si>
    <r>
      <rPr>
        <b/>
        <sz val="10"/>
        <rFont val="Arial"/>
        <family val="2"/>
      </rPr>
      <t>Interconnection:</t>
    </r>
    <r>
      <rPr>
        <b/>
        <sz val="10"/>
        <color rgb="FFFF0000"/>
        <rFont val="Arial"/>
        <family val="2"/>
      </rPr>
      <t xml:space="preserve">  CGS</t>
    </r>
  </si>
  <si>
    <t>kWh used later:</t>
  </si>
  <si>
    <t>kWh used as Produced:</t>
  </si>
  <si>
    <t>Non-Coincident Load</t>
  </si>
  <si>
    <t>kWh used as Produced</t>
  </si>
  <si>
    <t>kWh used later</t>
  </si>
  <si>
    <t>Total Purchased from Grid</t>
  </si>
  <si>
    <t>Net Energy From Grid - Oahu</t>
  </si>
  <si>
    <t>Net Energy From Grid - Maui</t>
  </si>
  <si>
    <t>Net Energy From Grid - Big Island</t>
  </si>
  <si>
    <t>Net Energy From Grid - Lanai</t>
  </si>
  <si>
    <t>Net Energy From Grid - Molokai</t>
  </si>
  <si>
    <t>Direct</t>
  </si>
  <si>
    <t>the following information, we will not be able to process your application:</t>
  </si>
  <si>
    <t>Thank you for submitting your Green Energy Money $aver (GEM$)  On-Bill Program</t>
  </si>
  <si>
    <t xml:space="preserve">application to install a GEM$ approved Energy Improvement.  Upon review of your </t>
  </si>
  <si>
    <t>application, it was noted that certain required information was not included.  Until we receive</t>
  </si>
  <si>
    <r>
      <t xml:space="preserve">Cost without Solar - </t>
    </r>
    <r>
      <rPr>
        <sz val="10"/>
        <color rgb="FFFF0000"/>
        <rFont val="Arial"/>
        <family val="2"/>
      </rPr>
      <t>Oahu (1.0501)</t>
    </r>
  </si>
  <si>
    <t xml:space="preserve">GEM$ Residential Participant Agreement.  Please have all required parties sign, intial each page, date and </t>
  </si>
  <si>
    <t>Installation Completion Certificate and Customer Warranty for your review.  Please note that UPON COMPLETION</t>
  </si>
  <si>
    <t>If the scope of the work should change after the date of this letter, a Change Order must be submitted to HGIA for</t>
  </si>
  <si>
    <t xml:space="preserve">review.  If the changed work results in a new contract amount or a change in the expected energy production or </t>
  </si>
  <si>
    <t>reduction (as may be applicable), these changes must be approved by HGIA and revised program documents may need</t>
  </si>
  <si>
    <t>to be signed.  Please note that any project changes must maintain compliance with GEM$ project eligibility requirements.</t>
  </si>
  <si>
    <t>Once we receive the executed program documents, we will provide your Contractor with a "Notice to Proceed" letter</t>
  </si>
  <si>
    <t>to begin the installation of your energy improvement.</t>
  </si>
  <si>
    <t xml:space="preserve">Helpful energy and money saving tips which can help further lower your energy consumption.  Additional </t>
  </si>
  <si>
    <t>information can also be found at https://view.hawaiianelectric.com/power-to-save/page/1.</t>
  </si>
  <si>
    <t>of your installation, you will need to sign this Certificate for HGIA to process payment to your Contractor.</t>
  </si>
  <si>
    <t>Installation Complete Deadline:</t>
  </si>
  <si>
    <t>contact me.</t>
  </si>
  <si>
    <t xml:space="preserve">Thank you for your participation in the GEM$ financing program.  Should you have any questions, please don't hesitate to </t>
  </si>
  <si>
    <t>Enclosures:</t>
  </si>
  <si>
    <t>System Monitoring Access Authorization (2)</t>
  </si>
  <si>
    <t>GEM$ Residential Participant Agreement (2)</t>
  </si>
  <si>
    <t>Completion Certificate &amp; Customer Warranty Form (1)</t>
  </si>
  <si>
    <t>Energy &amp; Money Saving Tips (1)</t>
  </si>
  <si>
    <t>Thank you for your interest in the Green Energy Money $aver (GEM$) On-Bill Program.  Based on the information</t>
  </si>
  <si>
    <t>you provided, we are pleased to inform you that you are eligible to participate in GEM$.  The next step will be to conduct</t>
  </si>
  <si>
    <t>a project eligibility review of your requested Energy Improvement (EI).</t>
  </si>
  <si>
    <t>It is important to note that the requested EI must meet all of the program's guidelines, which include but are not limited</t>
  </si>
  <si>
    <t>to:</t>
  </si>
  <si>
    <t>heater, the contractor must also be a Hawaii Energy Clean Energy Ally.</t>
  </si>
  <si>
    <t xml:space="preserve">The contractor you select must be a GEMS Approved Contractor.  If you are installing an energy efficient water </t>
  </si>
  <si>
    <t>Based on industry assumptions and historic kWh consumption patterns, the estimated post-installation utility bill</t>
  </si>
  <si>
    <t>PLUS the GEM$ Program Charge from the on-bill obligation, must result in a minimum 10% bill savings.</t>
  </si>
  <si>
    <t>Approved Contractors.  Please have your contractor submit the project information at their earliest convenience in</t>
  </si>
  <si>
    <t>order to conduct our Project Eligibility review.</t>
  </si>
  <si>
    <t>This is only a preapproval and should not be construed as an approval.  If criteria upon which this preapproval is based</t>
  </si>
  <si>
    <t>is other than as documented, HGIA reserves the right to withdraw this preapproval.  Unless you have another means of</t>
  </si>
  <si>
    <t xml:space="preserve">paying your contractor, you should not begin work until you have received final approval from HGIA and have signed and </t>
  </si>
  <si>
    <t>returned program documents, at which time, HGIA shall give your contractor a notice to proceed.</t>
  </si>
  <si>
    <t>GEM$ project!</t>
  </si>
  <si>
    <t>Address</t>
  </si>
  <si>
    <t>NTP Letter Sent</t>
  </si>
  <si>
    <t>Dear</t>
  </si>
  <si>
    <t>This is to inform you that the Hawaii Green Infrastructure Authority has received all of the</t>
  </si>
  <si>
    <t>Improvement for:</t>
  </si>
  <si>
    <t xml:space="preserve">required documentation for you to proceed with installing the GEMS approved Energy </t>
  </si>
  <si>
    <t>This letter authorizes you to proceed immediately with the installation of the system.  Once</t>
  </si>
  <si>
    <t>the installation is complete, the following items are required before loan funding:</t>
  </si>
  <si>
    <t>Closed Building Permit</t>
  </si>
  <si>
    <t xml:space="preserve">Should you have any questions or require additional information, please do not hesitate to </t>
  </si>
  <si>
    <t xml:space="preserve">conditions set forth in the Residential Participant Agreement, including the UCC-1 filing over the </t>
  </si>
  <si>
    <t xml:space="preserve">equipment financed.  Additionally, in the event of a change in the utility account holder in the future, the </t>
  </si>
  <si>
    <t xml:space="preserve">owners must agree to pay off the balance of the on-bill obligation (OBO) if the subsequent utility </t>
  </si>
  <si>
    <t>their utility bill.</t>
  </si>
  <si>
    <t xml:space="preserve">account holder does not agree to assume the OBO and continue making Program Charge payments on </t>
  </si>
  <si>
    <r>
      <t>This Applicant Eligibility approval is valid for</t>
    </r>
    <r>
      <rPr>
        <b/>
        <u/>
        <sz val="10"/>
        <color theme="1"/>
        <rFont val="Arial"/>
        <family val="2"/>
      </rPr>
      <t xml:space="preserve"> 60 days</t>
    </r>
    <r>
      <rPr>
        <sz val="10"/>
        <color theme="1"/>
        <rFont val="Arial"/>
        <family val="2"/>
      </rPr>
      <t xml:space="preserve"> from the date of this letter.  If we do not receive the project</t>
    </r>
  </si>
  <si>
    <r>
      <t xml:space="preserve">While the obligation will be tied to the utility meter, </t>
    </r>
    <r>
      <rPr>
        <b/>
        <u/>
        <sz val="10"/>
        <color theme="1"/>
        <rFont val="Arial"/>
        <family val="2"/>
      </rPr>
      <t>all owners</t>
    </r>
    <r>
      <rPr>
        <b/>
        <sz val="10"/>
        <color theme="1"/>
        <rFont val="Arial"/>
        <family val="2"/>
      </rPr>
      <t xml:space="preserve"> on title must consent to the terms and </t>
    </r>
  </si>
  <si>
    <t>Maintenance:</t>
  </si>
  <si>
    <t>Tune Up:</t>
  </si>
  <si>
    <t>Tank:</t>
  </si>
  <si>
    <t>considered cancelled and withdrawn, and will not be further considered.</t>
  </si>
  <si>
    <t># Work From Home (60%):</t>
  </si>
  <si>
    <t>Primary Phone Number:</t>
  </si>
  <si>
    <t>Email:</t>
  </si>
  <si>
    <t>City, etc</t>
  </si>
  <si>
    <r>
      <t xml:space="preserve">Does the proposed EI meet all program criteria </t>
    </r>
    <r>
      <rPr>
        <sz val="8"/>
        <color theme="1"/>
        <rFont val="Arial"/>
        <family val="2"/>
      </rPr>
      <t>(</t>
    </r>
    <r>
      <rPr>
        <sz val="9"/>
        <color theme="1"/>
        <rFont val="Arial"/>
        <family val="2"/>
      </rPr>
      <t>i.e. Warranties, cost/watt, etc.</t>
    </r>
    <r>
      <rPr>
        <sz val="8"/>
        <color theme="1"/>
        <rFont val="Arial"/>
        <family val="2"/>
      </rPr>
      <t>)?</t>
    </r>
  </si>
  <si>
    <t>Step 3:  Funding</t>
  </si>
  <si>
    <t>COI, HGIA named as Lender Loss Payee</t>
  </si>
  <si>
    <t>Fully Executed Completion Certificate</t>
  </si>
  <si>
    <t>Closed Building Permits</t>
  </si>
  <si>
    <t>Approved Utility Interconnection (as applicable)</t>
  </si>
  <si>
    <t>Charge Effective Date</t>
  </si>
  <si>
    <t>1st Payment Due Date</t>
  </si>
  <si>
    <t>Estimated Prorated 1st Pmt Amt:</t>
  </si>
  <si>
    <t>Maturity Date:</t>
  </si>
  <si>
    <r>
      <t xml:space="preserve">Will the EI result in year 1 bill savings of </t>
    </r>
    <r>
      <rPr>
        <b/>
        <sz val="11"/>
        <color theme="1"/>
        <rFont val="Arial"/>
        <family val="2"/>
      </rPr>
      <t>at least 10%?</t>
    </r>
  </si>
  <si>
    <t>Documents Received &amp; Reviewed:</t>
  </si>
  <si>
    <t>Date ALL documents received &amp; reviewed for funding to pay Contractor:</t>
  </si>
  <si>
    <t>Type (NEM, etc.):</t>
  </si>
  <si>
    <t>Date Loan Documents Dated:</t>
  </si>
  <si>
    <t>DATE COMPLETE APPLICATION RECEIVED:</t>
  </si>
  <si>
    <t>(Office) 250 S. Hotel Street, Room 501, Honolulu, HI  96813</t>
  </si>
  <si>
    <t>(Mailing) P.O. Box 2359, Honolulu, HI  96804</t>
  </si>
  <si>
    <t>copy for your files.</t>
  </si>
  <si>
    <r>
      <t xml:space="preserve">return one copy within </t>
    </r>
    <r>
      <rPr>
        <b/>
        <sz val="9.5"/>
        <color theme="1"/>
        <rFont val="Arial"/>
        <family val="2"/>
      </rPr>
      <t>ten (10) days</t>
    </r>
    <r>
      <rPr>
        <sz val="9.5"/>
        <color theme="1"/>
        <rFont val="Arial"/>
        <family val="2"/>
      </rPr>
      <t xml:space="preserve"> from the date of this letter to the mailing address indicated above.  Keep one </t>
    </r>
  </si>
  <si>
    <t>indicated above.</t>
  </si>
  <si>
    <t>Solar System Monitoring Authorization (as applicable).  Please sign and return one copy to the mailing address</t>
  </si>
  <si>
    <t>Toll-Free:  1-833-226-1156</t>
  </si>
  <si>
    <t>Oahu</t>
  </si>
  <si>
    <t>Big Isle</t>
  </si>
  <si>
    <t>Maui</t>
  </si>
  <si>
    <t>Lanai</t>
  </si>
  <si>
    <t>Molokai</t>
  </si>
  <si>
    <t>HECO</t>
  </si>
  <si>
    <t>MECO - Maui</t>
  </si>
  <si>
    <t>MECO - Lanai</t>
  </si>
  <si>
    <t>MECO - Molokai</t>
  </si>
  <si>
    <t>HELCO</t>
  </si>
  <si>
    <t>(rate escalation)</t>
  </si>
  <si>
    <t>CGS Credit - Non-coincident load</t>
  </si>
  <si>
    <t xml:space="preserve">CGS Credit - Non-coincident load </t>
  </si>
  <si>
    <t>Amortization (in years)</t>
  </si>
  <si>
    <t>Term (in years)</t>
  </si>
  <si>
    <t xml:space="preserve">- - - </t>
  </si>
  <si>
    <t>(Recommended)</t>
  </si>
  <si>
    <t>Based on Estimated Useful Life of EI:</t>
  </si>
  <si>
    <t>TERM:</t>
  </si>
  <si>
    <t>Amort-HO</t>
  </si>
  <si>
    <t>Amort-DHHL</t>
  </si>
  <si>
    <t>Expires</t>
  </si>
  <si>
    <t>Step 1 Eligible Letter sent on:</t>
  </si>
  <si>
    <t>Step 1 Eligible Ext Ltr sent on:</t>
  </si>
  <si>
    <t>Loan Cancelled</t>
  </si>
  <si>
    <t xml:space="preserve">please contact your contractor or call me at the number listed above.  We look forward to working with you on your </t>
  </si>
  <si>
    <t>Deadline</t>
  </si>
  <si>
    <t>Doc's Received Deadline Extension Sent on:</t>
  </si>
  <si>
    <t>Final Deadline</t>
  </si>
  <si>
    <t xml:space="preserve"> </t>
  </si>
  <si>
    <t>*if existing NEM-Adjust kWH accordingly</t>
  </si>
  <si>
    <t xml:space="preserve">information by </t>
  </si>
  <si>
    <t>, you will need to be re-qualified for this program.  Should you have any questions,</t>
  </si>
  <si>
    <t>Buy Down?</t>
  </si>
  <si>
    <t>Amount of Rebate Applied to Cost</t>
  </si>
  <si>
    <t>Down Payment Amount</t>
  </si>
  <si>
    <t>Maintenance Reserve Amount</t>
  </si>
  <si>
    <t>Apply Rebate to Cost (Y/N)?</t>
  </si>
  <si>
    <t>Estimated Savings (Yr 1):</t>
  </si>
  <si>
    <t>Estimated Savings (Lifetime):</t>
  </si>
  <si>
    <t>Gross Savings</t>
  </si>
  <si>
    <t>Battery Capacity</t>
  </si>
  <si>
    <t>3.9% Degredation</t>
  </si>
  <si>
    <t>Total Monthly Lease Payment</t>
  </si>
  <si>
    <t>CSS No Credit - Non-coincident load</t>
  </si>
  <si>
    <t xml:space="preserve">CSS No Credit - Non-coincident load </t>
  </si>
  <si>
    <t>Total Annual Lease Payment</t>
  </si>
  <si>
    <t>Amount kWh Overproduced (Underproduced)</t>
  </si>
  <si>
    <t>kWh used from Battery</t>
  </si>
  <si>
    <t>Battery Capacity per year</t>
  </si>
  <si>
    <t>Battery Output per year</t>
  </si>
  <si>
    <t>Initial Funding</t>
  </si>
  <si>
    <t>Final Funding</t>
  </si>
  <si>
    <t>Electrical and Building Inspection Requests</t>
  </si>
  <si>
    <t>Executed Estoppel Certificate &amp; Notice of Assignment</t>
  </si>
  <si>
    <t>Final Utility Interconnection Approval</t>
  </si>
  <si>
    <t>Excess kWh to Utility</t>
  </si>
  <si>
    <t xml:space="preserve">RE:  </t>
  </si>
  <si>
    <t>Install Address:</t>
  </si>
  <si>
    <t>The requested Energy Improvement (EI) must meet all of the GEMS program requirements,</t>
  </si>
  <si>
    <t>including the minimum estimated 10% bill savings.</t>
  </si>
  <si>
    <t>We have completed our review of the agreements and other relevant information provided</t>
  </si>
  <si>
    <t>to us.  After careful review, we have determined that the proposed system does not meet the</t>
  </si>
  <si>
    <t>the minimum estimated 10% bill savings.  We regret that we are unable to finance the system</t>
  </si>
  <si>
    <t>as requested.</t>
  </si>
  <si>
    <t>However, in an effort to provide you options, our analysis indicates that if your total solar</t>
  </si>
  <si>
    <t xml:space="preserve">system and battery monthly payment amount decreases from </t>
  </si>
  <si>
    <t>to</t>
  </si>
  <si>
    <t>,</t>
  </si>
  <si>
    <t>your project would qualify for GEM$ financing.  Please note that this offer is subject to the</t>
  </si>
  <si>
    <t>proposed system size remaining at</t>
  </si>
  <si>
    <t>kW and the estimated Year 1</t>
  </si>
  <si>
    <t xml:space="preserve">production remaining at </t>
  </si>
  <si>
    <t>kWh.</t>
  </si>
  <si>
    <t>Please let us know if you would like to lower the total monthly payment.</t>
  </si>
  <si>
    <t>Please feel free to contact me should you have any questions regarding this option or if we</t>
  </si>
  <si>
    <t>can be of additional assistance to you.</t>
  </si>
  <si>
    <r>
      <t xml:space="preserve">If you haven't selected a contractor, please visit </t>
    </r>
    <r>
      <rPr>
        <u/>
        <sz val="10"/>
        <color theme="1"/>
        <rFont val="Arial"/>
        <family val="2"/>
      </rPr>
      <t>www.gems.hawaii.gov</t>
    </r>
    <r>
      <rPr>
        <sz val="10"/>
        <color theme="1"/>
        <rFont val="Arial"/>
        <family val="2"/>
      </rPr>
      <t xml:space="preserve"> for a list of GEMS</t>
    </r>
  </si>
  <si>
    <t>Contract Cost of Total Installation</t>
  </si>
  <si>
    <t>Less: Cost of Battery(ies)</t>
  </si>
  <si>
    <t>Less: Contractor Discounts</t>
  </si>
  <si>
    <t>Contract Amount (incl. tax):</t>
  </si>
  <si>
    <t>Estimated 1st payment date</t>
  </si>
  <si>
    <t>Estimated prorated 1st payment</t>
  </si>
  <si>
    <t>Does HH qualify as Low-Moderate Income (LMI)?</t>
  </si>
  <si>
    <t>HH Income:</t>
  </si>
  <si>
    <t>DATE COMPLETE LANDLORD APP REC'D:</t>
  </si>
  <si>
    <t>Mailing Address (St)*:</t>
  </si>
  <si>
    <t>City, State, ZIP*:</t>
  </si>
  <si>
    <r>
      <rPr>
        <sz val="11"/>
        <color rgb="FFFF0000"/>
        <rFont val="Arial"/>
        <family val="2"/>
      </rPr>
      <t xml:space="preserve">Landlord </t>
    </r>
    <r>
      <rPr>
        <sz val="11"/>
        <color theme="1"/>
        <rFont val="Arial"/>
        <family val="2"/>
      </rPr>
      <t>DTI &lt; 50%</t>
    </r>
  </si>
  <si>
    <r>
      <rPr>
        <sz val="11"/>
        <color rgb="FFFF0000"/>
        <rFont val="Arial"/>
        <family val="2"/>
      </rPr>
      <t>Landlord</t>
    </r>
    <r>
      <rPr>
        <sz val="11"/>
        <color theme="1"/>
        <rFont val="Arial"/>
        <family val="2"/>
      </rPr>
      <t xml:space="preserve"> credit score &gt; 650 and satisfactory review of credit report</t>
    </r>
  </si>
  <si>
    <r>
      <t xml:space="preserve">* If property owner(s) is a </t>
    </r>
    <r>
      <rPr>
        <i/>
        <sz val="11"/>
        <color rgb="FFFF0000"/>
        <rFont val="Arial"/>
        <family val="2"/>
      </rPr>
      <t>LANDLORD</t>
    </r>
  </si>
  <si>
    <t>Interconnection Type:</t>
  </si>
  <si>
    <t>Mickey Mouse</t>
  </si>
  <si>
    <t>Kapolei, HI 96707</t>
  </si>
  <si>
    <t>808-888-0088</t>
  </si>
  <si>
    <t>mickeymouse@disney.com</t>
  </si>
  <si>
    <t>X</t>
  </si>
  <si>
    <t>AULANI DISNEY VAC CLUB VILLAS HI CONDO  &amp; DISNEY VACATION DEVELOPMENT INC</t>
  </si>
  <si>
    <t xml:space="preserve"> OLANI ST</t>
  </si>
  <si>
    <t>Olani Street</t>
  </si>
  <si>
    <t>x</t>
  </si>
  <si>
    <t>Cindy Nawilis</t>
  </si>
  <si>
    <t>Loan Processor</t>
  </si>
  <si>
    <t>slackme@email.com</t>
  </si>
  <si>
    <t>Disney Solar</t>
  </si>
  <si>
    <t>Donald Duck</t>
  </si>
  <si>
    <t>donaldduck@disney.com</t>
  </si>
  <si>
    <t>GSYL</t>
  </si>
  <si>
    <t xml:space="preserve"> signed request to cancel to dbedt.gems@hawaii.gov.</t>
  </si>
  <si>
    <t>Should you wish to cancel the installation of the EI before the work has begun, please submit a written and</t>
  </si>
  <si>
    <t>Valid government ID</t>
  </si>
  <si>
    <t>Cell color legend:</t>
  </si>
  <si>
    <t>Submitted in the application</t>
  </si>
  <si>
    <t>Information that needs to be verified with HUD Income Guidelines</t>
  </si>
  <si>
    <t>Information from county website's real property search</t>
  </si>
  <si>
    <t xml:space="preserve">Information from utility company (HECO, MECO, or HELCO)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</si>
</sst>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_(* #,##0.0_);_(* \(#,##0.0\);_(* &quot;-&quot;??_);_(@_)"/>
    <numFmt numFmtId="168" formatCode="&quot;$&quot;#,##0.0000"/>
    <numFmt numFmtId="169" formatCode="0.00000000"/>
    <numFmt numFmtId="170" formatCode="0.0000"/>
    <numFmt numFmtId="171" formatCode="0.000000"/>
    <numFmt numFmtId="172" formatCode="#,##0.000000_);\(#,##0.000000\)"/>
    <numFmt numFmtId="173" formatCode="mm/dd/yy;@"/>
    <numFmt numFmtId="174" formatCode="&quot;$&quot;#,##0.00"/>
    <numFmt numFmtId="175" formatCode="&quot;$&quot;#,##0"/>
    <numFmt numFmtId="176" formatCode="#,##0.0"/>
    <numFmt numFmtId="177" formatCode="0.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u/>
      <sz val="11"/>
      <color theme="1"/>
      <name val="Arial"/>
      <family val="2"/>
    </font>
    <font>
      <b/>
      <sz val="11"/>
      <color theme="3" tint="0.39997558519241921"/>
      <name val="Arial"/>
      <family val="2"/>
    </font>
    <font>
      <b/>
      <sz val="11"/>
      <color rgb="FF00B05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2" tint="-0.749992370372631"/>
      <name val="Arial"/>
      <family val="2"/>
    </font>
    <font>
      <sz val="12"/>
      <color theme="2" tint="-0.74999237037263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339966"/>
      <name val="Arial"/>
      <family val="2"/>
    </font>
    <font>
      <sz val="11"/>
      <color rgb="FF339966"/>
      <name val="Arial"/>
      <family val="2"/>
    </font>
    <font>
      <sz val="11"/>
      <name val="Arial"/>
      <family val="2"/>
    </font>
    <font>
      <u/>
      <sz val="10"/>
      <color theme="1"/>
      <name val="Arial"/>
      <family val="2"/>
    </font>
    <font>
      <sz val="8"/>
      <name val="Arial"/>
      <family val="2"/>
    </font>
    <font>
      <u val="singleAccounting"/>
      <sz val="10"/>
      <name val="Arial"/>
      <family val="2"/>
    </font>
    <font>
      <sz val="9.5"/>
      <color theme="1"/>
      <name val="Arial"/>
      <family val="2"/>
    </font>
    <font>
      <sz val="9.5"/>
      <color theme="1"/>
      <name val="Calibri"/>
      <family val="2"/>
      <scheme val="minor"/>
    </font>
    <font>
      <b/>
      <sz val="9.5"/>
      <color theme="1"/>
      <name val="Arial"/>
      <family val="2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FF0000"/>
      <name val="Arial"/>
      <family val="2"/>
    </font>
    <font>
      <i/>
      <sz val="10"/>
      <color rgb="FFFF0000"/>
      <name val="Arial"/>
      <family val="2"/>
    </font>
    <font>
      <i/>
      <sz val="9"/>
      <color rgb="FFFF0000"/>
      <name val="Arial"/>
      <family val="2"/>
    </font>
    <font>
      <i/>
      <sz val="10"/>
      <name val="Arial"/>
      <family val="2"/>
    </font>
    <font>
      <i/>
      <sz val="11"/>
      <name val="Calibri"/>
      <family val="2"/>
      <scheme val="minor"/>
    </font>
    <font>
      <i/>
      <sz val="10"/>
      <color theme="1"/>
      <name val="Arial"/>
      <family val="2"/>
    </font>
    <font>
      <strike/>
      <sz val="10"/>
      <name val="Arial"/>
      <family val="2"/>
    </font>
    <font>
      <strike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54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4" fontId="2" fillId="0" borderId="0" xfId="0" applyNumberFormat="1" applyFont="1" applyBorder="1"/>
    <xf numFmtId="2" fontId="10" fillId="0" borderId="0" xfId="0" quotePrefix="1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15" fillId="0" borderId="0" xfId="5"/>
    <xf numFmtId="44" fontId="15" fillId="0" borderId="0" xfId="5" applyNumberFormat="1"/>
    <xf numFmtId="44" fontId="0" fillId="0" borderId="0" xfId="6" applyFont="1"/>
    <xf numFmtId="0" fontId="16" fillId="0" borderId="0" xfId="5" applyFont="1"/>
    <xf numFmtId="8" fontId="15" fillId="0" borderId="0" xfId="5" applyNumberFormat="1"/>
    <xf numFmtId="43" fontId="15" fillId="0" borderId="0" xfId="5" applyNumberFormat="1"/>
    <xf numFmtId="0" fontId="15" fillId="0" borderId="0" xfId="5" applyFill="1"/>
    <xf numFmtId="0" fontId="15" fillId="0" borderId="0" xfId="5" applyFont="1"/>
    <xf numFmtId="14" fontId="15" fillId="0" borderId="0" xfId="5" applyNumberFormat="1"/>
    <xf numFmtId="0" fontId="15" fillId="7" borderId="0" xfId="5" applyFont="1" applyFill="1"/>
    <xf numFmtId="0" fontId="15" fillId="0" borderId="0" xfId="5" applyBorder="1"/>
    <xf numFmtId="166" fontId="15" fillId="0" borderId="0" xfId="5" applyNumberFormat="1" applyFont="1" applyFill="1" applyBorder="1"/>
    <xf numFmtId="43" fontId="15" fillId="0" borderId="0" xfId="7" applyFont="1" applyFill="1" applyBorder="1"/>
    <xf numFmtId="43" fontId="0" fillId="0" borderId="0" xfId="7" applyNumberFormat="1" applyFont="1" applyFill="1" applyBorder="1"/>
    <xf numFmtId="0" fontId="15" fillId="0" borderId="0" xfId="5" applyFont="1" applyFill="1" applyBorder="1"/>
    <xf numFmtId="8" fontId="16" fillId="0" borderId="0" xfId="5" applyNumberFormat="1" applyFont="1" applyFill="1" applyBorder="1"/>
    <xf numFmtId="8" fontId="16" fillId="0" borderId="0" xfId="5" applyNumberFormat="1" applyFont="1"/>
    <xf numFmtId="8" fontId="15" fillId="0" borderId="0" xfId="8" applyNumberFormat="1" applyFont="1"/>
    <xf numFmtId="43" fontId="0" fillId="0" borderId="0" xfId="7" applyFont="1" applyFill="1"/>
    <xf numFmtId="0" fontId="18" fillId="4" borderId="0" xfId="5" applyFont="1" applyFill="1" applyAlignment="1">
      <alignment horizontal="center"/>
    </xf>
    <xf numFmtId="0" fontId="18" fillId="0" borderId="0" xfId="5" applyFont="1" applyAlignment="1">
      <alignment horizontal="center"/>
    </xf>
    <xf numFmtId="0" fontId="15" fillId="4" borderId="0" xfId="5" applyFill="1"/>
    <xf numFmtId="43" fontId="15" fillId="4" borderId="0" xfId="5" applyNumberFormat="1" applyFill="1"/>
    <xf numFmtId="10" fontId="0" fillId="0" borderId="0" xfId="6" applyNumberFormat="1" applyFont="1"/>
    <xf numFmtId="8" fontId="0" fillId="0" borderId="0" xfId="6" applyNumberFormat="1" applyFont="1"/>
    <xf numFmtId="43" fontId="0" fillId="0" borderId="0" xfId="7" applyFont="1" applyFill="1" applyBorder="1"/>
    <xf numFmtId="0" fontId="15" fillId="0" borderId="0" xfId="5" applyFill="1" applyBorder="1"/>
    <xf numFmtId="43" fontId="15" fillId="0" borderId="0" xfId="5" applyNumberFormat="1" applyFill="1" applyBorder="1"/>
    <xf numFmtId="0" fontId="17" fillId="0" borderId="0" xfId="5" applyFont="1" applyFill="1" applyBorder="1"/>
    <xf numFmtId="44" fontId="17" fillId="0" borderId="0" xfId="6" applyFont="1" applyFill="1" applyBorder="1"/>
    <xf numFmtId="0" fontId="10" fillId="0" borderId="0" xfId="0" applyFont="1"/>
    <xf numFmtId="0" fontId="2" fillId="0" borderId="0" xfId="0" applyFont="1" applyAlignment="1">
      <alignment horizontal="center" vertical="top"/>
    </xf>
    <xf numFmtId="0" fontId="2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3" fillId="0" borderId="0" xfId="0" applyFont="1"/>
    <xf numFmtId="44" fontId="10" fillId="0" borderId="0" xfId="0" applyNumberFormat="1" applyFont="1"/>
    <xf numFmtId="164" fontId="10" fillId="0" borderId="0" xfId="1" applyNumberFormat="1" applyFont="1"/>
    <xf numFmtId="44" fontId="10" fillId="0" borderId="0" xfId="2" applyFont="1"/>
    <xf numFmtId="0" fontId="10" fillId="0" borderId="0" xfId="0" applyFont="1" applyAlignment="1">
      <alignment horizontal="center"/>
    </xf>
    <xf numFmtId="2" fontId="12" fillId="6" borderId="3" xfId="0" applyNumberFormat="1" applyFont="1" applyFill="1" applyBorder="1" applyAlignment="1"/>
    <xf numFmtId="0" fontId="8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right"/>
    </xf>
    <xf numFmtId="0" fontId="2" fillId="6" borderId="3" xfId="0" applyFont="1" applyFill="1" applyBorder="1"/>
    <xf numFmtId="14" fontId="10" fillId="6" borderId="3" xfId="0" applyNumberFormat="1" applyFont="1" applyFill="1" applyBorder="1"/>
    <xf numFmtId="164" fontId="10" fillId="6" borderId="3" xfId="1" applyNumberFormat="1" applyFont="1" applyFill="1" applyBorder="1"/>
    <xf numFmtId="43" fontId="10" fillId="6" borderId="3" xfId="1" applyFont="1" applyFill="1" applyBorder="1"/>
    <xf numFmtId="43" fontId="11" fillId="6" borderId="3" xfId="1" applyFont="1" applyFill="1" applyBorder="1"/>
    <xf numFmtId="44" fontId="1" fillId="6" borderId="3" xfId="2" applyFont="1" applyFill="1" applyBorder="1" applyAlignment="1">
      <alignment horizontal="center"/>
    </xf>
    <xf numFmtId="10" fontId="1" fillId="6" borderId="3" xfId="3" applyNumberFormat="1" applyFont="1" applyFill="1" applyBorder="1" applyAlignment="1">
      <alignment horizontal="center"/>
    </xf>
    <xf numFmtId="14" fontId="2" fillId="6" borderId="3" xfId="0" applyNumberFormat="1" applyFont="1" applyFill="1" applyBorder="1"/>
    <xf numFmtId="0" fontId="0" fillId="0" borderId="0" xfId="0" applyBorder="1"/>
    <xf numFmtId="0" fontId="26" fillId="0" borderId="0" xfId="0" applyFont="1"/>
    <xf numFmtId="0" fontId="24" fillId="0" borderId="0" xfId="0" applyFont="1"/>
    <xf numFmtId="0" fontId="26" fillId="0" borderId="0" xfId="0" applyFont="1" applyFill="1"/>
    <xf numFmtId="44" fontId="0" fillId="0" borderId="0" xfId="2" applyFont="1"/>
    <xf numFmtId="44" fontId="0" fillId="0" borderId="0" xfId="0" applyNumberFormat="1"/>
    <xf numFmtId="0" fontId="15" fillId="0" borderId="0" xfId="5" applyFont="1" applyFill="1"/>
    <xf numFmtId="0" fontId="0" fillId="6" borderId="3" xfId="0" applyFill="1" applyBorder="1"/>
    <xf numFmtId="44" fontId="0" fillId="6" borderId="3" xfId="2" applyFont="1" applyFill="1" applyBorder="1"/>
    <xf numFmtId="0" fontId="0" fillId="6" borderId="10" xfId="0" applyFill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center"/>
    </xf>
    <xf numFmtId="0" fontId="16" fillId="0" borderId="3" xfId="5" applyFont="1" applyFill="1" applyBorder="1"/>
    <xf numFmtId="0" fontId="15" fillId="0" borderId="0" xfId="5" applyAlignment="1">
      <alignment horizontal="center"/>
    </xf>
    <xf numFmtId="0" fontId="10" fillId="0" borderId="0" xfId="0" applyFont="1" applyBorder="1"/>
    <xf numFmtId="0" fontId="15" fillId="0" borderId="3" xfId="5" applyFill="1" applyBorder="1"/>
    <xf numFmtId="14" fontId="15" fillId="0" borderId="0" xfId="5" applyNumberFormat="1" applyFill="1" applyBorder="1"/>
    <xf numFmtId="0" fontId="2" fillId="6" borderId="3" xfId="0" applyFont="1" applyFill="1" applyBorder="1" applyAlignment="1">
      <alignment horizontal="center"/>
    </xf>
    <xf numFmtId="164" fontId="15" fillId="6" borderId="3" xfId="5" applyNumberFormat="1" applyFill="1" applyBorder="1"/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6" borderId="9" xfId="0" applyFont="1" applyFill="1" applyBorder="1"/>
    <xf numFmtId="0" fontId="2" fillId="6" borderId="10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15" fontId="2" fillId="6" borderId="3" xfId="0" quotePrefix="1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0" fontId="0" fillId="0" borderId="0" xfId="0" applyNumberFormat="1"/>
    <xf numFmtId="0" fontId="0" fillId="8" borderId="0" xfId="0" applyFill="1"/>
    <xf numFmtId="10" fontId="2" fillId="0" borderId="0" xfId="0" applyNumberFormat="1" applyFont="1"/>
    <xf numFmtId="0" fontId="14" fillId="0" borderId="0" xfId="0" applyFont="1"/>
    <xf numFmtId="0" fontId="31" fillId="8" borderId="0" xfId="0" applyFont="1" applyFill="1"/>
    <xf numFmtId="0" fontId="2" fillId="8" borderId="0" xfId="0" applyFont="1" applyFill="1"/>
    <xf numFmtId="14" fontId="2" fillId="0" borderId="3" xfId="0" applyNumberFormat="1" applyFont="1" applyFill="1" applyBorder="1"/>
    <xf numFmtId="9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0" fontId="2" fillId="0" borderId="0" xfId="3" applyNumberFormat="1" applyFont="1"/>
    <xf numFmtId="165" fontId="2" fillId="0" borderId="0" xfId="0" applyNumberFormat="1" applyFont="1"/>
    <xf numFmtId="165" fontId="1" fillId="0" borderId="12" xfId="0" applyNumberFormat="1" applyFont="1" applyBorder="1"/>
    <xf numFmtId="44" fontId="15" fillId="0" borderId="0" xfId="5" applyNumberFormat="1" applyFont="1"/>
    <xf numFmtId="43" fontId="10" fillId="0" borderId="0" xfId="1" applyFont="1"/>
    <xf numFmtId="0" fontId="15" fillId="0" borderId="0" xfId="5" applyFont="1" applyAlignment="1">
      <alignment horizontal="center"/>
    </xf>
    <xf numFmtId="14" fontId="15" fillId="0" borderId="0" xfId="5" applyNumberFormat="1" applyFont="1" applyFill="1" applyBorder="1"/>
    <xf numFmtId="0" fontId="15" fillId="0" borderId="3" xfId="5" applyFont="1" applyFill="1" applyBorder="1"/>
    <xf numFmtId="0" fontId="17" fillId="0" borderId="0" xfId="0" applyFont="1"/>
    <xf numFmtId="44" fontId="10" fillId="0" borderId="0" xfId="6" applyFont="1"/>
    <xf numFmtId="10" fontId="17" fillId="0" borderId="11" xfId="3" applyNumberFormat="1" applyFont="1" applyBorder="1"/>
    <xf numFmtId="8" fontId="10" fillId="0" borderId="0" xfId="6" applyNumberFormat="1" applyFont="1"/>
    <xf numFmtId="0" fontId="32" fillId="0" borderId="0" xfId="0" applyFont="1" applyAlignment="1">
      <alignment horizontal="center"/>
    </xf>
    <xf numFmtId="0" fontId="32" fillId="0" borderId="0" xfId="0" applyFont="1"/>
    <xf numFmtId="1" fontId="10" fillId="0" borderId="0" xfId="0" applyNumberFormat="1" applyFont="1"/>
    <xf numFmtId="2" fontId="10" fillId="0" borderId="0" xfId="0" applyNumberFormat="1" applyFont="1"/>
    <xf numFmtId="0" fontId="15" fillId="0" borderId="0" xfId="0" applyFont="1"/>
    <xf numFmtId="44" fontId="15" fillId="0" borderId="0" xfId="2" applyFont="1"/>
    <xf numFmtId="44" fontId="15" fillId="0" borderId="0" xfId="0" applyNumberFormat="1" applyFont="1"/>
    <xf numFmtId="43" fontId="15" fillId="0" borderId="0" xfId="1" applyFont="1" applyFill="1"/>
    <xf numFmtId="0" fontId="15" fillId="0" borderId="0" xfId="0" applyFont="1" applyFill="1"/>
    <xf numFmtId="44" fontId="16" fillId="0" borderId="0" xfId="2" applyFont="1" applyBorder="1"/>
    <xf numFmtId="44" fontId="15" fillId="0" borderId="0" xfId="2" applyFont="1" applyFill="1" applyBorder="1"/>
    <xf numFmtId="44" fontId="10" fillId="0" borderId="0" xfId="0" applyNumberFormat="1" applyFont="1" applyBorder="1"/>
    <xf numFmtId="43" fontId="10" fillId="0" borderId="3" xfId="7" applyFont="1" applyFill="1" applyBorder="1"/>
    <xf numFmtId="0" fontId="32" fillId="0" borderId="0" xfId="0" applyFont="1" applyBorder="1" applyAlignment="1">
      <alignment horizontal="center"/>
    </xf>
    <xf numFmtId="0" fontId="10" fillId="0" borderId="0" xfId="0" applyFont="1" applyFill="1" applyBorder="1"/>
    <xf numFmtId="2" fontId="10" fillId="0" borderId="0" xfId="0" applyNumberFormat="1" applyFont="1" applyBorder="1"/>
    <xf numFmtId="44" fontId="15" fillId="0" borderId="0" xfId="2" applyFont="1" applyBorder="1"/>
    <xf numFmtId="43" fontId="15" fillId="0" borderId="0" xfId="1" applyFont="1" applyFill="1" applyBorder="1"/>
    <xf numFmtId="10" fontId="10" fillId="0" borderId="0" xfId="3" applyNumberFormat="1" applyFont="1"/>
    <xf numFmtId="1" fontId="3" fillId="0" borderId="0" xfId="0" applyNumberFormat="1" applyFont="1" applyFill="1" applyAlignment="1">
      <alignment horizontal="right"/>
    </xf>
    <xf numFmtId="0" fontId="15" fillId="0" borderId="0" xfId="5" applyBorder="1" applyAlignment="1">
      <alignment horizontal="center"/>
    </xf>
    <xf numFmtId="164" fontId="10" fillId="0" borderId="0" xfId="0" applyNumberFormat="1" applyFont="1" applyFill="1" applyBorder="1"/>
    <xf numFmtId="0" fontId="15" fillId="4" borderId="0" xfId="0" applyFont="1" applyFill="1"/>
    <xf numFmtId="44" fontId="15" fillId="4" borderId="0" xfId="2" applyFont="1" applyFill="1" applyBorder="1"/>
    <xf numFmtId="44" fontId="15" fillId="4" borderId="0" xfId="2" applyFont="1" applyFill="1"/>
    <xf numFmtId="44" fontId="15" fillId="4" borderId="0" xfId="0" applyNumberFormat="1" applyFont="1" applyFill="1"/>
    <xf numFmtId="0" fontId="26" fillId="4" borderId="0" xfId="0" applyFont="1" applyFill="1"/>
    <xf numFmtId="0" fontId="15" fillId="3" borderId="0" xfId="0" applyFont="1" applyFill="1"/>
    <xf numFmtId="44" fontId="15" fillId="3" borderId="0" xfId="2" applyFont="1" applyFill="1" applyBorder="1"/>
    <xf numFmtId="44" fontId="15" fillId="3" borderId="0" xfId="2" applyFont="1" applyFill="1"/>
    <xf numFmtId="44" fontId="15" fillId="3" borderId="0" xfId="0" applyNumberFormat="1" applyFont="1" applyFill="1"/>
    <xf numFmtId="0" fontId="26" fillId="3" borderId="0" xfId="0" applyFont="1" applyFill="1"/>
    <xf numFmtId="0" fontId="15" fillId="5" borderId="0" xfId="0" applyFont="1" applyFill="1"/>
    <xf numFmtId="44" fontId="15" fillId="5" borderId="0" xfId="2" applyFont="1" applyFill="1" applyBorder="1"/>
    <xf numFmtId="44" fontId="15" fillId="5" borderId="0" xfId="2" applyFont="1" applyFill="1"/>
    <xf numFmtId="44" fontId="15" fillId="5" borderId="0" xfId="0" applyNumberFormat="1" applyFont="1" applyFill="1"/>
    <xf numFmtId="0" fontId="26" fillId="5" borderId="0" xfId="0" applyFont="1" applyFill="1"/>
    <xf numFmtId="0" fontId="15" fillId="9" borderId="0" xfId="0" applyFont="1" applyFill="1"/>
    <xf numFmtId="44" fontId="15" fillId="9" borderId="0" xfId="2" applyFont="1" applyFill="1" applyBorder="1"/>
    <xf numFmtId="44" fontId="15" fillId="9" borderId="0" xfId="2" applyFont="1" applyFill="1"/>
    <xf numFmtId="44" fontId="15" fillId="9" borderId="0" xfId="0" applyNumberFormat="1" applyFont="1" applyFill="1"/>
    <xf numFmtId="0" fontId="26" fillId="9" borderId="0" xfId="0" applyFont="1" applyFill="1"/>
    <xf numFmtId="0" fontId="15" fillId="2" borderId="0" xfId="0" applyFont="1" applyFill="1"/>
    <xf numFmtId="44" fontId="15" fillId="2" borderId="0" xfId="2" applyFont="1" applyFill="1" applyBorder="1"/>
    <xf numFmtId="44" fontId="15" fillId="2" borderId="0" xfId="2" applyFont="1" applyFill="1"/>
    <xf numFmtId="44" fontId="15" fillId="2" borderId="0" xfId="0" applyNumberFormat="1" applyFont="1" applyFill="1"/>
    <xf numFmtId="0" fontId="26" fillId="2" borderId="0" xfId="0" applyFont="1" applyFill="1"/>
    <xf numFmtId="44" fontId="15" fillId="0" borderId="0" xfId="0" applyNumberFormat="1" applyFont="1" applyFill="1"/>
    <xf numFmtId="0" fontId="33" fillId="9" borderId="0" xfId="0" applyFont="1" applyFill="1" applyAlignment="1">
      <alignment horizontal="right"/>
    </xf>
    <xf numFmtId="0" fontId="33" fillId="5" borderId="0" xfId="0" applyFont="1" applyFill="1" applyAlignment="1">
      <alignment horizontal="right"/>
    </xf>
    <xf numFmtId="0" fontId="33" fillId="3" borderId="0" xfId="0" applyFont="1" applyFill="1" applyAlignment="1">
      <alignment horizontal="right"/>
    </xf>
    <xf numFmtId="0" fontId="33" fillId="4" borderId="0" xfId="0" applyFont="1" applyFill="1" applyAlignment="1">
      <alignment horizontal="right"/>
    </xf>
    <xf numFmtId="0" fontId="33" fillId="2" borderId="0" xfId="0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43" fontId="15" fillId="4" borderId="0" xfId="1" applyFont="1" applyFill="1" applyBorder="1"/>
    <xf numFmtId="1" fontId="3" fillId="5" borderId="0" xfId="0" applyNumberFormat="1" applyFont="1" applyFill="1" applyAlignment="1">
      <alignment horizontal="right"/>
    </xf>
    <xf numFmtId="43" fontId="15" fillId="5" borderId="0" xfId="1" applyFont="1" applyFill="1" applyBorder="1"/>
    <xf numFmtId="43" fontId="15" fillId="5" borderId="0" xfId="1" applyFont="1" applyFill="1"/>
    <xf numFmtId="1" fontId="3" fillId="3" borderId="0" xfId="0" applyNumberFormat="1" applyFont="1" applyFill="1" applyAlignment="1">
      <alignment horizontal="right"/>
    </xf>
    <xf numFmtId="43" fontId="15" fillId="3" borderId="0" xfId="1" applyFont="1" applyFill="1" applyBorder="1"/>
    <xf numFmtId="43" fontId="15" fillId="3" borderId="0" xfId="1" applyFont="1" applyFill="1"/>
    <xf numFmtId="1" fontId="3" fillId="2" borderId="0" xfId="0" applyNumberFormat="1" applyFont="1" applyFill="1" applyAlignment="1">
      <alignment horizontal="right"/>
    </xf>
    <xf numFmtId="43" fontId="15" fillId="2" borderId="0" xfId="1" applyFont="1" applyFill="1" applyBorder="1"/>
    <xf numFmtId="43" fontId="15" fillId="2" borderId="0" xfId="1" applyFont="1" applyFill="1"/>
    <xf numFmtId="1" fontId="3" fillId="9" borderId="0" xfId="0" applyNumberFormat="1" applyFont="1" applyFill="1" applyAlignment="1">
      <alignment horizontal="right"/>
    </xf>
    <xf numFmtId="43" fontId="15" fillId="9" borderId="0" xfId="1" applyFont="1" applyFill="1" applyBorder="1"/>
    <xf numFmtId="43" fontId="15" fillId="9" borderId="0" xfId="1" applyFont="1" applyFill="1"/>
    <xf numFmtId="44" fontId="16" fillId="9" borderId="0" xfId="2" applyFont="1" applyFill="1" applyBorder="1"/>
    <xf numFmtId="44" fontId="16" fillId="4" borderId="0" xfId="2" applyFont="1" applyFill="1" applyBorder="1"/>
    <xf numFmtId="44" fontId="16" fillId="2" borderId="0" xfId="2" applyFont="1" applyFill="1" applyBorder="1"/>
    <xf numFmtId="44" fontId="16" fillId="5" borderId="0" xfId="2" applyFont="1" applyFill="1" applyBorder="1"/>
    <xf numFmtId="44" fontId="16" fillId="3" borderId="0" xfId="2" applyFont="1" applyFill="1" applyBorder="1"/>
    <xf numFmtId="44" fontId="33" fillId="4" borderId="0" xfId="2" applyFont="1" applyFill="1" applyBorder="1" applyAlignment="1">
      <alignment horizontal="right"/>
    </xf>
    <xf numFmtId="44" fontId="15" fillId="3" borderId="0" xfId="3" applyNumberFormat="1" applyFont="1" applyFill="1" applyBorder="1"/>
    <xf numFmtId="44" fontId="15" fillId="5" borderId="0" xfId="3" applyNumberFormat="1" applyFont="1" applyFill="1" applyBorder="1"/>
    <xf numFmtId="44" fontId="15" fillId="2" borderId="0" xfId="3" applyNumberFormat="1" applyFont="1" applyFill="1" applyBorder="1"/>
    <xf numFmtId="44" fontId="15" fillId="9" borderId="0" xfId="3" applyNumberFormat="1" applyFont="1" applyFill="1" applyBorder="1"/>
    <xf numFmtId="0" fontId="17" fillId="9" borderId="0" xfId="0" applyFont="1" applyFill="1"/>
    <xf numFmtId="44" fontId="17" fillId="9" borderId="0" xfId="2" applyFont="1" applyFill="1" applyBorder="1"/>
    <xf numFmtId="9" fontId="17" fillId="9" borderId="0" xfId="3" applyFont="1" applyFill="1" applyBorder="1"/>
    <xf numFmtId="44" fontId="17" fillId="9" borderId="0" xfId="0" applyNumberFormat="1" applyFont="1" applyFill="1"/>
    <xf numFmtId="0" fontId="25" fillId="9" borderId="0" xfId="0" applyFont="1" applyFill="1"/>
    <xf numFmtId="0" fontId="17" fillId="2" borderId="0" xfId="0" applyFont="1" applyFill="1"/>
    <xf numFmtId="44" fontId="17" fillId="2" borderId="0" xfId="2" applyFont="1" applyFill="1" applyBorder="1"/>
    <xf numFmtId="9" fontId="17" fillId="2" borderId="0" xfId="3" applyFont="1" applyFill="1" applyBorder="1"/>
    <xf numFmtId="44" fontId="17" fillId="2" borderId="0" xfId="0" applyNumberFormat="1" applyFont="1" applyFill="1"/>
    <xf numFmtId="0" fontId="25" fillId="2" borderId="0" xfId="0" applyFont="1" applyFill="1"/>
    <xf numFmtId="0" fontId="17" fillId="5" borderId="0" xfId="0" applyFont="1" applyFill="1"/>
    <xf numFmtId="44" fontId="17" fillId="5" borderId="0" xfId="2" applyFont="1" applyFill="1" applyBorder="1"/>
    <xf numFmtId="9" fontId="17" fillId="5" borderId="0" xfId="3" applyFont="1" applyFill="1" applyBorder="1"/>
    <xf numFmtId="44" fontId="17" fillId="5" borderId="0" xfId="0" applyNumberFormat="1" applyFont="1" applyFill="1"/>
    <xf numFmtId="0" fontId="25" fillId="5" borderId="0" xfId="0" applyFont="1" applyFill="1"/>
    <xf numFmtId="0" fontId="17" fillId="3" borderId="0" xfId="0" applyFont="1" applyFill="1"/>
    <xf numFmtId="44" fontId="17" fillId="3" borderId="0" xfId="2" applyFont="1" applyFill="1" applyBorder="1"/>
    <xf numFmtId="9" fontId="17" fillId="3" borderId="0" xfId="3" applyFont="1" applyFill="1" applyBorder="1"/>
    <xf numFmtId="44" fontId="17" fillId="3" borderId="0" xfId="0" applyNumberFormat="1" applyFont="1" applyFill="1"/>
    <xf numFmtId="0" fontId="25" fillId="3" borderId="0" xfId="0" applyFont="1" applyFill="1"/>
    <xf numFmtId="0" fontId="17" fillId="4" borderId="0" xfId="0" applyFont="1" applyFill="1"/>
    <xf numFmtId="44" fontId="17" fillId="4" borderId="0" xfId="2" applyFont="1" applyFill="1" applyBorder="1"/>
    <xf numFmtId="9" fontId="17" fillId="4" borderId="0" xfId="3" applyFont="1" applyFill="1" applyBorder="1"/>
    <xf numFmtId="44" fontId="17" fillId="4" borderId="0" xfId="0" applyNumberFormat="1" applyFont="1" applyFill="1"/>
    <xf numFmtId="0" fontId="25" fillId="4" borderId="0" xfId="0" applyFont="1" applyFill="1"/>
    <xf numFmtId="44" fontId="26" fillId="4" borderId="0" xfId="0" applyNumberFormat="1" applyFont="1" applyFill="1"/>
    <xf numFmtId="0" fontId="15" fillId="0" borderId="0" xfId="5" applyFont="1" applyFill="1" applyBorder="1" applyAlignment="1">
      <alignment horizontal="right"/>
    </xf>
    <xf numFmtId="44" fontId="10" fillId="0" borderId="0" xfId="6" applyFont="1" applyAlignment="1">
      <alignment horizontal="right"/>
    </xf>
    <xf numFmtId="44" fontId="17" fillId="0" borderId="0" xfId="5" applyNumberFormat="1" applyFont="1" applyBorder="1"/>
    <xf numFmtId="0" fontId="15" fillId="4" borderId="0" xfId="5" applyFont="1" applyFill="1" applyAlignment="1">
      <alignment horizontal="right"/>
    </xf>
    <xf numFmtId="44" fontId="15" fillId="2" borderId="0" xfId="5" applyNumberFormat="1" applyFont="1" applyFill="1"/>
    <xf numFmtId="44" fontId="15" fillId="5" borderId="0" xfId="5" applyNumberFormat="1" applyFont="1" applyFill="1"/>
    <xf numFmtId="44" fontId="10" fillId="3" borderId="0" xfId="6" applyFont="1" applyFill="1" applyAlignment="1">
      <alignment horizontal="right"/>
    </xf>
    <xf numFmtId="44" fontId="15" fillId="3" borderId="0" xfId="5" applyNumberFormat="1" applyFont="1" applyFill="1"/>
    <xf numFmtId="0" fontId="15" fillId="5" borderId="0" xfId="5" applyFont="1" applyFill="1" applyBorder="1" applyAlignment="1">
      <alignment horizontal="right"/>
    </xf>
    <xf numFmtId="44" fontId="15" fillId="2" borderId="0" xfId="6" applyFont="1" applyFill="1"/>
    <xf numFmtId="0" fontId="15" fillId="2" borderId="0" xfId="5" applyFont="1" applyFill="1" applyBorder="1" applyAlignment="1">
      <alignment horizontal="right"/>
    </xf>
    <xf numFmtId="0" fontId="15" fillId="9" borderId="0" xfId="5" applyFont="1" applyFill="1" applyBorder="1" applyAlignment="1">
      <alignment horizontal="right"/>
    </xf>
    <xf numFmtId="0" fontId="15" fillId="4" borderId="0" xfId="5" applyFont="1" applyFill="1"/>
    <xf numFmtId="0" fontId="15" fillId="3" borderId="0" xfId="5" applyFont="1" applyFill="1"/>
    <xf numFmtId="0" fontId="15" fillId="5" borderId="0" xfId="5" applyFont="1" applyFill="1"/>
    <xf numFmtId="0" fontId="15" fillId="2" borderId="0" xfId="5" applyFont="1" applyFill="1"/>
    <xf numFmtId="0" fontId="15" fillId="9" borderId="0" xfId="5" applyFont="1" applyFill="1"/>
    <xf numFmtId="44" fontId="15" fillId="9" borderId="0" xfId="5" applyNumberFormat="1" applyFont="1" applyFill="1"/>
    <xf numFmtId="44" fontId="16" fillId="4" borderId="0" xfId="5" applyNumberFormat="1" applyFont="1" applyFill="1" applyBorder="1"/>
    <xf numFmtId="44" fontId="16" fillId="3" borderId="0" xfId="5" applyNumberFormat="1" applyFont="1" applyFill="1"/>
    <xf numFmtId="44" fontId="16" fillId="5" borderId="0" xfId="5" applyNumberFormat="1" applyFont="1" applyFill="1" applyBorder="1"/>
    <xf numFmtId="44" fontId="16" fillId="2" borderId="0" xfId="5" applyNumberFormat="1" applyFont="1" applyFill="1" applyBorder="1" applyAlignment="1">
      <alignment horizontal="center"/>
    </xf>
    <xf numFmtId="44" fontId="12" fillId="9" borderId="0" xfId="2" applyFont="1" applyFill="1" applyBorder="1"/>
    <xf numFmtId="0" fontId="14" fillId="0" borderId="0" xfId="0" applyFont="1" applyAlignment="1">
      <alignment horizontal="right"/>
    </xf>
    <xf numFmtId="9" fontId="1" fillId="6" borderId="3" xfId="3" applyFont="1" applyFill="1" applyBorder="1" applyAlignment="1">
      <alignment horizontal="center"/>
    </xf>
    <xf numFmtId="0" fontId="26" fillId="6" borderId="3" xfId="0" applyFont="1" applyFill="1" applyBorder="1"/>
    <xf numFmtId="0" fontId="0" fillId="0" borderId="0" xfId="0" applyFill="1" applyBorder="1"/>
    <xf numFmtId="43" fontId="10" fillId="0" borderId="0" xfId="1" applyFont="1" applyFill="1" applyBorder="1"/>
    <xf numFmtId="44" fontId="0" fillId="0" borderId="0" xfId="2" applyFont="1" applyFill="1" applyBorder="1"/>
    <xf numFmtId="43" fontId="10" fillId="0" borderId="0" xfId="1" applyFont="1" applyBorder="1"/>
    <xf numFmtId="0" fontId="16" fillId="0" borderId="0" xfId="5" applyFont="1" applyFill="1" applyBorder="1"/>
    <xf numFmtId="0" fontId="19" fillId="0" borderId="0" xfId="5" applyFont="1" applyFill="1" applyAlignment="1">
      <alignment horizontal="center"/>
    </xf>
    <xf numFmtId="0" fontId="15" fillId="0" borderId="3" xfId="5" applyFont="1" applyFill="1" applyBorder="1" applyAlignment="1">
      <alignment horizontal="center"/>
    </xf>
    <xf numFmtId="164" fontId="15" fillId="0" borderId="0" xfId="5" applyNumberFormat="1" applyFont="1"/>
    <xf numFmtId="164" fontId="15" fillId="0" borderId="0" xfId="3" applyNumberFormat="1" applyFont="1" applyFill="1" applyBorder="1"/>
    <xf numFmtId="167" fontId="15" fillId="0" borderId="0" xfId="1" applyNumberFormat="1" applyFont="1" applyBorder="1"/>
    <xf numFmtId="0" fontId="15" fillId="0" borderId="0" xfId="0" applyFont="1" applyAlignment="1">
      <alignment horizontal="center"/>
    </xf>
    <xf numFmtId="164" fontId="10" fillId="0" borderId="0" xfId="7" applyNumberFormat="1" applyFont="1"/>
    <xf numFmtId="164" fontId="15" fillId="0" borderId="0" xfId="0" applyNumberFormat="1" applyFont="1"/>
    <xf numFmtId="167" fontId="15" fillId="0" borderId="0" xfId="1" applyNumberFormat="1" applyFont="1"/>
    <xf numFmtId="44" fontId="15" fillId="0" borderId="0" xfId="5" applyNumberFormat="1" applyFont="1" applyFill="1"/>
    <xf numFmtId="44" fontId="12" fillId="0" borderId="0" xfId="2" applyFont="1" applyFill="1" applyBorder="1"/>
    <xf numFmtId="0" fontId="16" fillId="0" borderId="0" xfId="5" applyFont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0" fontId="16" fillId="0" borderId="0" xfId="5" applyFont="1" applyBorder="1"/>
    <xf numFmtId="164" fontId="0" fillId="0" borderId="0" xfId="7" applyNumberFormat="1" applyFont="1" applyBorder="1"/>
    <xf numFmtId="43" fontId="15" fillId="0" borderId="0" xfId="5" applyNumberFormat="1" applyBorder="1"/>
    <xf numFmtId="44" fontId="0" fillId="0" borderId="0" xfId="6" applyFont="1" applyBorder="1"/>
    <xf numFmtId="44" fontId="15" fillId="0" borderId="0" xfId="5" applyNumberFormat="1" applyBorder="1"/>
    <xf numFmtId="0" fontId="15" fillId="0" borderId="0" xfId="5" applyFill="1" applyBorder="1" applyAlignment="1">
      <alignment horizontal="center"/>
    </xf>
    <xf numFmtId="14" fontId="15" fillId="0" borderId="0" xfId="5" applyNumberFormat="1" applyFill="1" applyBorder="1" applyAlignment="1">
      <alignment horizontal="center"/>
    </xf>
    <xf numFmtId="0" fontId="15" fillId="0" borderId="0" xfId="5" applyFont="1" applyBorder="1"/>
    <xf numFmtId="43" fontId="0" fillId="0" borderId="0" xfId="7" applyFont="1" applyBorder="1"/>
    <xf numFmtId="164" fontId="15" fillId="0" borderId="0" xfId="5" applyNumberFormat="1" applyBorder="1"/>
    <xf numFmtId="8" fontId="15" fillId="0" borderId="0" xfId="5" applyNumberFormat="1" applyBorder="1"/>
    <xf numFmtId="9" fontId="0" fillId="0" borderId="0" xfId="8" applyNumberFormat="1" applyFont="1" applyBorder="1"/>
    <xf numFmtId="14" fontId="15" fillId="0" borderId="0" xfId="5" applyNumberFormat="1" applyBorder="1"/>
    <xf numFmtId="43" fontId="10" fillId="0" borderId="0" xfId="0" applyNumberFormat="1" applyFont="1"/>
    <xf numFmtId="44" fontId="33" fillId="9" borderId="0" xfId="2" applyFont="1" applyFill="1" applyBorder="1" applyAlignment="1">
      <alignment horizontal="right"/>
    </xf>
    <xf numFmtId="44" fontId="33" fillId="2" borderId="0" xfId="2" applyFont="1" applyFill="1" applyBorder="1" applyAlignment="1">
      <alignment horizontal="right"/>
    </xf>
    <xf numFmtId="44" fontId="33" fillId="5" borderId="0" xfId="2" applyFont="1" applyFill="1" applyBorder="1" applyAlignment="1">
      <alignment horizontal="right"/>
    </xf>
    <xf numFmtId="44" fontId="33" fillId="3" borderId="0" xfId="2" applyFont="1" applyFill="1" applyBorder="1" applyAlignment="1">
      <alignment horizontal="right"/>
    </xf>
    <xf numFmtId="44" fontId="19" fillId="0" borderId="0" xfId="5" applyNumberFormat="1" applyFont="1" applyFill="1" applyBorder="1"/>
    <xf numFmtId="10" fontId="15" fillId="0" borderId="0" xfId="3" applyNumberFormat="1" applyFont="1" applyBorder="1"/>
    <xf numFmtId="164" fontId="10" fillId="0" borderId="0" xfId="1" applyNumberFormat="1" applyFont="1" applyFill="1" applyBorder="1"/>
    <xf numFmtId="43" fontId="34" fillId="4" borderId="0" xfId="1" applyFont="1" applyFill="1" applyBorder="1"/>
    <xf numFmtId="44" fontId="34" fillId="4" borderId="0" xfId="0" applyNumberFormat="1" applyFont="1" applyFill="1"/>
    <xf numFmtId="43" fontId="34" fillId="3" borderId="0" xfId="1" applyFont="1" applyFill="1" applyBorder="1"/>
    <xf numFmtId="44" fontId="34" fillId="3" borderId="0" xfId="0" applyNumberFormat="1" applyFont="1" applyFill="1"/>
    <xf numFmtId="43" fontId="34" fillId="5" borderId="0" xfId="1" applyFont="1" applyFill="1" applyBorder="1"/>
    <xf numFmtId="44" fontId="34" fillId="5" borderId="0" xfId="0" applyNumberFormat="1" applyFont="1" applyFill="1"/>
    <xf numFmtId="43" fontId="34" fillId="2" borderId="0" xfId="1" applyFont="1" applyFill="1" applyBorder="1"/>
    <xf numFmtId="44" fontId="34" fillId="2" borderId="0" xfId="0" applyNumberFormat="1" applyFont="1" applyFill="1"/>
    <xf numFmtId="43" fontId="34" fillId="9" borderId="0" xfId="1" applyFont="1" applyFill="1" applyBorder="1"/>
    <xf numFmtId="44" fontId="34" fillId="9" borderId="0" xfId="0" applyNumberFormat="1" applyFont="1" applyFill="1"/>
    <xf numFmtId="44" fontId="26" fillId="3" borderId="0" xfId="0" applyNumberFormat="1" applyFont="1" applyFill="1"/>
    <xf numFmtId="10" fontId="26" fillId="5" borderId="0" xfId="3" applyNumberFormat="1" applyFont="1" applyFill="1"/>
    <xf numFmtId="10" fontId="3" fillId="4" borderId="0" xfId="3" applyNumberFormat="1" applyFont="1" applyFill="1"/>
    <xf numFmtId="10" fontId="3" fillId="9" borderId="0" xfId="3" applyNumberFormat="1" applyFont="1" applyFill="1"/>
    <xf numFmtId="10" fontId="3" fillId="2" borderId="0" xfId="3" applyNumberFormat="1" applyFont="1" applyFill="1"/>
    <xf numFmtId="10" fontId="3" fillId="5" borderId="0" xfId="3" applyNumberFormat="1" applyFont="1" applyFill="1"/>
    <xf numFmtId="10" fontId="3" fillId="3" borderId="0" xfId="3" applyNumberFormat="1" applyFont="1" applyFill="1"/>
    <xf numFmtId="0" fontId="3" fillId="0" borderId="0" xfId="0" applyFont="1" applyAlignment="1">
      <alignment horizontal="center"/>
    </xf>
    <xf numFmtId="0" fontId="29" fillId="0" borderId="13" xfId="0" applyFont="1" applyBorder="1" applyAlignment="1">
      <alignment horizontal="left"/>
    </xf>
    <xf numFmtId="0" fontId="2" fillId="0" borderId="4" xfId="0" applyFont="1" applyBorder="1"/>
    <xf numFmtId="0" fontId="7" fillId="0" borderId="4" xfId="0" applyFont="1" applyBorder="1"/>
    <xf numFmtId="0" fontId="2" fillId="0" borderId="5" xfId="0" applyFont="1" applyBorder="1"/>
    <xf numFmtId="0" fontId="2" fillId="0" borderId="5" xfId="0" applyFont="1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right"/>
    </xf>
    <xf numFmtId="0" fontId="29" fillId="0" borderId="5" xfId="0" applyFont="1" applyBorder="1" applyAlignment="1">
      <alignment horizontal="left"/>
    </xf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5" xfId="0" applyFont="1" applyBorder="1"/>
    <xf numFmtId="0" fontId="1" fillId="0" borderId="0" xfId="0" applyFont="1" applyBorder="1"/>
    <xf numFmtId="0" fontId="12" fillId="0" borderId="0" xfId="0" applyFont="1" applyBorder="1"/>
    <xf numFmtId="164" fontId="12" fillId="0" borderId="0" xfId="1" applyNumberFormat="1" applyFont="1" applyBorder="1"/>
    <xf numFmtId="43" fontId="12" fillId="0" borderId="0" xfId="1" applyFont="1" applyBorder="1"/>
    <xf numFmtId="0" fontId="31" fillId="0" borderId="0" xfId="0" applyFont="1" applyBorder="1"/>
    <xf numFmtId="0" fontId="2" fillId="0" borderId="5" xfId="0" applyNumberFormat="1" applyFont="1" applyBorder="1"/>
    <xf numFmtId="0" fontId="2" fillId="0" borderId="16" xfId="0" applyFont="1" applyBorder="1"/>
    <xf numFmtId="0" fontId="2" fillId="0" borderId="1" xfId="0" applyFont="1" applyBorder="1"/>
    <xf numFmtId="14" fontId="35" fillId="0" borderId="0" xfId="0" applyNumberFormat="1" applyFont="1" applyAlignment="1">
      <alignment horizontal="center"/>
    </xf>
    <xf numFmtId="0" fontId="36" fillId="0" borderId="0" xfId="0" applyFont="1"/>
    <xf numFmtId="0" fontId="35" fillId="0" borderId="0" xfId="0" applyFont="1"/>
    <xf numFmtId="0" fontId="35" fillId="0" borderId="0" xfId="0" applyFont="1" applyAlignment="1">
      <alignment horizontal="right"/>
    </xf>
    <xf numFmtId="44" fontId="35" fillId="0" borderId="0" xfId="0" applyNumberFormat="1" applyFont="1"/>
    <xf numFmtId="10" fontId="35" fillId="0" borderId="0" xfId="0" applyNumberFormat="1" applyFont="1"/>
    <xf numFmtId="164" fontId="35" fillId="0" borderId="0" xfId="1" applyNumberFormat="1" applyFont="1"/>
    <xf numFmtId="44" fontId="35" fillId="0" borderId="0" xfId="2" applyFont="1"/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 vertical="top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left" wrapText="1"/>
    </xf>
    <xf numFmtId="0" fontId="0" fillId="0" borderId="0" xfId="0" applyFont="1"/>
    <xf numFmtId="44" fontId="2" fillId="0" borderId="0" xfId="0" applyNumberFormat="1" applyFont="1"/>
    <xf numFmtId="14" fontId="2" fillId="0" borderId="0" xfId="0" applyNumberFormat="1" applyFont="1"/>
    <xf numFmtId="0" fontId="10" fillId="0" borderId="0" xfId="0" applyFont="1" applyAlignment="1">
      <alignment horizontal="center" vertical="top"/>
    </xf>
    <xf numFmtId="0" fontId="12" fillId="0" borderId="0" xfId="0" applyFont="1"/>
    <xf numFmtId="0" fontId="0" fillId="6" borderId="9" xfId="0" quotePrefix="1" applyFill="1" applyBorder="1"/>
    <xf numFmtId="14" fontId="1" fillId="6" borderId="3" xfId="0" applyNumberFormat="1" applyFont="1" applyFill="1" applyBorder="1" applyAlignment="1">
      <alignment horizontal="left"/>
    </xf>
    <xf numFmtId="8" fontId="0" fillId="0" borderId="0" xfId="0" applyNumberFormat="1"/>
    <xf numFmtId="44" fontId="2" fillId="0" borderId="3" xfId="2" applyFont="1" applyFill="1" applyBorder="1"/>
    <xf numFmtId="0" fontId="1" fillId="6" borderId="3" xfId="0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8" fillId="0" borderId="5" xfId="0" applyFont="1" applyBorder="1"/>
    <xf numFmtId="0" fontId="14" fillId="0" borderId="0" xfId="0" applyFont="1" applyBorder="1" applyAlignment="1">
      <alignment horizontal="center"/>
    </xf>
    <xf numFmtId="14" fontId="2" fillId="0" borderId="0" xfId="0" applyNumberFormat="1" applyFont="1" applyFill="1" applyBorder="1"/>
    <xf numFmtId="14" fontId="0" fillId="6" borderId="3" xfId="0" applyNumberFormat="1" applyFill="1" applyBorder="1"/>
    <xf numFmtId="0" fontId="5" fillId="0" borderId="0" xfId="0" applyFont="1" applyBorder="1"/>
    <xf numFmtId="0" fontId="29" fillId="6" borderId="3" xfId="0" applyFont="1" applyFill="1" applyBorder="1" applyAlignment="1">
      <alignment horizontal="center"/>
    </xf>
    <xf numFmtId="0" fontId="15" fillId="0" borderId="4" xfId="5" applyBorder="1" applyAlignment="1">
      <alignment horizontal="center"/>
    </xf>
    <xf numFmtId="0" fontId="15" fillId="0" borderId="14" xfId="5" applyBorder="1" applyAlignment="1">
      <alignment horizontal="center"/>
    </xf>
    <xf numFmtId="14" fontId="2" fillId="0" borderId="5" xfId="0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7" xfId="0" applyBorder="1"/>
    <xf numFmtId="0" fontId="0" fillId="0" borderId="16" xfId="0" applyBorder="1"/>
    <xf numFmtId="0" fontId="0" fillId="0" borderId="15" xfId="0" applyBorder="1"/>
    <xf numFmtId="0" fontId="42" fillId="0" borderId="8" xfId="0" applyFont="1" applyBorder="1" applyAlignment="1">
      <alignment horizontal="center"/>
    </xf>
    <xf numFmtId="0" fontId="42" fillId="4" borderId="6" xfId="0" applyFont="1" applyFill="1" applyBorder="1"/>
    <xf numFmtId="0" fontId="42" fillId="3" borderId="6" xfId="0" applyFont="1" applyFill="1" applyBorder="1"/>
    <xf numFmtId="0" fontId="42" fillId="5" borderId="6" xfId="0" applyFont="1" applyFill="1" applyBorder="1"/>
    <xf numFmtId="0" fontId="42" fillId="2" borderId="6" xfId="0" applyFont="1" applyFill="1" applyBorder="1"/>
    <xf numFmtId="0" fontId="42" fillId="9" borderId="17" xfId="0" applyFont="1" applyFill="1" applyBorder="1"/>
    <xf numFmtId="0" fontId="43" fillId="0" borderId="8" xfId="0" applyFont="1" applyBorder="1" applyAlignment="1">
      <alignment horizontal="center"/>
    </xf>
    <xf numFmtId="168" fontId="10" fillId="4" borderId="0" xfId="0" applyNumberFormat="1" applyFont="1" applyFill="1" applyAlignment="1">
      <alignment horizontal="right"/>
    </xf>
    <xf numFmtId="168" fontId="10" fillId="3" borderId="0" xfId="0" applyNumberFormat="1" applyFont="1" applyFill="1" applyAlignment="1">
      <alignment horizontal="right"/>
    </xf>
    <xf numFmtId="168" fontId="10" fillId="5" borderId="0" xfId="0" applyNumberFormat="1" applyFont="1" applyFill="1" applyAlignment="1">
      <alignment horizontal="right"/>
    </xf>
    <xf numFmtId="168" fontId="10" fillId="2" borderId="0" xfId="0" applyNumberFormat="1" applyFont="1" applyFill="1" applyAlignment="1">
      <alignment horizontal="right"/>
    </xf>
    <xf numFmtId="168" fontId="10" fillId="9" borderId="0" xfId="0" applyNumberFormat="1" applyFont="1" applyFill="1" applyAlignment="1">
      <alignment horizontal="right"/>
    </xf>
    <xf numFmtId="169" fontId="10" fillId="0" borderId="0" xfId="0" applyNumberFormat="1" applyFont="1"/>
    <xf numFmtId="170" fontId="43" fillId="0" borderId="0" xfId="5" applyNumberFormat="1" applyFont="1"/>
    <xf numFmtId="171" fontId="43" fillId="0" borderId="0" xfId="5" applyNumberFormat="1" applyFont="1"/>
    <xf numFmtId="171" fontId="43" fillId="0" borderId="0" xfId="5" applyNumberFormat="1" applyFont="1" applyFill="1" applyBorder="1"/>
    <xf numFmtId="171" fontId="43" fillId="0" borderId="0" xfId="1" applyNumberFormat="1" applyFont="1"/>
    <xf numFmtId="171" fontId="42" fillId="0" borderId="0" xfId="1" applyNumberFormat="1" applyFont="1"/>
    <xf numFmtId="171" fontId="43" fillId="0" borderId="0" xfId="0" applyNumberFormat="1" applyFont="1"/>
    <xf numFmtId="172" fontId="43" fillId="0" borderId="0" xfId="2" applyNumberFormat="1" applyFont="1"/>
    <xf numFmtId="14" fontId="15" fillId="0" borderId="8" xfId="5" applyNumberForma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73" fontId="2" fillId="0" borderId="3" xfId="0" applyNumberFormat="1" applyFont="1" applyBorder="1"/>
    <xf numFmtId="0" fontId="3" fillId="0" borderId="0" xfId="0" applyFont="1" applyBorder="1"/>
    <xf numFmtId="173" fontId="2" fillId="0" borderId="0" xfId="0" applyNumberFormat="1" applyFont="1" applyBorder="1"/>
    <xf numFmtId="173" fontId="1" fillId="6" borderId="3" xfId="0" applyNumberFormat="1" applyFont="1" applyFill="1" applyBorder="1" applyAlignment="1">
      <alignment horizontal="center"/>
    </xf>
    <xf numFmtId="173" fontId="2" fillId="6" borderId="3" xfId="0" applyNumberFormat="1" applyFont="1" applyFill="1" applyBorder="1"/>
    <xf numFmtId="173" fontId="10" fillId="0" borderId="0" xfId="0" applyNumberFormat="1" applyFont="1" applyAlignment="1">
      <alignment horizontal="center"/>
    </xf>
    <xf numFmtId="14" fontId="10" fillId="0" borderId="3" xfId="0" applyNumberFormat="1" applyFont="1" applyFill="1" applyBorder="1"/>
    <xf numFmtId="44" fontId="2" fillId="0" borderId="0" xfId="0" applyNumberFormat="1" applyFont="1" applyAlignment="1"/>
    <xf numFmtId="164" fontId="2" fillId="0" borderId="0" xfId="1" applyNumberFormat="1" applyFont="1" applyAlignment="1">
      <alignment horizontal="left"/>
    </xf>
    <xf numFmtId="0" fontId="35" fillId="0" borderId="0" xfId="0" applyFont="1" applyAlignment="1">
      <alignment horizontal="left" wrapText="1"/>
    </xf>
    <xf numFmtId="44" fontId="35" fillId="0" borderId="0" xfId="0" applyNumberFormat="1" applyFont="1" applyAlignment="1">
      <alignment horizontal="left" wrapText="1"/>
    </xf>
    <xf numFmtId="0" fontId="42" fillId="0" borderId="0" xfId="0" applyFont="1" applyFill="1" applyBorder="1"/>
    <xf numFmtId="0" fontId="44" fillId="0" borderId="0" xfId="0" applyFont="1" applyFill="1"/>
    <xf numFmtId="44" fontId="44" fillId="0" borderId="0" xfId="2" applyFont="1" applyFill="1"/>
    <xf numFmtId="44" fontId="44" fillId="0" borderId="0" xfId="0" applyNumberFormat="1" applyFont="1" applyFill="1"/>
    <xf numFmtId="0" fontId="45" fillId="0" borderId="0" xfId="0" applyFont="1" applyFill="1"/>
    <xf numFmtId="43" fontId="44" fillId="0" borderId="0" xfId="2" applyNumberFormat="1" applyFont="1" applyFill="1" applyBorder="1"/>
    <xf numFmtId="43" fontId="46" fillId="0" borderId="0" xfId="7" applyNumberFormat="1" applyFont="1" applyFill="1" applyBorder="1"/>
    <xf numFmtId="43" fontId="46" fillId="0" borderId="0" xfId="7" applyFont="1" applyFill="1" applyBorder="1"/>
    <xf numFmtId="0" fontId="47" fillId="0" borderId="0" xfId="5" applyFont="1"/>
    <xf numFmtId="0" fontId="48" fillId="0" borderId="0" xfId="0" applyFont="1"/>
    <xf numFmtId="10" fontId="48" fillId="0" borderId="0" xfId="6" applyNumberFormat="1" applyFont="1"/>
    <xf numFmtId="176" fontId="10" fillId="0" borderId="0" xfId="0" applyNumberFormat="1" applyFont="1"/>
    <xf numFmtId="9" fontId="1" fillId="6" borderId="3" xfId="0" applyNumberFormat="1" applyFont="1" applyFill="1" applyBorder="1" applyAlignment="1">
      <alignment horizontal="center"/>
    </xf>
    <xf numFmtId="3" fontId="10" fillId="0" borderId="0" xfId="1" applyNumberFormat="1" applyFont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74" fontId="2" fillId="0" borderId="0" xfId="0" applyNumberFormat="1" applyFont="1"/>
    <xf numFmtId="4" fontId="2" fillId="0" borderId="0" xfId="0" applyNumberFormat="1" applyFont="1" applyAlignment="1">
      <alignment horizontal="center"/>
    </xf>
    <xf numFmtId="0" fontId="10" fillId="0" borderId="0" xfId="1" applyNumberFormat="1" applyFont="1" applyBorder="1"/>
    <xf numFmtId="165" fontId="17" fillId="4" borderId="0" xfId="3" applyNumberFormat="1" applyFont="1" applyFill="1" applyBorder="1"/>
    <xf numFmtId="44" fontId="1" fillId="0" borderId="3" xfId="2" applyFont="1" applyFill="1" applyBorder="1" applyAlignment="1" applyProtection="1">
      <alignment horizontal="center"/>
    </xf>
    <xf numFmtId="44" fontId="1" fillId="0" borderId="3" xfId="2" applyFont="1" applyFill="1" applyBorder="1" applyAlignment="1">
      <alignment horizontal="center"/>
    </xf>
    <xf numFmtId="44" fontId="1" fillId="0" borderId="3" xfId="2" applyNumberFormat="1" applyFont="1" applyFill="1" applyBorder="1" applyAlignment="1">
      <alignment horizontal="center"/>
    </xf>
    <xf numFmtId="8" fontId="15" fillId="6" borderId="3" xfId="8" applyNumberFormat="1" applyFont="1" applyFill="1" applyBorder="1"/>
    <xf numFmtId="0" fontId="15" fillId="6" borderId="3" xfId="5" applyFill="1" applyBorder="1"/>
    <xf numFmtId="43" fontId="15" fillId="0" borderId="0" xfId="8" applyNumberFormat="1" applyFont="1"/>
    <xf numFmtId="175" fontId="1" fillId="6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1" fillId="6" borderId="8" xfId="0" applyNumberFormat="1" applyFont="1" applyFill="1" applyBorder="1" applyAlignment="1">
      <alignment horizontal="center"/>
    </xf>
    <xf numFmtId="0" fontId="40" fillId="0" borderId="0" xfId="0" applyFont="1" applyBorder="1"/>
    <xf numFmtId="0" fontId="39" fillId="0" borderId="0" xfId="0" applyFont="1" applyBorder="1" applyAlignment="1">
      <alignment horizontal="right"/>
    </xf>
    <xf numFmtId="0" fontId="51" fillId="0" borderId="0" xfId="0" applyFont="1" applyAlignment="1">
      <alignment horizontal="right"/>
    </xf>
    <xf numFmtId="0" fontId="1" fillId="6" borderId="3" xfId="0" applyFont="1" applyFill="1" applyBorder="1"/>
    <xf numFmtId="0" fontId="50" fillId="0" borderId="0" xfId="0" applyFont="1" applyFill="1" applyBorder="1"/>
    <xf numFmtId="174" fontId="50" fillId="0" borderId="0" xfId="0" applyNumberFormat="1" applyFont="1" applyFill="1" applyBorder="1"/>
    <xf numFmtId="0" fontId="49" fillId="0" borderId="0" xfId="0" applyFont="1" applyFill="1" applyBorder="1"/>
    <xf numFmtId="0" fontId="13" fillId="0" borderId="0" xfId="0" applyFont="1" applyFill="1" applyBorder="1"/>
    <xf numFmtId="10" fontId="0" fillId="0" borderId="0" xfId="0" applyNumberFormat="1" applyFill="1" applyBorder="1"/>
    <xf numFmtId="9" fontId="0" fillId="0" borderId="0" xfId="0" applyNumberFormat="1" applyFill="1" applyBorder="1"/>
    <xf numFmtId="177" fontId="0" fillId="0" borderId="0" xfId="0" applyNumberFormat="1" applyFill="1" applyBorder="1"/>
    <xf numFmtId="17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0" fontId="24" fillId="0" borderId="0" xfId="0" applyFont="1" applyFill="1"/>
    <xf numFmtId="14" fontId="10" fillId="0" borderId="0" xfId="0" applyNumberFormat="1" applyFont="1" applyFill="1" applyBorder="1"/>
    <xf numFmtId="164" fontId="11" fillId="0" borderId="0" xfId="1" applyNumberFormat="1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center"/>
    </xf>
    <xf numFmtId="41" fontId="10" fillId="0" borderId="0" xfId="1" applyNumberFormat="1" applyFont="1" applyFill="1" applyBorder="1"/>
    <xf numFmtId="3" fontId="2" fillId="0" borderId="0" xfId="0" applyNumberFormat="1" applyFont="1" applyFill="1" applyBorder="1"/>
    <xf numFmtId="165" fontId="2" fillId="0" borderId="0" xfId="0" applyNumberFormat="1" applyFont="1" applyFill="1" applyBorder="1"/>
    <xf numFmtId="41" fontId="11" fillId="0" borderId="0" xfId="1" applyNumberFormat="1" applyFont="1" applyFill="1" applyBorder="1"/>
    <xf numFmtId="43" fontId="11" fillId="0" borderId="0" xfId="1" applyFont="1" applyFill="1" applyBorder="1"/>
    <xf numFmtId="0" fontId="1" fillId="0" borderId="0" xfId="0" applyFont="1" applyFill="1" applyBorder="1"/>
    <xf numFmtId="0" fontId="12" fillId="0" borderId="0" xfId="0" applyFont="1" applyFill="1" applyBorder="1"/>
    <xf numFmtId="164" fontId="12" fillId="0" borderId="0" xfId="1" applyNumberFormat="1" applyFont="1" applyFill="1" applyBorder="1"/>
    <xf numFmtId="41" fontId="12" fillId="0" borderId="0" xfId="1" applyNumberFormat="1" applyFont="1" applyFill="1" applyBorder="1"/>
    <xf numFmtId="43" fontId="12" fillId="0" borderId="0" xfId="1" applyFont="1" applyFill="1" applyBorder="1"/>
    <xf numFmtId="0" fontId="9" fillId="6" borderId="9" xfId="4" applyFill="1" applyBorder="1" applyAlignment="1">
      <alignment horizontal="left"/>
    </xf>
    <xf numFmtId="164" fontId="11" fillId="6" borderId="3" xfId="1" applyNumberFormat="1" applyFont="1" applyFill="1" applyBorder="1"/>
    <xf numFmtId="0" fontId="2" fillId="6" borderId="9" xfId="0" applyFont="1" applyFill="1" applyBorder="1" applyAlignment="1">
      <alignment horizontal="left"/>
    </xf>
    <xf numFmtId="0" fontId="39" fillId="0" borderId="0" xfId="0" applyFont="1" applyBorder="1"/>
    <xf numFmtId="0" fontId="14" fillId="0" borderId="0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6" borderId="9" xfId="0" applyFont="1" applyFill="1" applyBorder="1" applyAlignment="1"/>
    <xf numFmtId="14" fontId="1" fillId="6" borderId="9" xfId="0" applyNumberFormat="1" applyFont="1" applyFill="1" applyBorder="1" applyAlignment="1">
      <alignment horizontal="left"/>
    </xf>
    <xf numFmtId="0" fontId="14" fillId="6" borderId="9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6" xfId="0" applyFont="1" applyFill="1" applyBorder="1"/>
    <xf numFmtId="14" fontId="1" fillId="0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/>
    <xf numFmtId="14" fontId="1" fillId="0" borderId="6" xfId="0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center"/>
    </xf>
    <xf numFmtId="0" fontId="20" fillId="0" borderId="6" xfId="4" applyFont="1" applyFill="1" applyBorder="1" applyAlignment="1">
      <alignment horizontal="center"/>
    </xf>
    <xf numFmtId="0" fontId="39" fillId="0" borderId="6" xfId="0" applyFont="1" applyFill="1" applyBorder="1"/>
    <xf numFmtId="3" fontId="2" fillId="0" borderId="6" xfId="0" applyNumberFormat="1" applyFont="1" applyFill="1" applyBorder="1"/>
    <xf numFmtId="165" fontId="2" fillId="0" borderId="6" xfId="0" applyNumberFormat="1" applyFont="1" applyFill="1" applyBorder="1"/>
    <xf numFmtId="0" fontId="2" fillId="4" borderId="0" xfId="0" applyFont="1" applyFill="1"/>
    <xf numFmtId="0" fontId="0" fillId="6" borderId="0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5" fillId="4" borderId="10" xfId="5" applyFill="1" applyBorder="1" applyAlignment="1">
      <alignment horizontal="center"/>
    </xf>
    <xf numFmtId="0" fontId="15" fillId="4" borderId="3" xfId="5" applyFill="1" applyBorder="1" applyAlignment="1">
      <alignment horizontal="center"/>
    </xf>
    <xf numFmtId="0" fontId="2" fillId="3" borderId="0" xfId="0" applyFont="1" applyFill="1"/>
    <xf numFmtId="0" fontId="8" fillId="3" borderId="3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2" fillId="2" borderId="0" xfId="0" applyFont="1" applyFill="1"/>
    <xf numFmtId="0" fontId="1" fillId="2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9" fillId="6" borderId="9" xfId="4" applyFill="1" applyBorder="1" applyAlignment="1">
      <alignment horizontal="left"/>
    </xf>
    <xf numFmtId="0" fontId="9" fillId="6" borderId="3" xfId="4" applyFill="1" applyBorder="1" applyAlignment="1">
      <alignment horizontal="center"/>
    </xf>
    <xf numFmtId="0" fontId="20" fillId="6" borderId="3" xfId="4" applyFont="1" applyFill="1" applyBorder="1" applyAlignment="1">
      <alignment horizontal="center"/>
    </xf>
    <xf numFmtId="0" fontId="0" fillId="6" borderId="9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14" fontId="1" fillId="6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/>
    </xf>
    <xf numFmtId="1" fontId="12" fillId="6" borderId="3" xfId="0" quotePrefix="1" applyNumberFormat="1" applyFont="1" applyFill="1" applyBorder="1" applyAlignment="1">
      <alignment horizontal="center"/>
    </xf>
    <xf numFmtId="1" fontId="12" fillId="6" borderId="3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4" fontId="0" fillId="0" borderId="0" xfId="0" applyNumberFormat="1" applyFill="1" applyBorder="1" applyAlignment="1"/>
    <xf numFmtId="174" fontId="50" fillId="0" borderId="0" xfId="0" applyNumberFormat="1" applyFont="1" applyFill="1" applyBorder="1" applyAlignment="1"/>
    <xf numFmtId="0" fontId="50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4" fontId="2" fillId="6" borderId="9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 wrapText="1"/>
    </xf>
    <xf numFmtId="17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14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left" wrapText="1"/>
    </xf>
  </cellXfs>
  <cellStyles count="10">
    <cellStyle name="Comma" xfId="1" builtinId="3"/>
    <cellStyle name="Comma 2" xfId="7" xr:uid="{00000000-0005-0000-0000-000001000000}"/>
    <cellStyle name="Currency" xfId="2" builtinId="4"/>
    <cellStyle name="Currency 2" xfId="6" xr:uid="{00000000-0005-0000-0000-000003000000}"/>
    <cellStyle name="Hyperlink" xfId="4" builtinId="8"/>
    <cellStyle name="Normal" xfId="0" builtinId="0"/>
    <cellStyle name="Normal 2" xfId="5" xr:uid="{00000000-0005-0000-0000-000006000000}"/>
    <cellStyle name="Normal 4" xfId="9" xr:uid="{00000000-0005-0000-0000-000007000000}"/>
    <cellStyle name="Percent" xfId="3" builtinId="5"/>
    <cellStyle name="Percent 2" xfId="8" xr:uid="{00000000-0005-0000-0000-000009000000}"/>
  </cellStyles>
  <dxfs count="0"/>
  <tableStyles count="0" defaultTableStyle="TableStyleMedium2" defaultPivotStyle="PivotStyleLight16"/>
  <colors>
    <mruColors>
      <color rgb="FFFFFFCC"/>
      <color rgb="FF99FF99"/>
      <color rgb="FF00FF00"/>
      <color rgb="FF3399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110066</xdr:colOff>
      <xdr:row>41</xdr:row>
      <xdr:rowOff>67732</xdr:rowOff>
    </xdr:from>
    <xdr:to>
      <xdr:col>15</xdr:col>
      <xdr:colOff>186266</xdr:colOff>
      <xdr:row>46</xdr:row>
      <xdr:rowOff>110066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DE926794-E069-4A3C-9BEC-A0AC25EF5F7C}"/>
            </a:ext>
          </a:extLst>
        </xdr:cNvPr>
        <xdr:cNvSpPr/>
      </xdr:nvSpPr>
      <xdr:spPr>
        <a:xfrm>
          <a:off x="11150599" y="6019799"/>
          <a:ext cx="76200" cy="75353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127000</xdr:colOff>
      <xdr:row>44</xdr:row>
      <xdr:rowOff>0</xdr:rowOff>
    </xdr:from>
    <xdr:to>
      <xdr:col>15</xdr:col>
      <xdr:colOff>778934</xdr:colOff>
      <xdr:row>47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E91CB2F-0D06-49E3-8BF7-8AAF8B990EC5}"/>
            </a:ext>
          </a:extLst>
        </xdr:cNvPr>
        <xdr:cNvCxnSpPr/>
      </xdr:nvCxnSpPr>
      <xdr:spPr>
        <a:xfrm flipV="1">
          <a:off x="11167533" y="6485467"/>
          <a:ext cx="651934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33867</xdr:colOff>
      <xdr:row>40</xdr:row>
      <xdr:rowOff>143933</xdr:rowOff>
    </xdr:from>
    <xdr:to>
      <xdr:col>15</xdr:col>
      <xdr:colOff>787400</xdr:colOff>
      <xdr:row>42</xdr:row>
      <xdr:rowOff>169333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60EA34C-8368-4EB6-910E-56856D6EAABE}"/>
            </a:ext>
          </a:extLst>
        </xdr:cNvPr>
        <xdr:cNvCxnSpPr/>
      </xdr:nvCxnSpPr>
      <xdr:spPr>
        <a:xfrm flipH="1" flipV="1">
          <a:off x="11074400" y="5918200"/>
          <a:ext cx="753533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110066</xdr:colOff>
      <xdr:row>55</xdr:row>
      <xdr:rowOff>101600</xdr:rowOff>
    </xdr:from>
    <xdr:to>
      <xdr:col>15</xdr:col>
      <xdr:colOff>685800</xdr:colOff>
      <xdr:row>55</xdr:row>
      <xdr:rowOff>101600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5822009-5756-4F23-A05A-81DE1E40F3A4}"/>
            </a:ext>
          </a:extLst>
        </xdr:cNvPr>
        <xdr:cNvCxnSpPr/>
      </xdr:nvCxnSpPr>
      <xdr:spPr>
        <a:xfrm>
          <a:off x="10735733" y="6942667"/>
          <a:ext cx="122766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109389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F5818-F687-403E-A79D-3022B5B46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38189" cy="536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456099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4BAB7-5169-437C-8D5B-8002AAFD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0"/>
          <a:ext cx="1950889" cy="536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284014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6CA6C7-1715-448C-B8F6-7119B5A63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12789" cy="5491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284014</xdr:colOff>
      <xdr:row>2</xdr:row>
      <xdr:rowOff>168194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425734-898A-4680-A6A7-79E8E347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12789" cy="54919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39</xdr:row>
      <xdr:rowOff>9524</xdr:rowOff>
    </xdr:from>
    <xdr:to>
      <xdr:col>9</xdr:col>
      <xdr:colOff>373107</xdr:colOff>
      <xdr:row>40</xdr:row>
      <xdr:rowOff>190499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E40BA8-5F2A-46DE-8097-9BD5FA71F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7467599"/>
          <a:ext cx="168755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15240</xdr:rowOff>
    </xdr:from>
    <xdr:to>
      <xdr:col>3</xdr:col>
      <xdr:colOff>457369</xdr:colOff>
      <xdr:row>2</xdr:row>
      <xdr:rowOff>131973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A47DAD-236A-4F8B-AEEC-1556FAFCD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15240"/>
          <a:ext cx="1714669" cy="4824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90339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38991-1C99-4749-AB2C-6F58BE387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1939" cy="5491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edt.net/data$/HGIA/1.%20%20Loan%20Program%20Type/3.%20Consumer%20Lease%20Programs/Laker%20#14/SEARLE, Robert_CL/Searle_GEM$ Residential HOMEOWNER UW_CS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gibility"/>
      <sheetName val="S1-Missing Info Ltr"/>
      <sheetName val="S1-Adverse Action"/>
      <sheetName val="S1_Contractor Decline Notice"/>
      <sheetName val="S1-Applicant Eligible Ltr"/>
      <sheetName val="S1-App Extension"/>
      <sheetName val="S2-SHW"/>
      <sheetName val="S2-PV-NEM"/>
      <sheetName val="S2-PV-NEM_Lease"/>
      <sheetName val="S2-PV-CGS"/>
      <sheetName val="S2-PV-CGS_Lease"/>
      <sheetName val="S2-PV-CGS Battery"/>
      <sheetName val="S2-PV-CGS Battery_Lease"/>
      <sheetName val="S2-PV-CGS+"/>
      <sheetName val="S2-PV-CSS"/>
      <sheetName val="S2-PV-CSS_Lease"/>
      <sheetName val="S2-Project Denial Letter"/>
      <sheetName val="S2-Project Deny-Counter-offer"/>
      <sheetName val="S2-Final Approval Ltr"/>
      <sheetName val="S2-Loan Docs Extension"/>
      <sheetName val="S2-NTP"/>
      <sheetName val="S3-Funding"/>
      <sheetName val="S3-Est First Pmt Date"/>
      <sheetName val="S3-Final TILA Ltr"/>
      <sheetName val="S3-Loan Checklist"/>
      <sheetName val="Amort"/>
    </sheetNames>
    <sheetDataSet>
      <sheetData sheetId="0">
        <row r="60">
          <cell r="D60" t="str">
            <v>Ryan Hamadon</v>
          </cell>
          <cell r="F60" t="str">
            <v>Program Officer</v>
          </cell>
          <cell r="I60" t="str">
            <v>ryan.r.hamadon@hawaii.gov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iel Pham" id="{FE048129-DEB0-624E-B659-1A19B4DB075C}" userId="8071c5718eccbeb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4" dT="2019-10-26T21:09:38.23" personId="{FE048129-DEB0-624E-B659-1A19B4DB075C}" id="{424C696B-19EB-334D-8E9A-E2D98F681E01}">
    <text>This is from HECO Effective Rate Schedule. See attached PDF in the External Sources zip folder.</text>
  </threadedComment>
  <threadedComment ref="E20" dT="2019-10-26T21:18:45.55" personId="{FE048129-DEB0-624E-B659-1A19B4DB075C}" id="{1AED08DA-0055-9D47-A25E-8AA13DFE05BE}">
    <text>Applicant will report the property owners, but we verify against the county website’s property search.</text>
  </threadedComment>
  <threadedComment ref="D28" dT="2019-10-26T21:12:30.13" personId="{FE048129-DEB0-624E-B659-1A19B4DB075C}" id="{950228FF-AB72-AD4B-A143-ED855D0C1551}">
    <text>This information is provided by HECO via email.</text>
  </threadedComment>
  <threadedComment ref="I38" dT="2019-10-26T21:16:02.96" personId="{FE048129-DEB0-624E-B659-1A19B4DB075C}" id="{6D6EA97C-4136-3E49-9543-055E0D324CF1}">
    <text>We verify whether the household qualifies as LMI by checking the reported income against the HUD Income Guidelines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donaldduck@disney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lackme@email.com" TargetMode="External"/><Relationship Id="rId1" Type="http://schemas.openxmlformats.org/officeDocument/2006/relationships/hyperlink" Target="mailto:mickeymouse@disney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lackme@email.com" TargetMode="External"/><Relationship Id="rId9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11"/>
  <sheetViews>
    <sheetView tabSelected="1" topLeftCell="A3" zoomScaleNormal="100" workbookViewId="0">
      <selection activeCell="I35" sqref="I35"/>
    </sheetView>
  </sheetViews>
  <sheetFormatPr baseColWidth="10" defaultColWidth="8.83203125" defaultRowHeight="15" x14ac:dyDescent="0.2"/>
  <cols>
    <col min="1" max="1" width="4" style="1" customWidth="1"/>
    <col min="2" max="2" width="8.5" style="1"/>
    <col min="3" max="3" width="13.5" style="1" customWidth="1"/>
    <col min="4" max="4" width="11.5" style="1" customWidth="1"/>
    <col min="5" max="5" width="12.83203125" style="1" customWidth="1"/>
    <col min="6" max="6" width="11.1640625" style="1" customWidth="1"/>
    <col min="7" max="7" width="12.1640625" style="1" customWidth="1"/>
    <col min="8" max="8" width="10.1640625" style="1" customWidth="1"/>
    <col min="9" max="9" width="13.1640625" style="1" customWidth="1"/>
    <col min="10" max="10" width="18.83203125" style="1" bestFit="1" customWidth="1"/>
    <col min="11" max="11" width="9.83203125" style="1" bestFit="1" customWidth="1"/>
    <col min="12" max="12" width="6.5" style="483" customWidth="1"/>
    <col min="13" max="13" width="17.83203125" style="1" bestFit="1" customWidth="1"/>
    <col min="14" max="14" width="15.83203125" customWidth="1"/>
    <col min="15" max="16" width="11.5" customWidth="1"/>
    <col min="17" max="17" width="10.5" customWidth="1"/>
    <col min="18" max="18" width="13.5" customWidth="1"/>
    <col min="19" max="20" width="12" customWidth="1"/>
    <col min="21" max="21" width="3.83203125" customWidth="1"/>
    <col min="22" max="22" width="15.1640625" customWidth="1"/>
    <col min="24" max="24" width="10.5" customWidth="1"/>
    <col min="25" max="25" width="3.5" customWidth="1"/>
    <col min="26" max="26" width="17" customWidth="1"/>
    <col min="27" max="27" width="10.5" customWidth="1"/>
    <col min="28" max="28" width="12.5" customWidth="1"/>
    <col min="29" max="29" width="4.5" customWidth="1"/>
    <col min="30" max="30" width="15.5" customWidth="1"/>
    <col min="31" max="31" width="10.5" customWidth="1"/>
    <col min="32" max="32" width="11.5" customWidth="1"/>
  </cols>
  <sheetData>
    <row r="1" spans="1:32" x14ac:dyDescent="0.2">
      <c r="B1" s="6" t="s">
        <v>463</v>
      </c>
    </row>
    <row r="2" spans="1:32" x14ac:dyDescent="0.2">
      <c r="B2" s="498"/>
      <c r="C2" s="1" t="s">
        <v>464</v>
      </c>
    </row>
    <row r="3" spans="1:32" x14ac:dyDescent="0.2">
      <c r="B3" s="497"/>
      <c r="C3" s="1" t="s">
        <v>467</v>
      </c>
    </row>
    <row r="4" spans="1:32" x14ac:dyDescent="0.2">
      <c r="B4" s="502"/>
      <c r="C4" s="1" t="s">
        <v>465</v>
      </c>
    </row>
    <row r="5" spans="1:32" x14ac:dyDescent="0.2">
      <c r="B5" s="508"/>
      <c r="C5" s="1" t="s">
        <v>466</v>
      </c>
    </row>
    <row r="9" spans="1:32" x14ac:dyDescent="0.2">
      <c r="A9" s="311" t="s">
        <v>135</v>
      </c>
      <c r="B9" s="312"/>
      <c r="C9" s="313"/>
      <c r="D9" s="312"/>
      <c r="E9" s="312"/>
      <c r="F9" s="312"/>
      <c r="G9" s="312"/>
      <c r="H9" s="312"/>
      <c r="I9" s="312"/>
      <c r="J9" s="312"/>
      <c r="K9" s="312"/>
    </row>
    <row r="10" spans="1:32" x14ac:dyDescent="0.2">
      <c r="A10" s="314" t="s">
        <v>6</v>
      </c>
      <c r="B10" s="2"/>
      <c r="C10" s="2"/>
      <c r="D10" s="521" t="s">
        <v>444</v>
      </c>
      <c r="E10" s="521"/>
      <c r="F10" s="521"/>
      <c r="G10" s="521"/>
      <c r="H10" s="521"/>
      <c r="I10" s="3" t="s">
        <v>0</v>
      </c>
      <c r="J10" s="522">
        <v>43760</v>
      </c>
      <c r="K10" s="522"/>
      <c r="L10" s="484"/>
      <c r="M10" s="44" t="s">
        <v>140</v>
      </c>
      <c r="N10" s="518" t="str">
        <f>D11</f>
        <v>Olani Street</v>
      </c>
      <c r="O10" s="519"/>
    </row>
    <row r="11" spans="1:32" x14ac:dyDescent="0.2">
      <c r="A11" s="314" t="s">
        <v>40</v>
      </c>
      <c r="B11" s="2"/>
      <c r="C11" s="2"/>
      <c r="D11" s="521" t="s">
        <v>451</v>
      </c>
      <c r="E11" s="521"/>
      <c r="F11" s="521"/>
      <c r="G11" s="521"/>
      <c r="H11" s="521"/>
      <c r="I11" s="3"/>
      <c r="J11" s="523"/>
      <c r="K11" s="524"/>
      <c r="L11" s="485"/>
      <c r="M11" s="44" t="s">
        <v>141</v>
      </c>
      <c r="N11" s="518" t="str">
        <f>D12</f>
        <v>Kapolei, HI 96707</v>
      </c>
      <c r="O11" s="519"/>
    </row>
    <row r="12" spans="1:32" x14ac:dyDescent="0.2">
      <c r="A12" s="314" t="s">
        <v>41</v>
      </c>
      <c r="B12" s="2"/>
      <c r="C12" s="2"/>
      <c r="D12" s="521" t="s">
        <v>445</v>
      </c>
      <c r="E12" s="521"/>
      <c r="F12" s="521"/>
      <c r="G12" s="521"/>
      <c r="H12" s="521"/>
      <c r="I12" s="3" t="s">
        <v>1</v>
      </c>
      <c r="J12" s="351" t="s">
        <v>356</v>
      </c>
      <c r="K12" s="8"/>
      <c r="L12" s="485"/>
      <c r="N12" s="17" t="s">
        <v>116</v>
      </c>
      <c r="O12" s="14"/>
      <c r="P12" s="394">
        <v>43739</v>
      </c>
    </row>
    <row r="13" spans="1:32" s="79" customFormat="1" x14ac:dyDescent="0.2">
      <c r="A13" s="315"/>
      <c r="B13" s="76"/>
      <c r="C13" s="76"/>
      <c r="D13" s="75"/>
      <c r="E13" s="75"/>
      <c r="F13" s="75"/>
      <c r="G13" s="75"/>
      <c r="H13" s="75"/>
      <c r="I13" s="80"/>
      <c r="J13" s="77"/>
      <c r="K13" s="78"/>
      <c r="L13" s="485"/>
      <c r="N13" s="396" t="s">
        <v>351</v>
      </c>
      <c r="O13" s="365" t="s">
        <v>29</v>
      </c>
      <c r="P13" s="366" t="s">
        <v>139</v>
      </c>
      <c r="R13" s="395" t="s">
        <v>352</v>
      </c>
      <c r="S13" s="365" t="s">
        <v>29</v>
      </c>
      <c r="T13" s="366" t="s">
        <v>139</v>
      </c>
      <c r="V13" s="395" t="s">
        <v>353</v>
      </c>
      <c r="W13" s="365" t="s">
        <v>29</v>
      </c>
      <c r="X13" s="366" t="s">
        <v>139</v>
      </c>
      <c r="Z13" s="395" t="s">
        <v>354</v>
      </c>
      <c r="AA13" s="365" t="s">
        <v>29</v>
      </c>
      <c r="AB13" s="366" t="s">
        <v>139</v>
      </c>
      <c r="AD13" s="395" t="s">
        <v>355</v>
      </c>
      <c r="AE13" s="365" t="s">
        <v>29</v>
      </c>
      <c r="AF13" s="366" t="s">
        <v>139</v>
      </c>
    </row>
    <row r="14" spans="1:32" s="79" customFormat="1" x14ac:dyDescent="0.2">
      <c r="A14" s="315" t="s">
        <v>325</v>
      </c>
      <c r="B14" s="76"/>
      <c r="C14" s="76"/>
      <c r="D14" s="356" t="s">
        <v>446</v>
      </c>
      <c r="E14" s="357"/>
      <c r="F14" s="75"/>
      <c r="G14" s="355" t="s">
        <v>326</v>
      </c>
      <c r="H14" s="472" t="s">
        <v>447</v>
      </c>
      <c r="I14" s="84"/>
      <c r="J14" s="358"/>
      <c r="K14" s="82"/>
      <c r="L14" s="485"/>
      <c r="M14" s="361"/>
      <c r="N14" s="86" t="s">
        <v>136</v>
      </c>
      <c r="O14" s="500">
        <v>350</v>
      </c>
      <c r="P14" s="501">
        <v>0.27848099999999998</v>
      </c>
      <c r="Q14" s="367"/>
      <c r="R14" s="86" t="s">
        <v>136</v>
      </c>
      <c r="S14" s="501">
        <v>300</v>
      </c>
      <c r="T14" s="501">
        <v>0.31112200000000001</v>
      </c>
      <c r="U14" s="367"/>
      <c r="V14" s="86" t="s">
        <v>136</v>
      </c>
      <c r="W14" s="501">
        <v>350</v>
      </c>
      <c r="X14" s="501">
        <v>0.30573400000000001</v>
      </c>
      <c r="Y14" s="367"/>
      <c r="Z14" s="86" t="s">
        <v>136</v>
      </c>
      <c r="AA14" s="501">
        <v>250</v>
      </c>
      <c r="AB14" s="501">
        <v>0.38618400000000003</v>
      </c>
      <c r="AC14" s="367"/>
      <c r="AD14" s="86" t="s">
        <v>136</v>
      </c>
      <c r="AE14" s="501">
        <v>250</v>
      </c>
      <c r="AF14" s="501">
        <v>0.33718500000000001</v>
      </c>
    </row>
    <row r="15" spans="1:32" s="79" customFormat="1" x14ac:dyDescent="0.2">
      <c r="A15" s="315"/>
      <c r="B15" s="76"/>
      <c r="C15" s="76"/>
      <c r="D15" s="75"/>
      <c r="E15" s="75"/>
      <c r="F15" s="75"/>
      <c r="G15" s="75"/>
      <c r="H15" s="75"/>
      <c r="I15" s="80"/>
      <c r="J15" s="77"/>
      <c r="K15" s="78"/>
      <c r="L15" s="485"/>
      <c r="M15" s="76"/>
      <c r="N15" s="86" t="s">
        <v>137</v>
      </c>
      <c r="O15" s="500">
        <v>850</v>
      </c>
      <c r="P15" s="501">
        <v>0.290016</v>
      </c>
      <c r="Q15" s="315"/>
      <c r="R15" s="86" t="s">
        <v>137</v>
      </c>
      <c r="S15" s="501">
        <v>700</v>
      </c>
      <c r="T15" s="501">
        <v>0.34464</v>
      </c>
      <c r="U15" s="315"/>
      <c r="V15" s="86" t="s">
        <v>137</v>
      </c>
      <c r="W15" s="501">
        <v>850</v>
      </c>
      <c r="X15" s="501">
        <v>0.32833400000000001</v>
      </c>
      <c r="Y15" s="315"/>
      <c r="Z15" s="86" t="s">
        <v>137</v>
      </c>
      <c r="AA15" s="501">
        <v>500</v>
      </c>
      <c r="AB15" s="501">
        <v>0.41118399999999999</v>
      </c>
      <c r="AC15" s="315"/>
      <c r="AD15" s="86" t="s">
        <v>137</v>
      </c>
      <c r="AE15" s="501">
        <v>500</v>
      </c>
      <c r="AF15" s="501">
        <v>0.36368499999999998</v>
      </c>
    </row>
    <row r="16" spans="1:32" s="79" customFormat="1" x14ac:dyDescent="0.2">
      <c r="A16" s="57"/>
      <c r="B16" s="316" t="s">
        <v>148</v>
      </c>
      <c r="C16" s="76"/>
      <c r="D16" s="75"/>
      <c r="E16" s="101">
        <v>43757</v>
      </c>
      <c r="F16" s="317"/>
      <c r="G16" s="317"/>
      <c r="H16" s="317" t="s">
        <v>160</v>
      </c>
      <c r="I16" s="109">
        <f>EDATE(E16,1)</f>
        <v>43788</v>
      </c>
      <c r="J16" s="317" t="s">
        <v>161</v>
      </c>
      <c r="K16" s="477"/>
      <c r="L16" s="486"/>
      <c r="M16" s="76"/>
      <c r="N16" s="86" t="s">
        <v>138</v>
      </c>
      <c r="O16" s="500">
        <v>1200</v>
      </c>
      <c r="P16" s="501">
        <v>0.30879000000000001</v>
      </c>
      <c r="Q16" s="315"/>
      <c r="R16" s="86" t="s">
        <v>138</v>
      </c>
      <c r="S16" s="501">
        <v>1000</v>
      </c>
      <c r="T16" s="501">
        <v>0.355632</v>
      </c>
      <c r="U16" s="315"/>
      <c r="V16" s="86" t="s">
        <v>138</v>
      </c>
      <c r="W16" s="501">
        <v>1200</v>
      </c>
      <c r="X16" s="501">
        <v>0.33473399999999998</v>
      </c>
      <c r="Y16" s="315"/>
      <c r="Z16" s="86" t="s">
        <v>138</v>
      </c>
      <c r="AA16" s="501">
        <v>750</v>
      </c>
      <c r="AB16" s="501">
        <v>0.418184</v>
      </c>
      <c r="AC16" s="315"/>
      <c r="AD16" s="86" t="s">
        <v>138</v>
      </c>
      <c r="AE16" s="501">
        <v>750</v>
      </c>
      <c r="AF16" s="501">
        <v>0.37518499999999999</v>
      </c>
    </row>
    <row r="17" spans="1:29" x14ac:dyDescent="0.2">
      <c r="A17" s="314"/>
      <c r="B17" s="363" t="s">
        <v>343</v>
      </c>
      <c r="C17" s="2"/>
      <c r="D17" s="9"/>
      <c r="E17" s="9"/>
      <c r="F17" s="353">
        <v>43760</v>
      </c>
      <c r="G17" s="9"/>
      <c r="H17" s="9"/>
      <c r="I17" s="3"/>
      <c r="J17" s="8"/>
      <c r="K17" s="8"/>
      <c r="L17" s="485"/>
      <c r="Q17" s="40"/>
      <c r="U17" s="65"/>
      <c r="Y17" s="65"/>
      <c r="AC17" s="65"/>
    </row>
    <row r="18" spans="1:29" x14ac:dyDescent="0.2">
      <c r="A18" s="314"/>
      <c r="B18" s="363" t="s">
        <v>437</v>
      </c>
      <c r="C18" s="2"/>
      <c r="D18" s="9"/>
      <c r="E18" s="9"/>
      <c r="F18" s="442"/>
      <c r="G18" s="9"/>
      <c r="H18" s="9"/>
      <c r="I18" s="3"/>
      <c r="J18" s="8"/>
      <c r="K18" s="8"/>
      <c r="L18" s="485"/>
      <c r="Q18" s="40"/>
      <c r="U18" s="65"/>
      <c r="Y18" s="65"/>
      <c r="AC18" s="65"/>
    </row>
    <row r="19" spans="1:29" x14ac:dyDescent="0.2">
      <c r="A19" s="314" t="s">
        <v>8</v>
      </c>
      <c r="B19" s="2"/>
      <c r="C19" s="2"/>
      <c r="D19" s="2"/>
      <c r="E19" s="2"/>
      <c r="F19" s="509" t="s">
        <v>448</v>
      </c>
      <c r="G19" s="2" t="s">
        <v>5</v>
      </c>
      <c r="H19" s="8"/>
      <c r="I19" s="509"/>
      <c r="J19" s="2" t="s">
        <v>153</v>
      </c>
      <c r="K19" s="2"/>
      <c r="M19" s="2"/>
      <c r="Q19" s="40"/>
    </row>
    <row r="20" spans="1:29" x14ac:dyDescent="0.2">
      <c r="A20" s="314" t="s">
        <v>45</v>
      </c>
      <c r="B20" s="2"/>
      <c r="C20" s="2"/>
      <c r="D20" s="2"/>
      <c r="E20" s="525" t="s">
        <v>449</v>
      </c>
      <c r="F20" s="526"/>
      <c r="G20" s="526"/>
      <c r="H20" s="526"/>
      <c r="I20" s="526"/>
      <c r="J20" s="526"/>
      <c r="K20" s="526"/>
      <c r="L20" s="487"/>
      <c r="W20" s="368" t="s">
        <v>356</v>
      </c>
      <c r="X20" s="369"/>
    </row>
    <row r="21" spans="1:29" x14ac:dyDescent="0.2">
      <c r="A21" s="314"/>
      <c r="B21" s="2" t="s">
        <v>438</v>
      </c>
      <c r="C21" s="2"/>
      <c r="D21" s="2"/>
      <c r="E21" s="529" t="s">
        <v>450</v>
      </c>
      <c r="F21" s="530"/>
      <c r="G21" s="530"/>
      <c r="H21" s="519"/>
      <c r="I21" s="440"/>
      <c r="J21" s="440"/>
      <c r="K21" s="440"/>
      <c r="L21" s="487"/>
      <c r="W21" s="370" t="s">
        <v>357</v>
      </c>
      <c r="X21" s="371"/>
    </row>
    <row r="22" spans="1:29" x14ac:dyDescent="0.2">
      <c r="A22" s="314"/>
      <c r="B22" s="2" t="s">
        <v>439</v>
      </c>
      <c r="C22" s="2"/>
      <c r="D22" s="2"/>
      <c r="E22" s="529" t="s">
        <v>445</v>
      </c>
      <c r="F22" s="530"/>
      <c r="G22" s="530"/>
      <c r="H22" s="519"/>
      <c r="I22" s="75"/>
      <c r="J22" s="441"/>
      <c r="K22" s="441"/>
      <c r="L22" s="487"/>
      <c r="W22" s="370" t="s">
        <v>358</v>
      </c>
      <c r="X22" s="371"/>
    </row>
    <row r="23" spans="1:29" x14ac:dyDescent="0.2">
      <c r="A23" s="314" t="s">
        <v>4</v>
      </c>
      <c r="B23" s="2"/>
      <c r="C23" s="2"/>
      <c r="D23" s="521" t="s">
        <v>444</v>
      </c>
      <c r="E23" s="521"/>
      <c r="F23" s="3" t="s">
        <v>3</v>
      </c>
      <c r="G23" s="527">
        <v>200000020000</v>
      </c>
      <c r="H23" s="528"/>
      <c r="I23" s="3" t="s">
        <v>2</v>
      </c>
      <c r="J23" s="531"/>
      <c r="K23" s="531"/>
      <c r="L23" s="488"/>
      <c r="M23" s="5" t="s">
        <v>144</v>
      </c>
      <c r="N23" s="347" t="s">
        <v>462</v>
      </c>
      <c r="O23" s="74"/>
      <c r="W23" s="370" t="s">
        <v>359</v>
      </c>
      <c r="X23" s="371"/>
    </row>
    <row r="24" spans="1:29" x14ac:dyDescent="0.2">
      <c r="A24" s="314" t="s">
        <v>49</v>
      </c>
      <c r="B24" s="2"/>
      <c r="C24" s="2"/>
      <c r="D24" s="9" t="s">
        <v>50</v>
      </c>
      <c r="E24" s="351"/>
      <c r="F24" s="3"/>
      <c r="G24" s="12" t="s">
        <v>89</v>
      </c>
      <c r="H24" s="54"/>
      <c r="I24" s="3"/>
      <c r="J24" s="8" t="s">
        <v>51</v>
      </c>
      <c r="K24" s="478"/>
      <c r="L24" s="489"/>
      <c r="M24" s="5"/>
      <c r="N24" s="347" t="s">
        <v>366</v>
      </c>
      <c r="O24" s="74"/>
      <c r="W24" s="372" t="s">
        <v>360</v>
      </c>
      <c r="X24" s="373"/>
    </row>
    <row r="25" spans="1:29" x14ac:dyDescent="0.2">
      <c r="A25" s="314"/>
      <c r="B25" s="443" t="s">
        <v>442</v>
      </c>
      <c r="C25" s="2"/>
      <c r="D25" s="9"/>
      <c r="E25" s="9"/>
      <c r="F25" s="3"/>
      <c r="G25" s="12"/>
      <c r="H25" s="13"/>
      <c r="I25" s="3"/>
      <c r="J25" s="8"/>
      <c r="K25" s="8"/>
      <c r="L25" s="485"/>
      <c r="M25" s="5"/>
      <c r="N25" s="347" t="s">
        <v>366</v>
      </c>
      <c r="O25" s="74"/>
    </row>
    <row r="26" spans="1:29" x14ac:dyDescent="0.2">
      <c r="A26" s="314" t="s">
        <v>126</v>
      </c>
      <c r="B26" s="2"/>
      <c r="C26" s="2"/>
      <c r="D26" s="2"/>
      <c r="E26" s="75"/>
      <c r="F26" s="75"/>
      <c r="G26" s="75"/>
      <c r="H26" s="75"/>
      <c r="I26" s="348"/>
      <c r="J26" s="80" t="s">
        <v>127</v>
      </c>
      <c r="K26" s="479"/>
      <c r="L26" s="490"/>
      <c r="N26" s="347" t="s">
        <v>366</v>
      </c>
      <c r="O26" s="74"/>
      <c r="W26" s="65"/>
      <c r="X26" s="65"/>
    </row>
    <row r="27" spans="1:29" x14ac:dyDescent="0.2">
      <c r="A27" s="314" t="s">
        <v>46</v>
      </c>
      <c r="B27" s="2"/>
      <c r="C27" s="2"/>
      <c r="D27" s="2"/>
      <c r="E27" s="9"/>
      <c r="F27" s="9"/>
      <c r="G27" s="9"/>
      <c r="H27" s="9"/>
      <c r="I27" s="9"/>
      <c r="J27" s="9"/>
      <c r="K27" s="9"/>
      <c r="L27" s="491"/>
      <c r="W27" s="65"/>
      <c r="X27" s="65"/>
    </row>
    <row r="28" spans="1:29" x14ac:dyDescent="0.2">
      <c r="A28" s="314" t="s">
        <v>47</v>
      </c>
      <c r="B28" s="2"/>
      <c r="C28" s="2"/>
      <c r="D28" s="499">
        <v>0</v>
      </c>
      <c r="E28" s="9"/>
      <c r="F28" s="9" t="s">
        <v>128</v>
      </c>
      <c r="G28" s="9"/>
      <c r="H28" s="9"/>
      <c r="I28" s="91"/>
      <c r="J28" s="9"/>
      <c r="K28" s="9"/>
      <c r="L28" s="491"/>
      <c r="M28" s="1" t="s">
        <v>235</v>
      </c>
      <c r="Q28" s="76"/>
      <c r="R28" s="254"/>
      <c r="S28" s="254"/>
      <c r="T28" s="254"/>
      <c r="W28" s="65"/>
      <c r="X28" s="65"/>
    </row>
    <row r="29" spans="1:29" x14ac:dyDescent="0.2">
      <c r="A29" s="314" t="s">
        <v>52</v>
      </c>
      <c r="B29" s="2"/>
      <c r="C29" s="2"/>
      <c r="D29" s="505">
        <v>40784</v>
      </c>
      <c r="E29" s="9"/>
      <c r="F29" s="2" t="s">
        <v>48</v>
      </c>
      <c r="G29" s="2"/>
      <c r="H29" s="2"/>
      <c r="I29" s="351"/>
      <c r="J29" s="80" t="s">
        <v>341</v>
      </c>
      <c r="K29" s="474"/>
      <c r="L29" s="491"/>
      <c r="M29" s="14" t="s">
        <v>173</v>
      </c>
      <c r="N29" s="22"/>
      <c r="O29" s="92">
        <v>1414</v>
      </c>
      <c r="P29" s="87"/>
      <c r="Q29" s="40"/>
      <c r="R29" s="254"/>
      <c r="S29" s="90"/>
      <c r="T29" s="90"/>
      <c r="W29" s="65"/>
      <c r="X29" s="65"/>
    </row>
    <row r="30" spans="1:29" x14ac:dyDescent="0.2">
      <c r="A30" s="314" t="s">
        <v>37</v>
      </c>
      <c r="B30" s="2"/>
      <c r="C30" s="2"/>
      <c r="D30" s="351"/>
      <c r="E30" s="9"/>
      <c r="F30" s="2" t="s">
        <v>38</v>
      </c>
      <c r="G30" s="2"/>
      <c r="H30" s="2"/>
      <c r="I30" s="351"/>
      <c r="J30" s="9"/>
      <c r="K30" s="9"/>
      <c r="L30" s="491"/>
      <c r="M30" s="106" t="s">
        <v>381</v>
      </c>
      <c r="N30" s="67"/>
      <c r="O30" s="67"/>
      <c r="U30" s="87"/>
      <c r="V30" s="14"/>
      <c r="W30" s="65"/>
      <c r="X30" s="65"/>
    </row>
    <row r="31" spans="1:29" x14ac:dyDescent="0.2">
      <c r="A31" s="314" t="s">
        <v>36</v>
      </c>
      <c r="B31" s="2"/>
      <c r="C31" s="2"/>
      <c r="D31" s="351"/>
      <c r="E31" s="9"/>
      <c r="F31" s="2" t="s">
        <v>39</v>
      </c>
      <c r="G31" s="2"/>
      <c r="H31" s="2"/>
      <c r="I31" s="351"/>
      <c r="J31" s="9"/>
      <c r="K31" s="9"/>
      <c r="L31" s="491"/>
      <c r="M31" s="4" t="s">
        <v>198</v>
      </c>
      <c r="N31" s="70">
        <f>(J66-J65)*0.3</f>
        <v>2100</v>
      </c>
      <c r="R31" s="67" t="s">
        <v>320</v>
      </c>
      <c r="T31" t="s">
        <v>367</v>
      </c>
    </row>
    <row r="32" spans="1:29" x14ac:dyDescent="0.2">
      <c r="A32" s="314"/>
      <c r="B32" s="2"/>
      <c r="C32" s="2"/>
      <c r="D32" s="2"/>
      <c r="E32" s="9">
        <f>IF((E25-E26)&gt;E27,E28,(E25-E26)*(1-Eligibility!$T$68))</f>
        <v>0</v>
      </c>
      <c r="F32" s="9"/>
      <c r="G32" s="9"/>
      <c r="H32" s="9"/>
      <c r="I32" s="9"/>
      <c r="J32" s="9"/>
      <c r="K32" s="9"/>
      <c r="L32" s="491"/>
      <c r="M32" s="4" t="s">
        <v>199</v>
      </c>
      <c r="N32" s="73">
        <f>0.35*J66</f>
        <v>3255</v>
      </c>
      <c r="O32" s="93" t="s">
        <v>200</v>
      </c>
      <c r="P32" s="94">
        <v>0.35</v>
      </c>
      <c r="Q32" t="s">
        <v>203</v>
      </c>
      <c r="R32" t="s">
        <v>321</v>
      </c>
      <c r="S32" s="72">
        <v>300</v>
      </c>
      <c r="T32" s="349">
        <v>300</v>
      </c>
    </row>
    <row r="33" spans="1:20" x14ac:dyDescent="0.2">
      <c r="A33" s="314" t="s">
        <v>130</v>
      </c>
      <c r="B33" s="2" t="s">
        <v>44</v>
      </c>
      <c r="C33" s="2"/>
      <c r="D33" s="2"/>
      <c r="E33" s="2"/>
      <c r="F33" s="2"/>
      <c r="G33" s="2"/>
      <c r="H33" s="3" t="s">
        <v>34</v>
      </c>
      <c r="I33" s="55" t="s">
        <v>452</v>
      </c>
      <c r="J33" s="3" t="s">
        <v>35</v>
      </c>
      <c r="K33" s="480"/>
      <c r="L33" s="492"/>
      <c r="O33" s="93" t="s">
        <v>201</v>
      </c>
      <c r="P33" s="103">
        <v>0.245</v>
      </c>
      <c r="Q33" t="s">
        <v>203</v>
      </c>
      <c r="R33" t="s">
        <v>321</v>
      </c>
      <c r="S33" s="72">
        <v>300</v>
      </c>
      <c r="T33" s="349">
        <v>300</v>
      </c>
    </row>
    <row r="34" spans="1:20" x14ac:dyDescent="0.2">
      <c r="A34" s="314"/>
      <c r="B34" s="2" t="s">
        <v>10</v>
      </c>
      <c r="C34" s="2"/>
      <c r="D34" s="2"/>
      <c r="E34" s="2"/>
      <c r="F34" s="2"/>
      <c r="G34" s="2"/>
      <c r="H34" s="3" t="s">
        <v>34</v>
      </c>
      <c r="I34" s="55" t="s">
        <v>452</v>
      </c>
      <c r="J34" s="3" t="s">
        <v>35</v>
      </c>
      <c r="K34" s="480"/>
      <c r="L34" s="492"/>
      <c r="M34" s="4" t="s">
        <v>234</v>
      </c>
      <c r="N34" s="72">
        <v>1</v>
      </c>
      <c r="O34" s="93" t="s">
        <v>202</v>
      </c>
      <c r="P34" s="69">
        <v>2250</v>
      </c>
      <c r="R34" t="s">
        <v>322</v>
      </c>
      <c r="S34" s="72">
        <v>1400</v>
      </c>
      <c r="T34" s="349">
        <v>1400</v>
      </c>
    </row>
    <row r="35" spans="1:20" x14ac:dyDescent="0.2">
      <c r="A35" s="314"/>
      <c r="B35" s="2" t="s">
        <v>53</v>
      </c>
      <c r="C35" s="2"/>
      <c r="D35" s="3"/>
      <c r="E35" s="8"/>
      <c r="F35" s="2"/>
      <c r="G35" s="10"/>
      <c r="H35" s="3" t="s">
        <v>34</v>
      </c>
      <c r="I35" s="506" t="s">
        <v>452</v>
      </c>
      <c r="J35" s="3" t="s">
        <v>35</v>
      </c>
      <c r="K35" s="507"/>
      <c r="L35" s="492"/>
      <c r="R35" t="s">
        <v>321</v>
      </c>
      <c r="S35" s="72">
        <v>300</v>
      </c>
      <c r="T35" s="349">
        <v>300</v>
      </c>
    </row>
    <row r="36" spans="1:20" x14ac:dyDescent="0.2">
      <c r="A36" s="314"/>
      <c r="B36" s="2" t="s">
        <v>125</v>
      </c>
      <c r="C36" s="2"/>
      <c r="D36" s="3"/>
      <c r="E36" s="8"/>
      <c r="F36" s="2"/>
      <c r="G36" s="3"/>
      <c r="H36" s="3" t="s">
        <v>34</v>
      </c>
      <c r="I36" s="506" t="s">
        <v>452</v>
      </c>
      <c r="J36" s="3" t="s">
        <v>35</v>
      </c>
      <c r="K36" s="507"/>
      <c r="L36" s="492"/>
    </row>
    <row r="37" spans="1:20" x14ac:dyDescent="0.2">
      <c r="A37" s="314"/>
      <c r="B37" s="2" t="s">
        <v>54</v>
      </c>
      <c r="C37" s="2"/>
      <c r="D37" s="3"/>
      <c r="E37" s="8"/>
      <c r="F37" s="2"/>
      <c r="G37" s="3"/>
      <c r="H37" s="3" t="s">
        <v>34</v>
      </c>
      <c r="I37" s="506" t="s">
        <v>452</v>
      </c>
      <c r="J37" s="3" t="s">
        <v>35</v>
      </c>
      <c r="K37" s="507"/>
      <c r="L37" s="492"/>
    </row>
    <row r="38" spans="1:20" x14ac:dyDescent="0.2">
      <c r="A38" s="314"/>
      <c r="B38" s="2" t="s">
        <v>435</v>
      </c>
      <c r="C38" s="2"/>
      <c r="D38" s="3"/>
      <c r="E38" s="8"/>
      <c r="F38" s="88" t="s">
        <v>436</v>
      </c>
      <c r="G38" s="439">
        <v>75000</v>
      </c>
      <c r="H38" s="3" t="s">
        <v>34</v>
      </c>
      <c r="I38" s="503" t="s">
        <v>452</v>
      </c>
      <c r="J38" s="3" t="s">
        <v>35</v>
      </c>
      <c r="K38" s="504"/>
      <c r="L38" s="492"/>
    </row>
    <row r="39" spans="1:20" x14ac:dyDescent="0.2">
      <c r="A39" s="314"/>
      <c r="B39" s="2" t="s">
        <v>440</v>
      </c>
      <c r="C39" s="2"/>
      <c r="D39" s="3"/>
      <c r="E39" s="8"/>
      <c r="F39" s="2"/>
      <c r="G39" s="3"/>
      <c r="H39" s="3" t="s">
        <v>34</v>
      </c>
      <c r="I39" s="55"/>
      <c r="J39" s="3" t="s">
        <v>35</v>
      </c>
      <c r="K39" s="480"/>
      <c r="L39" s="492"/>
    </row>
    <row r="40" spans="1:20" x14ac:dyDescent="0.2">
      <c r="A40" s="314"/>
      <c r="B40" s="2" t="s">
        <v>441</v>
      </c>
      <c r="C40" s="2"/>
      <c r="D40" s="3"/>
      <c r="E40" s="8"/>
      <c r="F40" s="2"/>
      <c r="G40" s="3"/>
      <c r="H40" s="3" t="s">
        <v>34</v>
      </c>
      <c r="I40" s="55"/>
      <c r="J40" s="3" t="s">
        <v>35</v>
      </c>
      <c r="K40" s="480"/>
      <c r="L40" s="492"/>
    </row>
    <row r="41" spans="1:20" x14ac:dyDescent="0.2">
      <c r="A41" s="314"/>
      <c r="B41" s="2"/>
      <c r="C41" s="3" t="s">
        <v>129</v>
      </c>
      <c r="D41" s="81"/>
      <c r="E41" s="82"/>
      <c r="F41" s="83"/>
      <c r="G41" s="84"/>
      <c r="H41" s="85"/>
      <c r="I41" s="2"/>
      <c r="J41" s="3"/>
      <c r="K41" s="8"/>
      <c r="L41" s="485"/>
      <c r="M41" s="4"/>
      <c r="N41" s="6" t="s">
        <v>157</v>
      </c>
      <c r="O41" s="57">
        <v>2</v>
      </c>
      <c r="P41" s="1"/>
      <c r="Q41" s="1"/>
      <c r="R41" s="1"/>
      <c r="S41" s="1"/>
      <c r="T41" s="1"/>
    </row>
    <row r="42" spans="1:20" s="79" customFormat="1" x14ac:dyDescent="0.2">
      <c r="A42" s="315" t="s">
        <v>131</v>
      </c>
      <c r="B42" s="76" t="s">
        <v>132</v>
      </c>
      <c r="C42" s="80"/>
      <c r="D42" s="80"/>
      <c r="E42" s="78"/>
      <c r="F42" s="76"/>
      <c r="G42" s="80"/>
      <c r="H42" s="78"/>
      <c r="I42" s="76"/>
      <c r="J42" s="80"/>
      <c r="K42" s="78"/>
      <c r="L42" s="485"/>
      <c r="M42" s="1"/>
      <c r="N42" s="4" t="s">
        <v>164</v>
      </c>
      <c r="O42" s="57">
        <v>2</v>
      </c>
      <c r="P42" s="1"/>
      <c r="Q42" s="1"/>
      <c r="R42" s="1"/>
      <c r="S42" s="1"/>
      <c r="T42" s="1"/>
    </row>
    <row r="43" spans="1:20" x14ac:dyDescent="0.2">
      <c r="A43" s="314"/>
      <c r="B43" s="2" t="s">
        <v>86</v>
      </c>
      <c r="C43" s="2"/>
      <c r="D43" s="56" t="s">
        <v>453</v>
      </c>
      <c r="E43" s="3" t="s">
        <v>87</v>
      </c>
      <c r="F43" s="97" t="s">
        <v>454</v>
      </c>
      <c r="G43" s="98"/>
      <c r="H43" s="2" t="s">
        <v>43</v>
      </c>
      <c r="I43" s="516" t="s">
        <v>455</v>
      </c>
      <c r="J43" s="517"/>
      <c r="K43" s="517"/>
      <c r="L43" s="493"/>
      <c r="N43" s="4" t="s">
        <v>165</v>
      </c>
      <c r="O43" s="57">
        <v>0</v>
      </c>
      <c r="P43" s="1"/>
      <c r="Q43" s="1"/>
      <c r="R43" s="1"/>
      <c r="S43" s="1"/>
      <c r="T43" s="1"/>
    </row>
    <row r="44" spans="1:20" x14ac:dyDescent="0.2">
      <c r="A44" s="314"/>
      <c r="B44" s="2" t="s">
        <v>32</v>
      </c>
      <c r="C44" s="2"/>
      <c r="D44" s="2"/>
      <c r="E44" s="352"/>
      <c r="F44" s="2"/>
      <c r="G44" s="2"/>
      <c r="H44" s="2"/>
      <c r="I44" s="2"/>
      <c r="J44" s="2"/>
      <c r="K44" s="2"/>
      <c r="N44" s="4" t="s">
        <v>166</v>
      </c>
      <c r="O44" s="57">
        <v>0</v>
      </c>
      <c r="P44" s="1"/>
      <c r="Q44" s="1" t="s">
        <v>158</v>
      </c>
      <c r="R44" s="1"/>
      <c r="S44" s="1"/>
      <c r="T44" s="1"/>
    </row>
    <row r="45" spans="1:20" x14ac:dyDescent="0.2">
      <c r="A45" s="314"/>
      <c r="B45" s="2" t="s">
        <v>373</v>
      </c>
      <c r="C45" s="2"/>
      <c r="D45" s="2"/>
      <c r="E45" s="402">
        <v>43760</v>
      </c>
      <c r="F45" s="3" t="s">
        <v>372</v>
      </c>
      <c r="G45" s="399">
        <f>E45+60</f>
        <v>43820</v>
      </c>
      <c r="H45" s="2"/>
      <c r="I45" s="2"/>
      <c r="J45" s="3" t="s">
        <v>142</v>
      </c>
      <c r="K45" s="481"/>
      <c r="N45" s="4" t="s">
        <v>167</v>
      </c>
      <c r="O45" s="57">
        <v>0</v>
      </c>
      <c r="P45" s="1"/>
      <c r="Q45" s="1"/>
      <c r="R45" s="1"/>
      <c r="S45" s="1"/>
      <c r="T45" s="1"/>
    </row>
    <row r="46" spans="1:20" x14ac:dyDescent="0.2">
      <c r="A46" s="314"/>
      <c r="B46" s="2" t="s">
        <v>374</v>
      </c>
      <c r="C46" s="2"/>
      <c r="D46" s="2"/>
      <c r="E46" s="402"/>
      <c r="F46" s="400" t="s">
        <v>375</v>
      </c>
      <c r="G46" s="399"/>
      <c r="H46" s="2"/>
      <c r="I46" s="2"/>
      <c r="J46" s="3" t="s">
        <v>143</v>
      </c>
      <c r="K46" s="482"/>
      <c r="N46" s="4" t="s">
        <v>324</v>
      </c>
      <c r="O46" s="57">
        <v>2</v>
      </c>
      <c r="P46" s="1"/>
      <c r="Q46" s="1"/>
      <c r="R46" s="1"/>
      <c r="S46" s="1"/>
      <c r="T46" s="1"/>
    </row>
    <row r="47" spans="1:20" x14ac:dyDescent="0.2">
      <c r="A47" s="314"/>
      <c r="B47" s="2"/>
      <c r="C47" s="11"/>
      <c r="D47" s="2"/>
      <c r="E47" s="2"/>
      <c r="F47" s="2"/>
      <c r="G47" s="2"/>
      <c r="H47" s="2"/>
      <c r="K47" s="312"/>
      <c r="N47" s="4" t="s">
        <v>159</v>
      </c>
      <c r="O47" s="1">
        <f>SUM(O42:O46)</f>
        <v>4</v>
      </c>
      <c r="P47" s="1"/>
      <c r="Q47" s="1"/>
      <c r="R47" s="1"/>
      <c r="S47" s="1"/>
      <c r="T47" s="1"/>
    </row>
    <row r="48" spans="1:20" x14ac:dyDescent="0.2">
      <c r="A48" s="318" t="s">
        <v>134</v>
      </c>
      <c r="B48" s="2"/>
      <c r="C48" s="2"/>
      <c r="D48" s="2"/>
      <c r="E48" s="2"/>
      <c r="F48" s="2"/>
      <c r="G48" s="2"/>
      <c r="H48" s="2"/>
      <c r="I48" s="2"/>
      <c r="J48" s="2"/>
      <c r="K48" s="2"/>
      <c r="P48" s="1"/>
      <c r="Q48" s="1"/>
      <c r="R48" s="1"/>
      <c r="S48" s="1"/>
      <c r="T48" s="1"/>
    </row>
    <row r="49" spans="1:32" s="1" customFormat="1" ht="14" x14ac:dyDescent="0.15">
      <c r="A49" s="314" t="s">
        <v>12</v>
      </c>
      <c r="B49" s="2"/>
      <c r="C49" s="520" t="s">
        <v>456</v>
      </c>
      <c r="D49" s="520"/>
      <c r="E49" s="520"/>
      <c r="F49" s="520"/>
      <c r="G49" s="520"/>
      <c r="H49" s="2" t="s">
        <v>13</v>
      </c>
      <c r="I49" s="512" t="s">
        <v>457</v>
      </c>
      <c r="J49" s="513"/>
      <c r="K49" s="514"/>
      <c r="L49" s="491"/>
    </row>
    <row r="50" spans="1:32" s="1" customFormat="1" ht="14" x14ac:dyDescent="0.15">
      <c r="A50" s="314" t="s">
        <v>303</v>
      </c>
      <c r="B50" s="2"/>
      <c r="C50" s="512" t="s">
        <v>451</v>
      </c>
      <c r="D50" s="513"/>
      <c r="E50" s="513"/>
      <c r="F50" s="513"/>
      <c r="G50" s="514"/>
      <c r="H50" s="2" t="s">
        <v>327</v>
      </c>
      <c r="I50" s="512" t="s">
        <v>445</v>
      </c>
      <c r="J50" s="513"/>
      <c r="K50" s="514"/>
      <c r="L50" s="491"/>
    </row>
    <row r="51" spans="1:32" s="1" customFormat="1" x14ac:dyDescent="0.2">
      <c r="A51" s="314" t="s">
        <v>120</v>
      </c>
      <c r="B51" s="2" t="s">
        <v>33</v>
      </c>
      <c r="C51" s="2"/>
      <c r="D51" s="2"/>
      <c r="E51" s="2"/>
      <c r="F51" s="2"/>
      <c r="G51" s="2"/>
      <c r="H51" s="2" t="s">
        <v>326</v>
      </c>
      <c r="I51" s="515" t="s">
        <v>458</v>
      </c>
      <c r="J51" s="513"/>
      <c r="K51" s="514"/>
      <c r="L51" s="491"/>
      <c r="N51" s="112" t="s">
        <v>168</v>
      </c>
      <c r="O51" s="111" t="s">
        <v>169</v>
      </c>
      <c r="P51" s="111" t="s">
        <v>170</v>
      </c>
      <c r="Q51" s="1" t="s">
        <v>171</v>
      </c>
    </row>
    <row r="52" spans="1:32" s="1" customFormat="1" ht="14" x14ac:dyDescent="0.15">
      <c r="A52" s="314"/>
      <c r="B52" s="319" t="s">
        <v>14</v>
      </c>
      <c r="C52" s="2"/>
      <c r="D52" s="2"/>
      <c r="E52" s="2"/>
      <c r="F52" s="3" t="s">
        <v>121</v>
      </c>
      <c r="G52" s="319" t="s">
        <v>123</v>
      </c>
      <c r="H52" s="2"/>
      <c r="I52" s="2"/>
      <c r="J52" s="2"/>
      <c r="K52" s="2"/>
      <c r="L52" s="483"/>
      <c r="N52" s="110">
        <v>0.3</v>
      </c>
      <c r="O52" s="1">
        <f>O42</f>
        <v>2</v>
      </c>
      <c r="P52" s="113">
        <f>O52/O47</f>
        <v>0.5</v>
      </c>
      <c r="Q52" s="114">
        <f>P52*N52</f>
        <v>0.15</v>
      </c>
    </row>
    <row r="53" spans="1:32" s="1" customFormat="1" ht="14" x14ac:dyDescent="0.15">
      <c r="A53" s="314"/>
      <c r="B53" s="2"/>
      <c r="C53" s="320" t="s">
        <v>28</v>
      </c>
      <c r="D53" s="320" t="s">
        <v>29</v>
      </c>
      <c r="E53" s="320" t="s">
        <v>30</v>
      </c>
      <c r="F53" s="2"/>
      <c r="G53" s="351"/>
      <c r="H53" s="2" t="s">
        <v>55</v>
      </c>
      <c r="I53" s="2"/>
      <c r="K53" s="2"/>
      <c r="L53" s="483"/>
      <c r="N53" s="110">
        <v>0.45</v>
      </c>
      <c r="O53" s="1">
        <f>O43+O45</f>
        <v>0</v>
      </c>
      <c r="P53" s="113">
        <f>O53/O47</f>
        <v>0</v>
      </c>
      <c r="Q53" s="114">
        <f t="shared" ref="Q53:Q55" si="0">P53*N53</f>
        <v>0</v>
      </c>
    </row>
    <row r="54" spans="1:32" s="1" customFormat="1" ht="14" x14ac:dyDescent="0.15">
      <c r="A54" s="314"/>
      <c r="B54" s="2" t="s">
        <v>15</v>
      </c>
      <c r="C54" s="58">
        <v>43730</v>
      </c>
      <c r="D54" s="59">
        <v>999</v>
      </c>
      <c r="E54" s="60">
        <v>297.64999999999998</v>
      </c>
      <c r="F54" s="2"/>
      <c r="G54" s="445" t="s">
        <v>443</v>
      </c>
      <c r="H54" s="446"/>
      <c r="J54" s="444" t="s">
        <v>388</v>
      </c>
      <c r="K54" s="475" t="s">
        <v>384</v>
      </c>
      <c r="L54" s="494"/>
      <c r="N54" s="110">
        <v>0.5</v>
      </c>
      <c r="O54" s="1">
        <f>O44</f>
        <v>0</v>
      </c>
      <c r="P54" s="113">
        <f>O54/O47</f>
        <v>0</v>
      </c>
      <c r="Q54" s="114">
        <f t="shared" si="0"/>
        <v>0</v>
      </c>
    </row>
    <row r="55" spans="1:32" s="1" customFormat="1" ht="14" x14ac:dyDescent="0.15">
      <c r="A55" s="314"/>
      <c r="B55" s="2" t="s">
        <v>16</v>
      </c>
      <c r="C55" s="405">
        <f>EDATE(C54,-1)</f>
        <v>43699</v>
      </c>
      <c r="D55" s="59">
        <v>1028</v>
      </c>
      <c r="E55" s="60">
        <v>295.66000000000003</v>
      </c>
      <c r="F55" s="2"/>
      <c r="G55" s="351"/>
      <c r="H55" s="2" t="s">
        <v>56</v>
      </c>
      <c r="I55" s="2"/>
      <c r="J55" s="57"/>
      <c r="K55" s="97"/>
      <c r="L55" s="483"/>
      <c r="N55" s="110">
        <v>0.6</v>
      </c>
      <c r="O55" s="1">
        <f>O46</f>
        <v>2</v>
      </c>
      <c r="P55" s="113">
        <f>O55/O47</f>
        <v>0.5</v>
      </c>
      <c r="Q55" s="114">
        <f t="shared" si="0"/>
        <v>0.3</v>
      </c>
    </row>
    <row r="56" spans="1:32" s="1" customFormat="1" thickBot="1" x14ac:dyDescent="0.2">
      <c r="A56" s="314"/>
      <c r="B56" s="2" t="s">
        <v>17</v>
      </c>
      <c r="C56" s="405">
        <f>EDATE(C54,-2)</f>
        <v>43668</v>
      </c>
      <c r="D56" s="59">
        <v>886</v>
      </c>
      <c r="E56" s="60">
        <v>250.58</v>
      </c>
      <c r="F56" s="2"/>
      <c r="G56" s="351" t="s">
        <v>452</v>
      </c>
      <c r="H56" s="2" t="s">
        <v>57</v>
      </c>
      <c r="I56" s="2"/>
      <c r="J56" s="57"/>
      <c r="K56" s="97"/>
      <c r="L56" s="483"/>
      <c r="N56" s="112" t="s">
        <v>172</v>
      </c>
      <c r="Q56" s="115">
        <f>SUM(Q52:Q55)</f>
        <v>0.44999999999999996</v>
      </c>
    </row>
    <row r="57" spans="1:32" s="1" customFormat="1" thickTop="1" x14ac:dyDescent="0.15">
      <c r="A57" s="314"/>
      <c r="B57" s="2" t="s">
        <v>18</v>
      </c>
      <c r="C57" s="405">
        <f>EDATE(C54,-3)</f>
        <v>43638</v>
      </c>
      <c r="D57" s="59">
        <v>1013</v>
      </c>
      <c r="E57" s="60">
        <v>291.88</v>
      </c>
      <c r="F57" s="2"/>
      <c r="G57" s="351"/>
      <c r="H57" s="2" t="s">
        <v>58</v>
      </c>
      <c r="I57" s="2"/>
      <c r="J57" s="57"/>
      <c r="K57" s="97"/>
      <c r="L57" s="483"/>
      <c r="S57" s="6"/>
    </row>
    <row r="58" spans="1:32" s="1" customFormat="1" ht="14" x14ac:dyDescent="0.15">
      <c r="A58" s="314"/>
      <c r="B58" s="2" t="s">
        <v>19</v>
      </c>
      <c r="C58" s="405">
        <f>EDATE(C54,-4)</f>
        <v>43607</v>
      </c>
      <c r="D58" s="59">
        <v>1014</v>
      </c>
      <c r="E58" s="60">
        <v>293.29000000000002</v>
      </c>
      <c r="F58" s="2"/>
      <c r="K58" s="2"/>
      <c r="L58" s="483"/>
      <c r="S58" s="6"/>
    </row>
    <row r="59" spans="1:32" x14ac:dyDescent="0.2">
      <c r="A59" s="321"/>
      <c r="B59" s="2" t="s">
        <v>20</v>
      </c>
      <c r="C59" s="405">
        <f>EDATE(C54,-5)</f>
        <v>43577</v>
      </c>
      <c r="D59" s="59">
        <v>1074</v>
      </c>
      <c r="E59" s="60">
        <v>298.13</v>
      </c>
      <c r="F59" s="2"/>
      <c r="G59" s="2" t="s">
        <v>429</v>
      </c>
      <c r="H59" s="2"/>
      <c r="I59" s="2"/>
      <c r="J59" s="62">
        <v>7000</v>
      </c>
      <c r="K59" s="2"/>
      <c r="S59" s="450"/>
      <c r="T59" s="254"/>
      <c r="U59" s="254"/>
      <c r="V59" s="254"/>
      <c r="W59" s="254"/>
      <c r="X59" s="254"/>
      <c r="Y59" s="254"/>
      <c r="Z59" s="254"/>
      <c r="AA59" s="254"/>
      <c r="AB59" s="254"/>
      <c r="AC59" s="254"/>
      <c r="AD59" s="254"/>
      <c r="AE59" s="254"/>
      <c r="AF59" s="254"/>
    </row>
    <row r="60" spans="1:32" x14ac:dyDescent="0.2">
      <c r="A60" s="321"/>
      <c r="B60" s="2" t="s">
        <v>21</v>
      </c>
      <c r="C60" s="405">
        <f>EDATE(C54,-6)</f>
        <v>43546</v>
      </c>
      <c r="D60" s="59">
        <v>1138</v>
      </c>
      <c r="E60" s="60">
        <v>307.54000000000002</v>
      </c>
      <c r="F60" s="2"/>
      <c r="G60" s="2" t="s">
        <v>431</v>
      </c>
      <c r="H60" s="2"/>
      <c r="I60" s="2"/>
      <c r="J60" s="62">
        <v>0</v>
      </c>
      <c r="K60" s="2"/>
      <c r="S60" s="450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</row>
    <row r="61" spans="1:32" x14ac:dyDescent="0.2">
      <c r="A61" s="314"/>
      <c r="B61" s="2" t="s">
        <v>22</v>
      </c>
      <c r="C61" s="405">
        <f>EDATE(C54,-7)</f>
        <v>43518</v>
      </c>
      <c r="D61" s="59">
        <v>1097</v>
      </c>
      <c r="E61" s="60">
        <v>291.64999999999998</v>
      </c>
      <c r="F61" s="2"/>
      <c r="G61" s="1" t="s">
        <v>430</v>
      </c>
      <c r="J61" s="435">
        <f>-W65</f>
        <v>0</v>
      </c>
      <c r="K61" s="314"/>
      <c r="S61" s="447"/>
      <c r="T61" s="447"/>
      <c r="U61" s="447"/>
      <c r="V61" s="447"/>
      <c r="W61" s="535"/>
      <c r="X61" s="535"/>
      <c r="Y61" s="254"/>
      <c r="Z61" s="254"/>
      <c r="AA61" s="254"/>
      <c r="AB61" s="254"/>
      <c r="AC61" s="254"/>
      <c r="AD61" s="254"/>
      <c r="AE61" s="254"/>
      <c r="AF61" s="254"/>
    </row>
    <row r="62" spans="1:32" x14ac:dyDescent="0.2">
      <c r="A62" s="314"/>
      <c r="B62" s="2" t="s">
        <v>23</v>
      </c>
      <c r="C62" s="405">
        <f>EDATE(C54,-8)</f>
        <v>43487</v>
      </c>
      <c r="D62" s="59">
        <v>1067</v>
      </c>
      <c r="E62" s="60">
        <v>283.07</v>
      </c>
      <c r="F62" s="2"/>
      <c r="G62" s="1" t="s">
        <v>61</v>
      </c>
      <c r="J62" s="434">
        <f>J59+J61+J60</f>
        <v>7000</v>
      </c>
      <c r="K62" s="2"/>
      <c r="M62" s="4" t="s">
        <v>97</v>
      </c>
      <c r="N62" s="105">
        <v>5.5E-2</v>
      </c>
      <c r="O62" s="1"/>
      <c r="P62" s="1"/>
      <c r="S62" s="448"/>
      <c r="T62" s="448"/>
      <c r="U62" s="448"/>
      <c r="V62" s="448"/>
      <c r="W62" s="534"/>
      <c r="X62" s="534"/>
      <c r="Y62" s="254"/>
      <c r="Z62" s="254"/>
      <c r="AA62" s="254"/>
      <c r="AB62" s="254"/>
      <c r="AC62" s="254"/>
      <c r="AD62" s="254"/>
      <c r="AE62" s="254"/>
      <c r="AF62" s="254"/>
    </row>
    <row r="63" spans="1:32" x14ac:dyDescent="0.2">
      <c r="A63" s="314"/>
      <c r="B63" s="2" t="s">
        <v>24</v>
      </c>
      <c r="C63" s="405">
        <f>EDATE(C54,-9)</f>
        <v>43456</v>
      </c>
      <c r="D63" s="59">
        <v>1351</v>
      </c>
      <c r="E63" s="60">
        <v>355.74</v>
      </c>
      <c r="F63" s="2"/>
      <c r="G63" s="2" t="s">
        <v>385</v>
      </c>
      <c r="H63" s="2"/>
      <c r="I63" s="2"/>
      <c r="J63" s="62">
        <v>0</v>
      </c>
      <c r="K63" s="2"/>
      <c r="M63" s="4" t="s">
        <v>97</v>
      </c>
      <c r="N63" s="105">
        <v>0.04</v>
      </c>
      <c r="O63" s="106" t="s">
        <v>149</v>
      </c>
      <c r="P63" s="1"/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</row>
    <row r="64" spans="1:32" x14ac:dyDescent="0.2">
      <c r="A64" s="314"/>
      <c r="B64" s="2" t="s">
        <v>25</v>
      </c>
      <c r="C64" s="405">
        <f>EDATE(C54,-10)</f>
        <v>43426</v>
      </c>
      <c r="D64" s="59">
        <v>1718</v>
      </c>
      <c r="E64" s="60">
        <v>450.31</v>
      </c>
      <c r="F64" s="2"/>
      <c r="G64" s="2" t="s">
        <v>386</v>
      </c>
      <c r="H64" s="2"/>
      <c r="I64" s="2"/>
      <c r="J64" s="62">
        <v>0</v>
      </c>
      <c r="K64" s="2"/>
      <c r="M64" s="76"/>
      <c r="N64" s="76"/>
      <c r="O64" s="107" t="s">
        <v>150</v>
      </c>
      <c r="P64" s="108"/>
      <c r="Q64" s="104"/>
      <c r="R64" s="10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  <c r="AD64" s="254"/>
      <c r="AE64" s="254"/>
      <c r="AF64" s="254"/>
    </row>
    <row r="65" spans="1:32" ht="17" x14ac:dyDescent="0.3">
      <c r="A65" s="314"/>
      <c r="B65" s="2" t="s">
        <v>26</v>
      </c>
      <c r="C65" s="405">
        <f>EDATE(C54,-11)</f>
        <v>43395</v>
      </c>
      <c r="D65" s="473">
        <v>1766</v>
      </c>
      <c r="E65" s="61">
        <v>467.04</v>
      </c>
      <c r="F65" s="2"/>
      <c r="G65" s="2" t="s">
        <v>387</v>
      </c>
      <c r="H65" s="2"/>
      <c r="I65" s="2"/>
      <c r="J65" s="350">
        <f>SUM(S32:S35)</f>
        <v>2300</v>
      </c>
      <c r="K65" s="2"/>
      <c r="M65" s="4"/>
      <c r="N65" s="1"/>
      <c r="O65" s="1"/>
      <c r="P65" s="1"/>
      <c r="S65" s="254"/>
      <c r="T65" s="254"/>
      <c r="U65" s="449"/>
      <c r="V65" s="254"/>
      <c r="W65" s="533"/>
      <c r="X65" s="533"/>
      <c r="Y65" s="254"/>
      <c r="Z65" s="254"/>
      <c r="AA65" s="254"/>
      <c r="AB65" s="254"/>
      <c r="AC65" s="254"/>
      <c r="AD65" s="254"/>
      <c r="AE65" s="254"/>
      <c r="AF65" s="254"/>
    </row>
    <row r="66" spans="1:32" x14ac:dyDescent="0.2">
      <c r="A66" s="314"/>
      <c r="B66" s="322" t="s">
        <v>27</v>
      </c>
      <c r="C66" s="323"/>
      <c r="D66" s="324">
        <f>SUM(D54:D65)</f>
        <v>14151</v>
      </c>
      <c r="E66" s="325">
        <f>SUM(E54:E65)</f>
        <v>3882.5400000000004</v>
      </c>
      <c r="F66" s="2"/>
      <c r="G66" s="2" t="s">
        <v>113</v>
      </c>
      <c r="H66" s="2"/>
      <c r="I66" s="2"/>
      <c r="J66" s="433">
        <f>J62-(J63+J64)+J65</f>
        <v>9300</v>
      </c>
      <c r="K66" s="314"/>
      <c r="M66" s="4"/>
      <c r="N66" s="99"/>
      <c r="O66" s="1"/>
      <c r="P66" s="1"/>
      <c r="S66" s="254"/>
      <c r="T66" s="451"/>
      <c r="U66" s="449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</row>
    <row r="67" spans="1:32" x14ac:dyDescent="0.2">
      <c r="A67" s="314"/>
      <c r="F67" s="2"/>
      <c r="G67" s="2" t="s">
        <v>62</v>
      </c>
      <c r="H67" s="2"/>
      <c r="I67" s="2"/>
      <c r="J67" s="63">
        <v>5.5E-2</v>
      </c>
      <c r="K67" s="2"/>
      <c r="M67" s="99" t="s">
        <v>368</v>
      </c>
      <c r="N67" s="5"/>
      <c r="O67" s="397" t="s">
        <v>369</v>
      </c>
      <c r="P67" s="397" t="s">
        <v>370</v>
      </c>
      <c r="Q67" s="398" t="s">
        <v>371</v>
      </c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  <c r="AD67" s="254"/>
      <c r="AE67" s="254"/>
      <c r="AF67" s="254"/>
    </row>
    <row r="68" spans="1:32" x14ac:dyDescent="0.2">
      <c r="A68" s="314"/>
      <c r="F68" s="2"/>
      <c r="G68" s="2" t="s">
        <v>364</v>
      </c>
      <c r="H68" s="2"/>
      <c r="I68" s="2"/>
      <c r="J68" s="351">
        <v>19</v>
      </c>
      <c r="K68" s="2"/>
      <c r="N68" t="s">
        <v>154</v>
      </c>
      <c r="O68" s="342" t="s">
        <v>152</v>
      </c>
      <c r="P68" t="s">
        <v>151</v>
      </c>
      <c r="Q68" t="s">
        <v>152</v>
      </c>
      <c r="S68" s="254"/>
      <c r="T68" s="452"/>
      <c r="U68" s="449"/>
      <c r="V68" s="254"/>
      <c r="W68" s="254"/>
      <c r="X68" s="254"/>
      <c r="Y68" s="254"/>
      <c r="Z68" s="254"/>
      <c r="AA68" s="254"/>
      <c r="AB68" s="254"/>
      <c r="AC68" s="254"/>
      <c r="AD68" s="254"/>
      <c r="AE68" s="254"/>
      <c r="AF68" s="254"/>
    </row>
    <row r="69" spans="1:32" x14ac:dyDescent="0.2">
      <c r="C69" s="2"/>
      <c r="D69" s="2"/>
      <c r="E69" s="2" t="s">
        <v>380</v>
      </c>
      <c r="F69" s="2"/>
      <c r="G69" s="2" t="s">
        <v>365</v>
      </c>
      <c r="H69" s="2"/>
      <c r="I69" s="2"/>
      <c r="J69" s="351">
        <v>20</v>
      </c>
      <c r="K69" s="2"/>
      <c r="N69" t="s">
        <v>155</v>
      </c>
      <c r="O69" s="342" t="s">
        <v>152</v>
      </c>
      <c r="P69" t="s">
        <v>151</v>
      </c>
      <c r="Q69" t="s">
        <v>152</v>
      </c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  <c r="AD69" s="254"/>
      <c r="AE69" s="254"/>
      <c r="AF69" s="254"/>
    </row>
    <row r="70" spans="1:32" x14ac:dyDescent="0.2">
      <c r="C70" s="2"/>
      <c r="D70" s="2"/>
      <c r="E70" s="2"/>
      <c r="F70" s="2"/>
      <c r="G70" s="326" t="s">
        <v>389</v>
      </c>
      <c r="H70" s="2"/>
      <c r="I70" s="2"/>
      <c r="J70" s="252">
        <v>0.2</v>
      </c>
      <c r="K70" s="360"/>
      <c r="L70" s="492"/>
      <c r="N70" s="79"/>
      <c r="O70" s="79"/>
      <c r="P70" s="457"/>
      <c r="Q70" s="79"/>
      <c r="S70" s="254"/>
      <c r="T70" s="254"/>
      <c r="U70" s="254"/>
      <c r="V70" s="254"/>
      <c r="W70" s="254"/>
      <c r="X70" s="254"/>
      <c r="Y70" s="254"/>
      <c r="Z70" s="254"/>
      <c r="AA70" s="254"/>
      <c r="AB70" s="254"/>
      <c r="AC70" s="254"/>
      <c r="AD70" s="254"/>
      <c r="AE70" s="254"/>
      <c r="AF70" s="254"/>
    </row>
    <row r="71" spans="1:32" x14ac:dyDescent="0.2">
      <c r="A71" s="327" t="s">
        <v>122</v>
      </c>
      <c r="B71" s="319" t="s">
        <v>124</v>
      </c>
      <c r="C71" s="2"/>
      <c r="D71" s="2"/>
      <c r="E71" s="2"/>
      <c r="F71" s="2"/>
      <c r="G71" s="2" t="s">
        <v>390</v>
      </c>
      <c r="H71" s="3"/>
      <c r="I71" s="7"/>
      <c r="J71" s="422">
        <v>0.15</v>
      </c>
      <c r="K71" s="360"/>
      <c r="L71" s="492"/>
      <c r="S71" s="254"/>
      <c r="T71" s="254"/>
      <c r="U71" s="254"/>
      <c r="V71" s="254"/>
      <c r="W71" s="254"/>
      <c r="X71" s="254"/>
      <c r="Y71" s="254"/>
      <c r="Z71" s="254"/>
      <c r="AA71" s="254"/>
      <c r="AB71" s="254"/>
      <c r="AC71" s="254"/>
      <c r="AD71" s="254"/>
      <c r="AE71" s="254"/>
      <c r="AF71" s="254"/>
    </row>
    <row r="72" spans="1:32" x14ac:dyDescent="0.2">
      <c r="A72" s="314"/>
      <c r="B72" s="2" t="s">
        <v>59</v>
      </c>
      <c r="C72" s="2"/>
      <c r="D72" s="2"/>
      <c r="E72" s="2"/>
      <c r="F72" s="2"/>
      <c r="G72" s="2"/>
      <c r="H72" s="3" t="s">
        <v>34</v>
      </c>
      <c r="I72" s="55" t="s">
        <v>452</v>
      </c>
      <c r="J72" s="3" t="s">
        <v>35</v>
      </c>
      <c r="K72" s="480"/>
      <c r="L72" s="492"/>
      <c r="M72" s="251" t="s">
        <v>236</v>
      </c>
      <c r="S72" s="453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</row>
    <row r="73" spans="1:32" x14ac:dyDescent="0.2">
      <c r="A73" s="314"/>
      <c r="B73" s="2" t="s">
        <v>60</v>
      </c>
      <c r="C73" s="2"/>
      <c r="D73" s="2"/>
      <c r="E73" s="2"/>
      <c r="F73" s="2"/>
      <c r="G73" s="2"/>
      <c r="H73" s="3" t="s">
        <v>34</v>
      </c>
      <c r="I73" s="55" t="s">
        <v>452</v>
      </c>
      <c r="J73" s="3" t="s">
        <v>35</v>
      </c>
      <c r="K73" s="480"/>
      <c r="L73" s="492"/>
      <c r="M73" s="4" t="s">
        <v>198</v>
      </c>
      <c r="N73" s="70">
        <f>J59*0.3</f>
        <v>2100</v>
      </c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</row>
    <row r="74" spans="1:32" x14ac:dyDescent="0.2">
      <c r="A74" s="314"/>
      <c r="B74" s="2" t="s">
        <v>338</v>
      </c>
      <c r="C74" s="76"/>
      <c r="D74" s="76"/>
      <c r="E74" s="76"/>
      <c r="F74" s="76"/>
      <c r="G74" s="2"/>
      <c r="H74" s="3" t="s">
        <v>34</v>
      </c>
      <c r="I74" s="55" t="s">
        <v>452</v>
      </c>
      <c r="J74" s="3" t="s">
        <v>35</v>
      </c>
      <c r="K74" s="480"/>
      <c r="L74" s="492"/>
      <c r="P74" s="93"/>
      <c r="Q74" s="95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</row>
    <row r="75" spans="1:32" x14ac:dyDescent="0.2">
      <c r="A75" s="314"/>
      <c r="B75" s="2" t="s">
        <v>328</v>
      </c>
      <c r="C75" s="76"/>
      <c r="D75" s="76"/>
      <c r="E75" s="76"/>
      <c r="F75" s="76"/>
      <c r="G75" s="2"/>
      <c r="H75" s="3" t="s">
        <v>34</v>
      </c>
      <c r="I75" s="55" t="s">
        <v>452</v>
      </c>
      <c r="J75" s="3" t="s">
        <v>35</v>
      </c>
      <c r="K75" s="480"/>
      <c r="L75" s="492"/>
      <c r="P75" s="93"/>
      <c r="Q75" s="95"/>
      <c r="S75" s="254"/>
      <c r="T75" s="254"/>
      <c r="U75" s="254"/>
      <c r="V75" s="254"/>
      <c r="W75" s="254"/>
      <c r="X75" s="454"/>
      <c r="Y75" s="254"/>
      <c r="Z75" s="254"/>
      <c r="AA75" s="254"/>
      <c r="AB75" s="254"/>
      <c r="AC75" s="254"/>
      <c r="AD75" s="254"/>
      <c r="AE75" s="254"/>
      <c r="AF75" s="254"/>
    </row>
    <row r="76" spans="1:32" x14ac:dyDescent="0.2">
      <c r="A76" s="314"/>
      <c r="B76" s="2"/>
      <c r="C76" s="76"/>
      <c r="D76" s="76"/>
      <c r="E76" s="76"/>
      <c r="F76" s="76"/>
      <c r="G76" s="2"/>
      <c r="H76" s="3"/>
      <c r="I76" s="354"/>
      <c r="J76" s="3"/>
      <c r="K76" s="476"/>
      <c r="L76" s="492"/>
      <c r="P76" s="93"/>
      <c r="Q76" s="95"/>
      <c r="S76" s="254"/>
      <c r="T76" s="254"/>
      <c r="U76" s="254"/>
      <c r="V76" s="254"/>
      <c r="W76" s="254"/>
      <c r="X76" s="454"/>
      <c r="Y76" s="254"/>
      <c r="Z76" s="254"/>
      <c r="AA76" s="254"/>
      <c r="AB76" s="254"/>
      <c r="AC76" s="254"/>
      <c r="AD76" s="254"/>
      <c r="AE76" s="254"/>
      <c r="AF76" s="254"/>
    </row>
    <row r="77" spans="1:32" x14ac:dyDescent="0.2">
      <c r="A77" s="314" t="s">
        <v>11</v>
      </c>
      <c r="B77" s="2" t="s">
        <v>31</v>
      </c>
      <c r="C77" s="2"/>
      <c r="D77" s="2"/>
      <c r="E77" s="2"/>
      <c r="F77" s="2"/>
      <c r="G77" s="2"/>
      <c r="H77" s="2"/>
      <c r="I77" s="2"/>
      <c r="J77" s="2"/>
      <c r="K77" s="2"/>
      <c r="M77" s="4" t="s">
        <v>199</v>
      </c>
      <c r="N77" s="256" t="e">
        <f>(ROUNDDOWN(N80,0)*5000)+IF(((N80-(ROUNDDOWN(N80,0)))*N82)*0.35&gt;5000,5000,((N80-(ROUNDDOWN(N80,0)))*N82)*0.35)</f>
        <v>#DIV/0!</v>
      </c>
      <c r="S77" s="254"/>
      <c r="T77" s="455"/>
      <c r="U77" s="254"/>
      <c r="V77" s="254"/>
      <c r="W77" s="254"/>
      <c r="X77" s="454"/>
      <c r="Y77" s="254"/>
      <c r="Z77" s="254"/>
      <c r="AA77" s="254"/>
      <c r="AB77" s="254"/>
      <c r="AC77" s="254"/>
      <c r="AD77" s="254"/>
      <c r="AE77" s="254"/>
      <c r="AF77" s="254"/>
    </row>
    <row r="78" spans="1:32" x14ac:dyDescent="0.2">
      <c r="A78" s="314"/>
      <c r="B78" s="2" t="s">
        <v>86</v>
      </c>
      <c r="C78" s="2"/>
      <c r="D78" s="56" t="s">
        <v>453</v>
      </c>
      <c r="E78" s="3" t="s">
        <v>87</v>
      </c>
      <c r="F78" s="510" t="s">
        <v>454</v>
      </c>
      <c r="G78" s="511"/>
      <c r="H78" s="2" t="s">
        <v>43</v>
      </c>
      <c r="I78" s="516" t="s">
        <v>455</v>
      </c>
      <c r="J78" s="517"/>
      <c r="K78" s="517"/>
      <c r="L78" s="493"/>
      <c r="M78" s="4" t="s">
        <v>112</v>
      </c>
      <c r="N78" s="72"/>
      <c r="S78" s="254"/>
      <c r="T78" s="455"/>
      <c r="U78" s="254"/>
      <c r="V78" s="254"/>
      <c r="W78" s="254"/>
      <c r="X78" s="254"/>
      <c r="Y78" s="254"/>
      <c r="Z78" s="254"/>
      <c r="AA78" s="254"/>
      <c r="AB78" s="254"/>
      <c r="AC78" s="254"/>
      <c r="AD78" s="254"/>
      <c r="AE78" s="254"/>
      <c r="AF78" s="254"/>
    </row>
    <row r="79" spans="1:32" x14ac:dyDescent="0.2">
      <c r="A79" s="314"/>
      <c r="B79" s="326" t="s">
        <v>240</v>
      </c>
      <c r="C79" s="2"/>
      <c r="D79" s="2"/>
      <c r="E79" s="2"/>
      <c r="F79" s="64"/>
      <c r="G79" s="3" t="s">
        <v>377</v>
      </c>
      <c r="H79" s="11">
        <f>F79+30</f>
        <v>30</v>
      </c>
      <c r="I79" s="2"/>
      <c r="K79" s="312"/>
      <c r="M79" s="4" t="s">
        <v>237</v>
      </c>
      <c r="N79" s="253"/>
      <c r="O79" s="93"/>
      <c r="S79" s="254"/>
      <c r="T79" s="254"/>
      <c r="U79" s="254"/>
      <c r="V79" s="254"/>
      <c r="W79" s="254"/>
      <c r="X79" s="254"/>
      <c r="Y79" s="254"/>
      <c r="Z79" s="254"/>
      <c r="AA79" s="254"/>
      <c r="AB79" s="254"/>
      <c r="AC79" s="254"/>
      <c r="AD79" s="254"/>
      <c r="AE79" s="254"/>
      <c r="AF79" s="254"/>
    </row>
    <row r="80" spans="1:32" x14ac:dyDescent="0.2">
      <c r="A80" s="314"/>
      <c r="B80" s="2" t="s">
        <v>241</v>
      </c>
      <c r="C80" s="2"/>
      <c r="D80" s="2"/>
      <c r="E80" s="2"/>
      <c r="F80" s="403">
        <v>43760</v>
      </c>
      <c r="G80" s="3" t="s">
        <v>377</v>
      </c>
      <c r="H80" s="401">
        <f>F80+10</f>
        <v>43770</v>
      </c>
      <c r="I80" s="2"/>
      <c r="K80" s="2"/>
      <c r="M80" s="4" t="s">
        <v>204</v>
      </c>
      <c r="N80" s="254">
        <f>N78/5</f>
        <v>0</v>
      </c>
      <c r="S80" s="254"/>
      <c r="T80" s="254"/>
      <c r="U80" s="254"/>
      <c r="V80" s="254"/>
      <c r="W80" s="254"/>
      <c r="X80" s="254"/>
      <c r="Y80" s="254"/>
      <c r="Z80" s="455"/>
      <c r="AA80" s="254"/>
      <c r="AB80" s="254"/>
      <c r="AC80" s="254"/>
      <c r="AD80" s="254"/>
      <c r="AE80" s="254"/>
      <c r="AF80" s="254"/>
    </row>
    <row r="81" spans="1:32" x14ac:dyDescent="0.2">
      <c r="A81" s="314"/>
      <c r="B81" s="2" t="s">
        <v>378</v>
      </c>
      <c r="C81" s="2"/>
      <c r="D81" s="2"/>
      <c r="E81" s="2"/>
      <c r="F81" s="403"/>
      <c r="G81" s="88" t="s">
        <v>379</v>
      </c>
      <c r="H81" s="401">
        <f>F81+15</f>
        <v>15</v>
      </c>
      <c r="I81" s="2"/>
      <c r="J81" s="3" t="s">
        <v>142</v>
      </c>
      <c r="K81" s="481"/>
      <c r="M81" s="4" t="s">
        <v>238</v>
      </c>
      <c r="N81" s="70" t="e">
        <f>(J59/N78)/1000</f>
        <v>#DIV/0!</v>
      </c>
      <c r="O81" s="67" t="s">
        <v>239</v>
      </c>
      <c r="S81" s="254"/>
      <c r="T81" s="254"/>
      <c r="U81" s="254"/>
      <c r="V81" s="254"/>
      <c r="W81" s="254"/>
      <c r="X81" s="532"/>
      <c r="Y81" s="532"/>
      <c r="Z81" s="455"/>
      <c r="AA81" s="254"/>
      <c r="AB81" s="254"/>
      <c r="AC81" s="254"/>
      <c r="AD81" s="254"/>
      <c r="AE81" s="254"/>
      <c r="AF81" s="254"/>
    </row>
    <row r="82" spans="1:32" x14ac:dyDescent="0.2">
      <c r="A82" s="314"/>
      <c r="B82" s="2" t="s">
        <v>339</v>
      </c>
      <c r="C82" s="2"/>
      <c r="D82" s="2"/>
      <c r="E82" s="2"/>
      <c r="F82" s="64"/>
      <c r="G82" s="2"/>
      <c r="H82" s="2"/>
      <c r="I82" s="2"/>
      <c r="J82" s="3" t="s">
        <v>143</v>
      </c>
      <c r="K82" s="482"/>
      <c r="M82" s="4" t="s">
        <v>243</v>
      </c>
      <c r="N82" s="70" t="e">
        <f>J59/N80</f>
        <v>#DIV/0!</v>
      </c>
      <c r="S82" s="254"/>
      <c r="T82" s="254"/>
      <c r="U82" s="254"/>
      <c r="V82" s="254"/>
      <c r="W82" s="452"/>
      <c r="X82" s="453"/>
      <c r="Y82" s="254"/>
      <c r="Z82" s="456"/>
      <c r="AA82" s="451"/>
      <c r="AB82" s="254"/>
      <c r="AC82" s="254"/>
      <c r="AD82" s="254"/>
      <c r="AE82" s="254"/>
      <c r="AF82" s="254"/>
    </row>
    <row r="83" spans="1:32" x14ac:dyDescent="0.2">
      <c r="A83" s="314"/>
      <c r="B83" s="2" t="s">
        <v>342</v>
      </c>
      <c r="C83" s="2"/>
      <c r="D83" s="2"/>
      <c r="E83" s="2"/>
      <c r="F83" s="64"/>
      <c r="G83" s="2"/>
      <c r="H83" s="2"/>
      <c r="I83" s="2"/>
      <c r="J83" s="3" t="s">
        <v>133</v>
      </c>
      <c r="K83" s="482" t="s">
        <v>459</v>
      </c>
      <c r="M83" s="4"/>
      <c r="N83" s="70"/>
      <c r="S83" s="254"/>
      <c r="T83" s="254"/>
      <c r="U83" s="254"/>
      <c r="V83" s="254"/>
      <c r="W83" s="452"/>
      <c r="X83" s="453"/>
      <c r="Y83" s="254"/>
      <c r="Z83" s="456"/>
      <c r="AA83" s="451"/>
      <c r="AB83" s="254"/>
      <c r="AC83" s="254"/>
      <c r="AD83" s="254"/>
      <c r="AE83" s="254"/>
      <c r="AF83" s="254"/>
    </row>
    <row r="84" spans="1:32" x14ac:dyDescent="0.2">
      <c r="A84" s="314"/>
      <c r="B84" s="2" t="s">
        <v>304</v>
      </c>
      <c r="C84" s="2"/>
      <c r="D84" s="2"/>
      <c r="E84" s="2"/>
      <c r="F84" s="64"/>
      <c r="G84" s="2"/>
      <c r="H84" s="2"/>
      <c r="I84" s="2"/>
      <c r="J84" s="2"/>
      <c r="K84" s="2"/>
      <c r="M84" s="4"/>
      <c r="N84" s="70"/>
      <c r="S84" s="254"/>
      <c r="T84" s="254"/>
      <c r="U84" s="254"/>
      <c r="V84" s="254"/>
      <c r="W84" s="451"/>
      <c r="X84" s="453"/>
      <c r="Y84" s="254"/>
      <c r="Z84" s="456"/>
      <c r="AA84" s="451"/>
      <c r="AB84" s="254"/>
      <c r="AC84" s="254"/>
      <c r="AD84" s="254"/>
      <c r="AE84" s="254"/>
      <c r="AF84" s="254"/>
    </row>
    <row r="85" spans="1:32" x14ac:dyDescent="0.2">
      <c r="A85" s="314"/>
      <c r="B85" s="2" t="s">
        <v>279</v>
      </c>
      <c r="C85" s="2"/>
      <c r="D85" s="2"/>
      <c r="E85" s="2"/>
      <c r="F85" s="361">
        <f>EDATE(F80,6)</f>
        <v>43943</v>
      </c>
      <c r="G85" s="2"/>
      <c r="H85" s="2"/>
      <c r="I85" s="2"/>
      <c r="J85" s="2"/>
      <c r="K85" s="2"/>
      <c r="M85" s="4"/>
      <c r="N85" s="70"/>
      <c r="S85" s="254"/>
      <c r="T85" s="254"/>
      <c r="U85" s="254"/>
      <c r="V85" s="254"/>
      <c r="W85" s="451"/>
      <c r="X85" s="254"/>
      <c r="Y85" s="254"/>
      <c r="Z85" s="456"/>
      <c r="AA85" s="451"/>
      <c r="AB85" s="451"/>
      <c r="AC85" s="254"/>
      <c r="AD85" s="254"/>
      <c r="AE85" s="254"/>
      <c r="AF85" s="254"/>
    </row>
    <row r="86" spans="1:32" x14ac:dyDescent="0.2">
      <c r="A86" s="314"/>
      <c r="B86" s="2"/>
      <c r="C86" s="2"/>
      <c r="D86" s="2"/>
      <c r="E86" s="2"/>
      <c r="F86" s="2"/>
      <c r="G86" s="2"/>
      <c r="H86" s="2"/>
      <c r="I86" s="2"/>
      <c r="J86" s="2"/>
      <c r="K86" s="2"/>
      <c r="S86" s="254"/>
      <c r="T86" s="254"/>
      <c r="U86" s="254"/>
      <c r="V86" s="254"/>
      <c r="W86" s="451"/>
      <c r="X86" s="254"/>
      <c r="Y86" s="254"/>
      <c r="Z86" s="456"/>
      <c r="AA86" s="451"/>
      <c r="AB86" s="451"/>
      <c r="AC86" s="254"/>
      <c r="AD86" s="254"/>
      <c r="AE86" s="254"/>
      <c r="AF86" s="254"/>
    </row>
    <row r="87" spans="1:32" x14ac:dyDescent="0.2">
      <c r="A87" s="359" t="s">
        <v>329</v>
      </c>
      <c r="B87" s="2"/>
      <c r="C87" s="2"/>
      <c r="D87" s="2"/>
      <c r="E87" s="2"/>
      <c r="F87" s="2"/>
      <c r="G87" s="360"/>
      <c r="H87" s="2"/>
      <c r="I87" s="2"/>
      <c r="J87" s="2"/>
      <c r="K87" s="2"/>
      <c r="S87" s="254"/>
      <c r="T87" s="254"/>
      <c r="U87" s="254"/>
      <c r="V87" s="254"/>
      <c r="W87" s="451"/>
      <c r="X87" s="254"/>
      <c r="Y87" s="254"/>
      <c r="Z87" s="456"/>
      <c r="AA87" s="451"/>
      <c r="AB87" s="451"/>
      <c r="AC87" s="254"/>
      <c r="AD87" s="254"/>
      <c r="AE87" s="254"/>
      <c r="AF87" s="254"/>
    </row>
    <row r="88" spans="1:32" x14ac:dyDescent="0.2">
      <c r="A88" s="314"/>
      <c r="B88" s="2" t="s">
        <v>340</v>
      </c>
      <c r="C88" s="2"/>
      <c r="D88" s="2"/>
      <c r="E88" s="2"/>
      <c r="F88" s="2"/>
      <c r="G88" s="2"/>
      <c r="H88" s="538"/>
      <c r="I88" s="511"/>
      <c r="J88" s="2"/>
      <c r="K88" s="2"/>
      <c r="M88" s="1" t="s">
        <v>334</v>
      </c>
      <c r="O88" s="72"/>
      <c r="S88" s="254"/>
      <c r="T88" s="254"/>
      <c r="U88" s="254"/>
      <c r="V88" s="254"/>
      <c r="W88" s="254"/>
      <c r="X88" s="254"/>
      <c r="Y88" s="254"/>
      <c r="Z88" s="456"/>
      <c r="AA88" s="254"/>
      <c r="AB88" s="254"/>
      <c r="AC88" s="254"/>
      <c r="AD88" s="254"/>
      <c r="AE88" s="254"/>
      <c r="AF88" s="254"/>
    </row>
    <row r="89" spans="1:32" x14ac:dyDescent="0.2">
      <c r="A89" s="314"/>
      <c r="B89" s="364"/>
      <c r="C89" s="2" t="s">
        <v>330</v>
      </c>
      <c r="D89" s="2"/>
      <c r="E89" s="2"/>
      <c r="F89" s="2"/>
      <c r="G89" s="364"/>
      <c r="H89" s="2" t="s">
        <v>332</v>
      </c>
      <c r="I89" s="2"/>
      <c r="J89" s="2"/>
      <c r="K89" s="2"/>
      <c r="M89" s="1" t="s">
        <v>335</v>
      </c>
      <c r="O89" s="362"/>
      <c r="S89" s="254"/>
      <c r="T89" s="254"/>
      <c r="U89" s="254"/>
      <c r="V89" s="254"/>
      <c r="W89" s="254"/>
      <c r="X89" s="254"/>
      <c r="Y89" s="254"/>
      <c r="Z89" s="456"/>
      <c r="AA89" s="254"/>
      <c r="AB89" s="254"/>
      <c r="AC89" s="254"/>
      <c r="AD89" s="254"/>
      <c r="AE89" s="254"/>
      <c r="AF89" s="254"/>
    </row>
    <row r="90" spans="1:32" x14ac:dyDescent="0.2">
      <c r="A90" s="314"/>
      <c r="B90" s="364"/>
      <c r="C90" s="2" t="s">
        <v>331</v>
      </c>
      <c r="D90" s="2"/>
      <c r="E90" s="2"/>
      <c r="F90" s="2"/>
      <c r="G90" s="364"/>
      <c r="H90" s="2" t="s">
        <v>333</v>
      </c>
      <c r="I90" s="2"/>
      <c r="J90" s="2"/>
      <c r="K90" s="2"/>
      <c r="M90" s="1" t="s">
        <v>336</v>
      </c>
      <c r="O90" s="73"/>
      <c r="S90" s="254"/>
      <c r="T90" s="254"/>
      <c r="U90" s="254"/>
      <c r="V90" s="254"/>
      <c r="W90" s="254"/>
      <c r="X90" s="254"/>
      <c r="Y90" s="254"/>
      <c r="Z90" s="456"/>
      <c r="AA90" s="254"/>
      <c r="AB90" s="254"/>
      <c r="AC90" s="254"/>
      <c r="AD90" s="254"/>
      <c r="AE90" s="254"/>
      <c r="AF90" s="254"/>
    </row>
    <row r="91" spans="1:32" x14ac:dyDescent="0.2">
      <c r="A91" s="314"/>
      <c r="B91" s="2"/>
      <c r="C91" s="2"/>
      <c r="D91" s="2"/>
      <c r="E91" s="2"/>
      <c r="F91" s="2"/>
      <c r="G91" s="2"/>
      <c r="H91" s="2"/>
      <c r="I91" s="2"/>
      <c r="J91" s="2"/>
      <c r="K91" s="2"/>
      <c r="M91" s="1" t="s">
        <v>337</v>
      </c>
      <c r="O91" s="362"/>
      <c r="S91" s="254"/>
      <c r="T91" s="254"/>
      <c r="U91" s="254"/>
      <c r="V91" s="254"/>
      <c r="W91" s="254"/>
      <c r="X91" s="254"/>
      <c r="Y91" s="254"/>
      <c r="Z91" s="254"/>
      <c r="AA91" s="254"/>
      <c r="AB91" s="254"/>
      <c r="AC91" s="254"/>
      <c r="AD91" s="254"/>
      <c r="AE91" s="254"/>
      <c r="AF91" s="254"/>
    </row>
    <row r="92" spans="1:32" x14ac:dyDescent="0.2">
      <c r="A92" s="328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S92" s="254"/>
      <c r="T92" s="254"/>
      <c r="U92" s="254"/>
      <c r="V92" s="254"/>
      <c r="W92" s="254"/>
      <c r="X92" s="254"/>
      <c r="Y92" s="254"/>
      <c r="Z92" s="254"/>
      <c r="AA92" s="254"/>
      <c r="AB92" s="254"/>
      <c r="AC92" s="254"/>
      <c r="AD92" s="254"/>
      <c r="AE92" s="254"/>
      <c r="AF92" s="254"/>
    </row>
    <row r="93" spans="1:32" x14ac:dyDescent="0.2">
      <c r="S93" s="254"/>
      <c r="T93" s="254"/>
      <c r="U93" s="254"/>
      <c r="V93" s="254"/>
      <c r="W93" s="254"/>
      <c r="X93" s="254"/>
      <c r="Y93" s="254"/>
      <c r="Z93" s="254"/>
      <c r="AA93" s="254"/>
      <c r="AB93" s="254"/>
      <c r="AC93" s="254"/>
      <c r="AD93" s="254"/>
      <c r="AE93" s="254"/>
      <c r="AF93" s="254"/>
    </row>
    <row r="94" spans="1:32" s="254" customFormat="1" x14ac:dyDescent="0.2">
      <c r="A94" s="76"/>
      <c r="B94" s="460"/>
      <c r="C94" s="76"/>
      <c r="D94" s="76"/>
      <c r="E94" s="76"/>
      <c r="F94" s="76"/>
      <c r="G94" s="76"/>
      <c r="H94" s="76"/>
      <c r="I94" s="76"/>
      <c r="J94" s="76"/>
      <c r="K94" s="76"/>
      <c r="L94" s="483"/>
      <c r="M94" s="76"/>
    </row>
    <row r="95" spans="1:32" s="254" customFormat="1" x14ac:dyDescent="0.2">
      <c r="A95" s="76"/>
      <c r="B95" s="76"/>
      <c r="C95" s="461"/>
      <c r="D95" s="461"/>
      <c r="E95" s="461"/>
      <c r="F95" s="461"/>
      <c r="G95" s="461"/>
      <c r="H95" s="76"/>
      <c r="I95" s="76"/>
      <c r="J95" s="76"/>
      <c r="K95" s="76"/>
      <c r="L95" s="483"/>
      <c r="M95" s="76"/>
    </row>
    <row r="96" spans="1:32" s="254" customFormat="1" x14ac:dyDescent="0.2">
      <c r="A96" s="76"/>
      <c r="B96" s="76"/>
      <c r="C96" s="458"/>
      <c r="D96" s="292"/>
      <c r="E96" s="462"/>
      <c r="F96" s="462"/>
      <c r="G96" s="255"/>
      <c r="H96" s="76"/>
      <c r="I96" s="536"/>
      <c r="J96" s="537"/>
      <c r="K96" s="463"/>
      <c r="L96" s="495"/>
      <c r="M96" s="76"/>
    </row>
    <row r="97" spans="1:13" s="254" customFormat="1" x14ac:dyDescent="0.2">
      <c r="A97" s="76"/>
      <c r="B97" s="76"/>
      <c r="C97" s="458"/>
      <c r="D97" s="292"/>
      <c r="E97" s="462"/>
      <c r="F97" s="462"/>
      <c r="G97" s="255"/>
      <c r="H97" s="76"/>
      <c r="I97" s="536"/>
      <c r="J97" s="537"/>
      <c r="K97" s="463"/>
      <c r="L97" s="495"/>
      <c r="M97" s="76"/>
    </row>
    <row r="98" spans="1:13" s="254" customFormat="1" x14ac:dyDescent="0.2">
      <c r="A98" s="76"/>
      <c r="B98" s="76"/>
      <c r="C98" s="458"/>
      <c r="D98" s="292"/>
      <c r="E98" s="462"/>
      <c r="F98" s="462"/>
      <c r="G98" s="255"/>
      <c r="H98" s="76"/>
      <c r="I98" s="536"/>
      <c r="J98" s="537"/>
      <c r="K98" s="464"/>
      <c r="L98" s="496"/>
      <c r="M98" s="76"/>
    </row>
    <row r="99" spans="1:13" s="254" customFormat="1" x14ac:dyDescent="0.2">
      <c r="A99" s="76"/>
      <c r="B99" s="76"/>
      <c r="C99" s="458"/>
      <c r="D99" s="292"/>
      <c r="E99" s="462"/>
      <c r="F99" s="462"/>
      <c r="G99" s="255"/>
      <c r="H99" s="76"/>
      <c r="I99" s="76"/>
      <c r="J99" s="76"/>
      <c r="K99" s="76"/>
      <c r="L99" s="483"/>
      <c r="M99" s="76"/>
    </row>
    <row r="100" spans="1:13" s="254" customFormat="1" x14ac:dyDescent="0.2">
      <c r="A100" s="76"/>
      <c r="B100" s="76"/>
      <c r="C100" s="458"/>
      <c r="D100" s="292"/>
      <c r="E100" s="462"/>
      <c r="F100" s="462"/>
      <c r="G100" s="255"/>
      <c r="H100" s="76"/>
      <c r="I100" s="76"/>
      <c r="J100" s="76"/>
      <c r="K100" s="76"/>
      <c r="L100" s="483"/>
      <c r="M100" s="76"/>
    </row>
    <row r="101" spans="1:13" s="254" customFormat="1" x14ac:dyDescent="0.2">
      <c r="A101" s="76"/>
      <c r="B101" s="76"/>
      <c r="C101" s="458"/>
      <c r="D101" s="292"/>
      <c r="E101" s="462"/>
      <c r="F101" s="462"/>
      <c r="G101" s="255"/>
      <c r="H101" s="76"/>
      <c r="I101" s="76"/>
      <c r="J101" s="76"/>
      <c r="K101" s="76"/>
      <c r="L101" s="483"/>
      <c r="M101" s="76"/>
    </row>
    <row r="102" spans="1:13" s="254" customFormat="1" x14ac:dyDescent="0.2">
      <c r="A102" s="76"/>
      <c r="B102" s="76"/>
      <c r="C102" s="458"/>
      <c r="D102" s="292"/>
      <c r="E102" s="462"/>
      <c r="F102" s="462"/>
      <c r="G102" s="255"/>
      <c r="H102" s="76"/>
      <c r="I102" s="76"/>
      <c r="J102" s="76"/>
      <c r="K102" s="76"/>
      <c r="L102" s="483"/>
      <c r="M102" s="76"/>
    </row>
    <row r="103" spans="1:13" s="254" customFormat="1" x14ac:dyDescent="0.2">
      <c r="A103" s="76"/>
      <c r="B103" s="76"/>
      <c r="C103" s="458"/>
      <c r="D103" s="292"/>
      <c r="E103" s="462"/>
      <c r="F103" s="462"/>
      <c r="G103" s="255"/>
      <c r="H103" s="76"/>
      <c r="I103" s="76"/>
      <c r="J103" s="76"/>
      <c r="K103" s="76"/>
      <c r="L103" s="483"/>
      <c r="M103" s="76"/>
    </row>
    <row r="104" spans="1:13" s="254" customFormat="1" x14ac:dyDescent="0.2">
      <c r="A104" s="76"/>
      <c r="B104" s="76"/>
      <c r="C104" s="458"/>
      <c r="D104" s="292"/>
      <c r="E104" s="462"/>
      <c r="F104" s="462"/>
      <c r="G104" s="255"/>
      <c r="H104" s="76"/>
      <c r="I104" s="76"/>
      <c r="J104" s="76"/>
      <c r="K104" s="76"/>
      <c r="L104" s="483"/>
      <c r="M104" s="76"/>
    </row>
    <row r="105" spans="1:13" s="254" customFormat="1" x14ac:dyDescent="0.2">
      <c r="A105" s="76"/>
      <c r="B105" s="76"/>
      <c r="C105" s="458"/>
      <c r="D105" s="292"/>
      <c r="E105" s="462"/>
      <c r="F105" s="462"/>
      <c r="G105" s="255"/>
      <c r="H105" s="76"/>
      <c r="I105" s="76"/>
      <c r="J105" s="76"/>
      <c r="K105" s="76"/>
      <c r="L105" s="483"/>
      <c r="M105" s="76"/>
    </row>
    <row r="106" spans="1:13" s="254" customFormat="1" x14ac:dyDescent="0.2">
      <c r="A106" s="76"/>
      <c r="B106" s="76"/>
      <c r="C106" s="458"/>
      <c r="D106" s="292"/>
      <c r="E106" s="462"/>
      <c r="F106" s="462"/>
      <c r="G106" s="255"/>
      <c r="H106" s="76"/>
      <c r="I106" s="76"/>
      <c r="J106" s="76"/>
      <c r="K106" s="76"/>
      <c r="L106" s="483"/>
      <c r="M106" s="76"/>
    </row>
    <row r="107" spans="1:13" s="254" customFormat="1" ht="17" x14ac:dyDescent="0.3">
      <c r="A107" s="76"/>
      <c r="B107" s="76"/>
      <c r="C107" s="458"/>
      <c r="D107" s="459"/>
      <c r="E107" s="465"/>
      <c r="F107" s="465"/>
      <c r="G107" s="466"/>
      <c r="H107" s="76"/>
      <c r="I107" s="76"/>
      <c r="J107" s="76"/>
      <c r="K107" s="76"/>
      <c r="L107" s="483"/>
      <c r="M107" s="76"/>
    </row>
    <row r="108" spans="1:13" s="254" customFormat="1" x14ac:dyDescent="0.2">
      <c r="A108" s="76"/>
      <c r="B108" s="467"/>
      <c r="C108" s="468"/>
      <c r="D108" s="469"/>
      <c r="E108" s="470"/>
      <c r="F108" s="470"/>
      <c r="G108" s="471"/>
      <c r="H108" s="76"/>
      <c r="I108" s="76"/>
      <c r="J108" s="76"/>
      <c r="K108" s="76"/>
      <c r="L108" s="483"/>
      <c r="M108" s="76"/>
    </row>
    <row r="109" spans="1:13" s="254" customFormat="1" x14ac:dyDescent="0.2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483"/>
      <c r="M109" s="76"/>
    </row>
    <row r="110" spans="1:13" s="254" customFormat="1" x14ac:dyDescent="0.2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483"/>
      <c r="M110" s="76"/>
    </row>
    <row r="111" spans="1:13" s="254" customFormat="1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483"/>
      <c r="M111" s="76"/>
    </row>
  </sheetData>
  <mergeCells count="29">
    <mergeCell ref="X81:Y81"/>
    <mergeCell ref="W65:X65"/>
    <mergeCell ref="W62:X62"/>
    <mergeCell ref="W61:X61"/>
    <mergeCell ref="I98:J98"/>
    <mergeCell ref="I96:J96"/>
    <mergeCell ref="I97:J97"/>
    <mergeCell ref="H88:I88"/>
    <mergeCell ref="N10:O10"/>
    <mergeCell ref="N11:O11"/>
    <mergeCell ref="C49:G49"/>
    <mergeCell ref="I43:K43"/>
    <mergeCell ref="I49:K49"/>
    <mergeCell ref="D10:H10"/>
    <mergeCell ref="J10:K10"/>
    <mergeCell ref="D11:H11"/>
    <mergeCell ref="J11:K11"/>
    <mergeCell ref="D23:E23"/>
    <mergeCell ref="D12:H12"/>
    <mergeCell ref="E20:K20"/>
    <mergeCell ref="G23:H23"/>
    <mergeCell ref="E21:H21"/>
    <mergeCell ref="E22:H22"/>
    <mergeCell ref="J23:K23"/>
    <mergeCell ref="F78:G78"/>
    <mergeCell ref="C50:G50"/>
    <mergeCell ref="I50:K50"/>
    <mergeCell ref="I51:K51"/>
    <mergeCell ref="I78:K78"/>
  </mergeCells>
  <dataValidations count="1">
    <dataValidation type="list" allowBlank="1" showInputMessage="1" showErrorMessage="1" sqref="J12" xr:uid="{00000000-0002-0000-0000-000000000000}">
      <formula1>$W$20:$W$24</formula1>
    </dataValidation>
  </dataValidations>
  <hyperlinks>
    <hyperlink ref="H14" r:id="rId1" xr:uid="{541BA846-8787-4FE5-8EBA-8A38135A8E9D}"/>
    <hyperlink ref="I43" r:id="rId2" xr:uid="{7F27D4F6-A621-4D88-B8E7-06A3FDAAB1F6}"/>
    <hyperlink ref="I51" r:id="rId3" xr:uid="{D94FDBD7-C27F-4294-82ED-E1C459CE282C}"/>
    <hyperlink ref="I78" r:id="rId4" xr:uid="{52E007EB-2551-4817-8919-F6CDF126C841}"/>
  </hyperlinks>
  <printOptions horizontalCentered="1"/>
  <pageMargins left="0" right="0" top="0.35" bottom="0" header="0" footer="0.3"/>
  <pageSetup paperSize="5" scale="49" orientation="landscape" r:id="rId5"/>
  <headerFooter>
    <oddHeader>&amp;C&amp;"Arial Black,Regular"GEM$ Residential Home Owner's Underwriting Worksheet</oddHeader>
  </headerFooter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6"/>
  <sheetViews>
    <sheetView workbookViewId="0">
      <selection activeCell="B64" sqref="B64"/>
    </sheetView>
  </sheetViews>
  <sheetFormatPr baseColWidth="10" defaultColWidth="8.83203125" defaultRowHeight="15" x14ac:dyDescent="0.2"/>
  <cols>
    <col min="1" max="1" width="4.5" style="1" customWidth="1"/>
    <col min="2" max="2" width="6" style="1" customWidth="1"/>
    <col min="3" max="4" width="8.5" style="1"/>
    <col min="5" max="5" width="10.5" style="1" customWidth="1"/>
    <col min="6" max="6" width="2.83203125" style="1" customWidth="1"/>
    <col min="7" max="7" width="12.33203125" style="1" bestFit="1" customWidth="1"/>
    <col min="8" max="8" width="8.83203125" style="1" customWidth="1"/>
    <col min="9" max="9" width="8.83203125" style="1" bestFit="1"/>
    <col min="10" max="10" width="8.5" style="1"/>
    <col min="11" max="11" width="15.1640625" customWidth="1"/>
  </cols>
  <sheetData>
    <row r="1" spans="1:11" x14ac:dyDescent="0.2">
      <c r="G1" s="44"/>
      <c r="H1" s="44"/>
      <c r="I1" s="44"/>
      <c r="J1" s="44"/>
    </row>
    <row r="2" spans="1:11" x14ac:dyDescent="0.2">
      <c r="G2" s="44"/>
      <c r="H2" s="44"/>
      <c r="I2" s="44"/>
      <c r="J2" s="44"/>
      <c r="K2" s="46" t="s">
        <v>344</v>
      </c>
    </row>
    <row r="3" spans="1:11" x14ac:dyDescent="0.2">
      <c r="K3" s="46" t="s">
        <v>345</v>
      </c>
    </row>
    <row r="4" spans="1:11" ht="16" x14ac:dyDescent="0.2">
      <c r="A4" s="48" t="s">
        <v>91</v>
      </c>
      <c r="K4" s="46" t="s">
        <v>94</v>
      </c>
    </row>
    <row r="5" spans="1:11" ht="16" x14ac:dyDescent="0.2">
      <c r="A5" s="48"/>
      <c r="K5" s="46" t="s">
        <v>350</v>
      </c>
    </row>
    <row r="6" spans="1:11" ht="16" x14ac:dyDescent="0.2">
      <c r="A6" s="48"/>
      <c r="K6" s="46"/>
    </row>
    <row r="7" spans="1:11" ht="16" x14ac:dyDescent="0.2">
      <c r="A7" s="48"/>
      <c r="K7" s="46"/>
    </row>
    <row r="8" spans="1:11" s="331" customFormat="1" ht="14" x14ac:dyDescent="0.2">
      <c r="A8" s="547">
        <f>Eligibility!F80</f>
        <v>43760</v>
      </c>
      <c r="B8" s="547"/>
      <c r="C8" s="547"/>
      <c r="D8" s="547"/>
      <c r="E8" s="547"/>
      <c r="F8" s="547"/>
      <c r="G8" s="547"/>
      <c r="H8" s="547"/>
      <c r="I8" s="547"/>
      <c r="J8" s="547"/>
      <c r="K8" s="547"/>
    </row>
    <row r="9" spans="1:11" s="331" customFormat="1" ht="14" x14ac:dyDescent="0.2">
      <c r="A9" s="330"/>
      <c r="B9" s="330"/>
      <c r="C9" s="330"/>
      <c r="D9" s="330"/>
      <c r="E9" s="330"/>
      <c r="F9" s="330"/>
      <c r="G9" s="330"/>
      <c r="H9" s="330"/>
      <c r="I9" s="330"/>
      <c r="J9" s="330"/>
      <c r="K9" s="330"/>
    </row>
    <row r="10" spans="1:11" s="331" customFormat="1" ht="14" x14ac:dyDescent="0.2">
      <c r="A10" s="330"/>
      <c r="B10" s="330"/>
      <c r="C10" s="330"/>
      <c r="D10" s="330"/>
      <c r="E10" s="330"/>
      <c r="F10" s="330"/>
      <c r="G10" s="330"/>
      <c r="H10" s="330"/>
      <c r="I10" s="330"/>
      <c r="J10" s="330"/>
      <c r="K10" s="330"/>
    </row>
    <row r="11" spans="1:11" s="331" customFormat="1" ht="14" x14ac:dyDescent="0.2">
      <c r="A11" s="330"/>
      <c r="B11" s="330"/>
      <c r="C11" s="330"/>
      <c r="D11" s="330"/>
      <c r="E11" s="330"/>
      <c r="F11" s="330"/>
      <c r="G11" s="330"/>
      <c r="H11" s="330"/>
      <c r="I11" s="330"/>
      <c r="J11" s="330"/>
      <c r="K11" s="330"/>
    </row>
    <row r="12" spans="1:11" s="331" customFormat="1" ht="14" x14ac:dyDescent="0.2">
      <c r="A12" s="332" t="str">
        <f>Eligibility!D23</f>
        <v>Mickey Mouse</v>
      </c>
      <c r="B12" s="332"/>
      <c r="C12" s="332"/>
      <c r="D12" s="332"/>
      <c r="E12" s="332"/>
      <c r="F12" s="332"/>
      <c r="G12" s="332"/>
      <c r="H12" s="332"/>
      <c r="I12" s="332"/>
      <c r="J12" s="332"/>
    </row>
    <row r="13" spans="1:11" s="331" customFormat="1" ht="14" x14ac:dyDescent="0.2">
      <c r="A13" s="332" t="str">
        <f>Eligibility!D11</f>
        <v>Olani Street</v>
      </c>
      <c r="B13" s="332"/>
      <c r="C13" s="332"/>
      <c r="D13" s="332"/>
      <c r="E13" s="332"/>
      <c r="F13" s="332"/>
      <c r="G13" s="332"/>
      <c r="H13" s="332"/>
      <c r="I13" s="332"/>
      <c r="J13" s="332"/>
    </row>
    <row r="14" spans="1:11" s="331" customFormat="1" ht="14" x14ac:dyDescent="0.2">
      <c r="A14" s="332" t="str">
        <f>Eligibility!D12</f>
        <v>Kapolei, HI 96707</v>
      </c>
      <c r="B14" s="332"/>
      <c r="C14" s="332"/>
      <c r="D14" s="332"/>
      <c r="E14" s="332"/>
      <c r="F14" s="332"/>
      <c r="G14" s="332"/>
      <c r="H14" s="332"/>
      <c r="I14" s="332"/>
      <c r="J14" s="332"/>
    </row>
    <row r="15" spans="1:11" s="331" customFormat="1" ht="14" x14ac:dyDescent="0.2">
      <c r="A15" s="332"/>
      <c r="B15" s="332"/>
      <c r="C15" s="332"/>
      <c r="D15" s="332"/>
      <c r="E15" s="332"/>
      <c r="F15" s="332"/>
      <c r="G15" s="332"/>
      <c r="H15" s="332"/>
      <c r="I15" s="332"/>
      <c r="J15" s="332"/>
    </row>
    <row r="16" spans="1:11" s="331" customFormat="1" ht="14" x14ac:dyDescent="0.2">
      <c r="A16" s="332" t="s">
        <v>42</v>
      </c>
      <c r="B16" s="332"/>
      <c r="C16" s="332"/>
      <c r="D16" s="332"/>
      <c r="E16" s="332"/>
      <c r="F16" s="332"/>
      <c r="G16" s="332"/>
      <c r="H16" s="332"/>
      <c r="I16" s="332"/>
      <c r="J16" s="332"/>
    </row>
    <row r="17" spans="1:11" s="331" customFormat="1" ht="14" x14ac:dyDescent="0.2">
      <c r="A17" s="332"/>
      <c r="B17" s="332"/>
      <c r="C17" s="332"/>
      <c r="D17" s="332"/>
      <c r="E17" s="332"/>
      <c r="F17" s="332"/>
      <c r="G17" s="332"/>
      <c r="H17" s="332"/>
      <c r="I17" s="332"/>
      <c r="J17" s="332"/>
    </row>
    <row r="18" spans="1:11" s="331" customFormat="1" ht="14" x14ac:dyDescent="0.2">
      <c r="A18" s="548" t="s">
        <v>95</v>
      </c>
      <c r="B18" s="548"/>
      <c r="C18" s="548"/>
      <c r="D18" s="548"/>
      <c r="E18" s="548"/>
      <c r="F18" s="548"/>
      <c r="G18" s="548"/>
      <c r="H18" s="548"/>
      <c r="I18" s="548"/>
      <c r="J18" s="548"/>
      <c r="K18" s="548"/>
    </row>
    <row r="19" spans="1:11" s="331" customFormat="1" ht="14" x14ac:dyDescent="0.2">
      <c r="A19" s="341"/>
      <c r="B19" s="341"/>
      <c r="C19" s="341"/>
      <c r="D19" s="341"/>
      <c r="E19" s="341"/>
      <c r="F19" s="341"/>
      <c r="G19" s="341"/>
      <c r="H19" s="341"/>
      <c r="I19" s="341"/>
      <c r="J19" s="341"/>
      <c r="K19" s="341"/>
    </row>
    <row r="20" spans="1:11" s="331" customFormat="1" ht="14" x14ac:dyDescent="0.2">
      <c r="A20" s="408"/>
      <c r="B20" s="408"/>
      <c r="C20" s="408"/>
      <c r="D20" s="408"/>
      <c r="E20" s="333" t="s">
        <v>432</v>
      </c>
      <c r="F20" s="408"/>
      <c r="G20" s="409">
        <f>Eligibility!J59</f>
        <v>7000</v>
      </c>
      <c r="H20" s="408"/>
      <c r="I20" s="408"/>
      <c r="J20" s="408"/>
      <c r="K20" s="408"/>
    </row>
    <row r="21" spans="1:11" s="331" customFormat="1" ht="14" x14ac:dyDescent="0.2">
      <c r="A21" s="332"/>
      <c r="B21" s="332"/>
      <c r="C21" s="332"/>
      <c r="D21" s="332"/>
      <c r="E21" s="333" t="s">
        <v>96</v>
      </c>
      <c r="F21" s="332"/>
      <c r="G21" s="334">
        <f>Eligibility!J66</f>
        <v>9300</v>
      </c>
      <c r="H21" s="332"/>
      <c r="I21" s="332"/>
      <c r="J21" s="332" t="s">
        <v>380</v>
      </c>
    </row>
    <row r="22" spans="1:11" s="331" customFormat="1" ht="14" x14ac:dyDescent="0.2">
      <c r="A22" s="332"/>
      <c r="B22" s="332"/>
      <c r="C22" s="332"/>
      <c r="D22" s="332"/>
      <c r="E22" s="333" t="s">
        <v>97</v>
      </c>
      <c r="F22" s="332"/>
      <c r="G22" s="335">
        <f>Eligibility!J67</f>
        <v>5.5E-2</v>
      </c>
      <c r="H22" s="332"/>
      <c r="I22" s="332"/>
      <c r="J22" s="332"/>
    </row>
    <row r="23" spans="1:11" s="331" customFormat="1" ht="14" x14ac:dyDescent="0.2">
      <c r="A23" s="332"/>
      <c r="B23" s="332"/>
      <c r="C23" s="332"/>
      <c r="D23" s="332"/>
      <c r="E23" s="333" t="s">
        <v>98</v>
      </c>
      <c r="F23" s="332"/>
      <c r="G23" s="336">
        <f>Eligibility!J69</f>
        <v>20</v>
      </c>
      <c r="H23" s="332" t="s">
        <v>99</v>
      </c>
      <c r="I23" s="332"/>
      <c r="J23" s="332"/>
    </row>
    <row r="24" spans="1:11" s="331" customFormat="1" ht="14" x14ac:dyDescent="0.2">
      <c r="A24" s="332"/>
      <c r="B24" s="332"/>
      <c r="C24" s="332"/>
      <c r="D24" s="332"/>
      <c r="E24" s="333" t="s">
        <v>100</v>
      </c>
      <c r="F24" s="332"/>
      <c r="G24" s="336">
        <f>Eligibility!J68</f>
        <v>19</v>
      </c>
      <c r="H24" s="332" t="s">
        <v>99</v>
      </c>
      <c r="I24" s="332"/>
      <c r="J24" s="332"/>
    </row>
    <row r="25" spans="1:11" s="331" customFormat="1" ht="14" x14ac:dyDescent="0.2">
      <c r="A25" s="332"/>
      <c r="B25" s="332"/>
      <c r="C25" s="332"/>
      <c r="D25" s="332"/>
      <c r="E25" s="333" t="s">
        <v>101</v>
      </c>
      <c r="F25" s="332"/>
      <c r="G25" s="337">
        <f>'S2-SHW'!D8</f>
        <v>65.833418837697025</v>
      </c>
      <c r="H25" s="332" t="s">
        <v>68</v>
      </c>
      <c r="I25" s="332"/>
      <c r="J25" s="332"/>
    </row>
    <row r="26" spans="1:11" s="331" customFormat="1" ht="14" x14ac:dyDescent="0.2">
      <c r="A26" s="332"/>
      <c r="B26" s="332"/>
      <c r="C26" s="332"/>
      <c r="D26" s="333"/>
      <c r="E26" s="332"/>
      <c r="F26" s="334"/>
      <c r="G26" s="332"/>
      <c r="H26" s="332"/>
      <c r="I26" s="332"/>
      <c r="J26" s="332"/>
    </row>
    <row r="27" spans="1:11" s="331" customFormat="1" ht="14" x14ac:dyDescent="0.2">
      <c r="A27" s="332" t="s">
        <v>102</v>
      </c>
      <c r="B27" s="332"/>
      <c r="C27" s="332"/>
      <c r="D27" s="333"/>
      <c r="E27" s="332"/>
      <c r="F27" s="334"/>
      <c r="G27" s="332"/>
      <c r="H27" s="332"/>
      <c r="I27" s="332"/>
      <c r="J27" s="332"/>
    </row>
    <row r="28" spans="1:11" s="331" customFormat="1" ht="14" x14ac:dyDescent="0.2">
      <c r="A28" s="332"/>
      <c r="B28" s="332"/>
      <c r="C28" s="332"/>
      <c r="D28" s="333"/>
      <c r="E28" s="332"/>
      <c r="F28" s="334"/>
      <c r="G28" s="332"/>
      <c r="H28" s="332"/>
      <c r="I28" s="332"/>
      <c r="J28" s="332"/>
    </row>
    <row r="29" spans="1:11" s="331" customFormat="1" ht="14" x14ac:dyDescent="0.2">
      <c r="A29" s="338" t="s">
        <v>7</v>
      </c>
      <c r="B29" s="332" t="s">
        <v>268</v>
      </c>
      <c r="C29" s="332"/>
      <c r="D29" s="333"/>
      <c r="E29" s="332"/>
      <c r="F29" s="334"/>
      <c r="G29" s="332"/>
      <c r="H29" s="332"/>
      <c r="I29" s="332"/>
      <c r="J29" s="332"/>
    </row>
    <row r="30" spans="1:11" s="331" customFormat="1" ht="14" x14ac:dyDescent="0.2">
      <c r="A30" s="332"/>
      <c r="B30" s="332" t="s">
        <v>347</v>
      </c>
      <c r="C30" s="332"/>
      <c r="D30" s="333"/>
      <c r="E30" s="332"/>
      <c r="F30" s="334"/>
      <c r="G30" s="332"/>
      <c r="H30" s="332"/>
      <c r="I30" s="332"/>
      <c r="J30" s="332"/>
    </row>
    <row r="31" spans="1:11" s="331" customFormat="1" ht="14" x14ac:dyDescent="0.2">
      <c r="A31" s="332"/>
      <c r="B31" s="332" t="s">
        <v>346</v>
      </c>
      <c r="C31" s="332"/>
      <c r="D31" s="333"/>
      <c r="E31" s="332"/>
      <c r="F31" s="334"/>
      <c r="G31" s="332"/>
      <c r="H31" s="332"/>
      <c r="I31" s="332"/>
      <c r="J31" s="332"/>
    </row>
    <row r="32" spans="1:11" s="332" customFormat="1" ht="13" x14ac:dyDescent="0.15">
      <c r="A32" s="338" t="s">
        <v>9</v>
      </c>
      <c r="B32" s="332" t="s">
        <v>349</v>
      </c>
      <c r="D32" s="333"/>
      <c r="F32" s="334"/>
    </row>
    <row r="33" spans="1:10" s="332" customFormat="1" ht="13" x14ac:dyDescent="0.15">
      <c r="A33" s="338"/>
      <c r="B33" s="332" t="s">
        <v>348</v>
      </c>
      <c r="D33" s="333"/>
      <c r="F33" s="334"/>
    </row>
    <row r="34" spans="1:10" s="331" customFormat="1" ht="14" x14ac:dyDescent="0.2">
      <c r="A34" s="338" t="s">
        <v>11</v>
      </c>
      <c r="B34" s="332" t="s">
        <v>269</v>
      </c>
      <c r="C34" s="332"/>
      <c r="D34" s="333"/>
      <c r="E34" s="332"/>
      <c r="F34" s="334"/>
      <c r="G34" s="332"/>
      <c r="H34" s="332"/>
      <c r="I34" s="332"/>
      <c r="J34" s="332"/>
    </row>
    <row r="35" spans="1:10" s="331" customFormat="1" ht="14" x14ac:dyDescent="0.2">
      <c r="A35" s="332"/>
      <c r="B35" s="332" t="s">
        <v>278</v>
      </c>
      <c r="C35" s="332"/>
      <c r="D35" s="333"/>
      <c r="E35" s="332"/>
      <c r="F35" s="334"/>
      <c r="G35" s="332"/>
      <c r="H35" s="332"/>
      <c r="I35" s="332"/>
      <c r="J35" s="332"/>
    </row>
    <row r="36" spans="1:10" s="331" customFormat="1" ht="14" x14ac:dyDescent="0.2">
      <c r="A36" s="338" t="s">
        <v>64</v>
      </c>
      <c r="B36" s="332" t="s">
        <v>276</v>
      </c>
      <c r="C36" s="332"/>
      <c r="D36" s="333"/>
      <c r="E36" s="332"/>
      <c r="F36" s="334"/>
      <c r="G36" s="332"/>
      <c r="H36" s="332"/>
      <c r="I36" s="332"/>
      <c r="J36" s="332"/>
    </row>
    <row r="37" spans="1:10" s="331" customFormat="1" ht="14" x14ac:dyDescent="0.2">
      <c r="A37" s="338"/>
      <c r="B37" s="332" t="s">
        <v>277</v>
      </c>
      <c r="C37" s="332"/>
      <c r="D37" s="333"/>
      <c r="E37" s="332"/>
      <c r="F37" s="334"/>
      <c r="G37" s="332"/>
      <c r="H37" s="332"/>
      <c r="I37" s="332"/>
      <c r="J37" s="332"/>
    </row>
    <row r="38" spans="1:10" s="331" customFormat="1" ht="14" x14ac:dyDescent="0.2">
      <c r="A38" s="332"/>
      <c r="B38" s="332"/>
      <c r="C38" s="332"/>
      <c r="D38" s="333"/>
      <c r="E38" s="332"/>
      <c r="F38" s="334"/>
      <c r="G38" s="332"/>
      <c r="H38" s="332"/>
      <c r="I38" s="332"/>
      <c r="J38" s="332"/>
    </row>
    <row r="39" spans="1:10" s="331" customFormat="1" ht="14" x14ac:dyDescent="0.2">
      <c r="A39" s="332" t="s">
        <v>461</v>
      </c>
      <c r="B39" s="332"/>
      <c r="C39" s="332"/>
      <c r="D39" s="333"/>
      <c r="E39" s="332"/>
      <c r="F39" s="334"/>
      <c r="G39" s="332"/>
      <c r="H39" s="332"/>
      <c r="I39" s="332"/>
      <c r="J39" s="332"/>
    </row>
    <row r="40" spans="1:10" s="331" customFormat="1" ht="14" x14ac:dyDescent="0.2">
      <c r="A40" s="332" t="s">
        <v>460</v>
      </c>
      <c r="B40" s="332"/>
      <c r="C40" s="332"/>
      <c r="D40" s="333"/>
      <c r="E40" s="332"/>
      <c r="F40" s="334"/>
      <c r="G40" s="332"/>
      <c r="H40" s="332"/>
      <c r="I40" s="332"/>
      <c r="J40" s="332"/>
    </row>
    <row r="41" spans="1:10" s="331" customFormat="1" ht="14" x14ac:dyDescent="0.2">
      <c r="A41" s="332"/>
      <c r="B41" s="332"/>
      <c r="C41" s="332"/>
      <c r="D41" s="333"/>
      <c r="E41" s="332"/>
      <c r="F41" s="334"/>
      <c r="G41" s="332"/>
      <c r="H41" s="332"/>
      <c r="I41" s="332"/>
      <c r="J41" s="332"/>
    </row>
    <row r="42" spans="1:10" s="331" customFormat="1" ht="14" x14ac:dyDescent="0.2">
      <c r="A42" s="332" t="s">
        <v>274</v>
      </c>
      <c r="B42" s="332"/>
      <c r="C42" s="332"/>
      <c r="D42" s="333"/>
      <c r="E42" s="332"/>
      <c r="F42" s="334"/>
      <c r="G42" s="332"/>
      <c r="H42" s="332"/>
      <c r="I42" s="332"/>
      <c r="J42" s="332"/>
    </row>
    <row r="43" spans="1:10" s="331" customFormat="1" ht="14" x14ac:dyDescent="0.2">
      <c r="A43" s="332" t="s">
        <v>275</v>
      </c>
      <c r="B43" s="332"/>
      <c r="C43" s="332"/>
      <c r="D43" s="333"/>
      <c r="E43" s="332"/>
      <c r="F43" s="334"/>
      <c r="G43" s="332"/>
      <c r="H43" s="332"/>
      <c r="I43" s="332"/>
      <c r="J43" s="332"/>
    </row>
    <row r="44" spans="1:10" s="331" customFormat="1" ht="14" x14ac:dyDescent="0.2">
      <c r="A44" s="332"/>
      <c r="B44" s="332"/>
      <c r="C44" s="332"/>
      <c r="D44" s="333"/>
      <c r="E44" s="332"/>
      <c r="F44" s="334"/>
      <c r="G44" s="332"/>
      <c r="H44" s="332"/>
      <c r="I44" s="332"/>
      <c r="J44" s="332"/>
    </row>
    <row r="45" spans="1:10" s="331" customFormat="1" ht="14" x14ac:dyDescent="0.2">
      <c r="A45" s="332" t="s">
        <v>270</v>
      </c>
      <c r="B45" s="332"/>
      <c r="C45" s="332"/>
      <c r="D45" s="333"/>
      <c r="E45" s="332"/>
      <c r="F45" s="334"/>
      <c r="G45" s="332"/>
      <c r="H45" s="332"/>
      <c r="I45" s="332"/>
      <c r="J45" s="332"/>
    </row>
    <row r="46" spans="1:10" s="331" customFormat="1" ht="14" x14ac:dyDescent="0.2">
      <c r="A46" s="332" t="s">
        <v>271</v>
      </c>
      <c r="B46" s="332"/>
      <c r="C46" s="332"/>
      <c r="D46" s="333"/>
      <c r="E46" s="332"/>
      <c r="F46" s="334"/>
      <c r="G46" s="332"/>
      <c r="H46" s="332"/>
      <c r="I46" s="332"/>
      <c r="J46" s="332"/>
    </row>
    <row r="47" spans="1:10" s="331" customFormat="1" ht="14" x14ac:dyDescent="0.2">
      <c r="A47" s="332" t="s">
        <v>272</v>
      </c>
      <c r="B47" s="332"/>
      <c r="C47" s="332"/>
      <c r="D47" s="333"/>
      <c r="E47" s="332"/>
      <c r="F47" s="334"/>
      <c r="G47" s="332"/>
      <c r="H47" s="332"/>
      <c r="I47" s="332"/>
      <c r="J47" s="332"/>
    </row>
    <row r="48" spans="1:10" s="331" customFormat="1" ht="14" x14ac:dyDescent="0.2">
      <c r="A48" s="332" t="s">
        <v>273</v>
      </c>
      <c r="B48" s="332"/>
      <c r="C48" s="332"/>
      <c r="D48" s="333"/>
      <c r="E48" s="332"/>
      <c r="F48" s="334"/>
      <c r="G48" s="332"/>
      <c r="H48" s="332"/>
      <c r="I48" s="332"/>
      <c r="J48" s="332"/>
    </row>
    <row r="49" spans="1:11" s="331" customFormat="1" ht="14" x14ac:dyDescent="0.2">
      <c r="A49" s="332"/>
      <c r="B49" s="332"/>
      <c r="C49" s="332"/>
      <c r="D49" s="333"/>
      <c r="E49" s="332"/>
      <c r="F49" s="334"/>
      <c r="G49" s="332"/>
      <c r="H49" s="332"/>
      <c r="I49" s="332"/>
      <c r="J49" s="332"/>
    </row>
    <row r="50" spans="1:11" s="331" customFormat="1" ht="14" x14ac:dyDescent="0.2">
      <c r="A50" s="332" t="s">
        <v>281</v>
      </c>
      <c r="B50" s="332"/>
      <c r="C50" s="332"/>
      <c r="D50" s="333"/>
      <c r="E50" s="332"/>
      <c r="F50" s="334"/>
      <c r="G50" s="332"/>
      <c r="H50" s="332"/>
      <c r="I50" s="332"/>
      <c r="J50" s="332"/>
    </row>
    <row r="51" spans="1:11" s="331" customFormat="1" ht="14" x14ac:dyDescent="0.2">
      <c r="A51" s="332" t="s">
        <v>280</v>
      </c>
      <c r="B51" s="332"/>
      <c r="C51" s="332"/>
      <c r="D51" s="333"/>
      <c r="E51" s="332"/>
      <c r="F51" s="334"/>
      <c r="G51" s="332"/>
      <c r="H51" s="332"/>
      <c r="I51" s="332"/>
      <c r="J51" s="332"/>
    </row>
    <row r="52" spans="1:11" s="331" customFormat="1" ht="14" x14ac:dyDescent="0.2">
      <c r="A52" s="339"/>
      <c r="B52" s="340"/>
      <c r="C52" s="341"/>
      <c r="D52" s="341"/>
      <c r="E52" s="341"/>
      <c r="F52" s="341"/>
      <c r="G52" s="341"/>
      <c r="H52" s="341"/>
      <c r="I52" s="341"/>
      <c r="J52" s="341"/>
      <c r="K52" s="341"/>
    </row>
    <row r="53" spans="1:11" s="331" customFormat="1" ht="14" x14ac:dyDescent="0.2">
      <c r="A53" s="332"/>
      <c r="B53" s="332"/>
      <c r="C53" s="332"/>
      <c r="D53" s="332"/>
      <c r="E53" s="332"/>
      <c r="G53" s="332" t="s">
        <v>66</v>
      </c>
      <c r="H53" s="332"/>
      <c r="I53" s="332"/>
      <c r="J53" s="332"/>
    </row>
    <row r="54" spans="1:11" s="331" customFormat="1" ht="14" x14ac:dyDescent="0.2">
      <c r="A54" s="332"/>
      <c r="B54" s="332"/>
      <c r="C54" s="332"/>
      <c r="D54" s="332"/>
      <c r="E54" s="332"/>
      <c r="G54" s="332"/>
      <c r="H54" s="332"/>
      <c r="I54" s="332"/>
      <c r="J54" s="332"/>
    </row>
    <row r="55" spans="1:11" s="331" customFormat="1" ht="14" x14ac:dyDescent="0.2">
      <c r="A55" s="332"/>
      <c r="B55" s="332"/>
      <c r="C55" s="332"/>
      <c r="D55" s="332"/>
      <c r="E55" s="332"/>
      <c r="G55" s="332"/>
      <c r="H55" s="332"/>
      <c r="I55" s="332"/>
      <c r="J55" s="332"/>
    </row>
    <row r="56" spans="1:11" s="331" customFormat="1" ht="14" x14ac:dyDescent="0.2">
      <c r="A56" s="332"/>
      <c r="B56" s="332"/>
      <c r="C56" s="332"/>
      <c r="D56" s="332"/>
      <c r="E56" s="332"/>
      <c r="G56" s="332"/>
      <c r="H56" s="332"/>
      <c r="I56" s="332"/>
      <c r="J56" s="332"/>
    </row>
    <row r="57" spans="1:11" s="331" customFormat="1" ht="14" x14ac:dyDescent="0.2">
      <c r="A57" s="332"/>
      <c r="B57" s="332"/>
      <c r="C57" s="332"/>
      <c r="D57" s="332"/>
      <c r="E57" s="332"/>
      <c r="G57" s="332" t="str">
        <f>Eligibility!D78</f>
        <v>Cindy Nawilis</v>
      </c>
      <c r="H57" s="332"/>
      <c r="I57" s="332"/>
      <c r="J57" s="332"/>
    </row>
    <row r="58" spans="1:11" s="331" customFormat="1" ht="14" x14ac:dyDescent="0.2">
      <c r="A58" s="332"/>
      <c r="B58" s="332"/>
      <c r="C58" s="332"/>
      <c r="D58" s="332"/>
      <c r="E58" s="332"/>
      <c r="G58" s="332" t="str">
        <f>Eligibility!F78</f>
        <v>Loan Processor</v>
      </c>
      <c r="H58" s="332"/>
      <c r="I58" s="332"/>
      <c r="J58" s="332"/>
    </row>
    <row r="59" spans="1:11" s="331" customFormat="1" ht="14" x14ac:dyDescent="0.2">
      <c r="A59" s="332"/>
      <c r="B59" s="332"/>
      <c r="C59" s="332"/>
      <c r="D59" s="332"/>
      <c r="E59" s="332"/>
      <c r="G59" s="332" t="str">
        <f>Eligibility!I78</f>
        <v>slackme@email.com</v>
      </c>
      <c r="H59" s="332"/>
      <c r="I59" s="332"/>
      <c r="J59" s="332"/>
    </row>
    <row r="60" spans="1:11" s="331" customFormat="1" ht="14" x14ac:dyDescent="0.2">
      <c r="A60" s="332"/>
      <c r="B60" s="332"/>
      <c r="C60" s="332"/>
      <c r="D60" s="332"/>
      <c r="E60" s="332"/>
      <c r="G60" s="332"/>
      <c r="H60" s="332"/>
      <c r="I60" s="332"/>
      <c r="J60" s="332"/>
    </row>
    <row r="61" spans="1:11" s="331" customFormat="1" ht="14" x14ac:dyDescent="0.2">
      <c r="A61" s="332" t="s">
        <v>282</v>
      </c>
      <c r="B61" s="332"/>
      <c r="C61" s="332" t="s">
        <v>284</v>
      </c>
      <c r="D61" s="332"/>
      <c r="E61" s="332"/>
      <c r="G61" s="332"/>
      <c r="H61" s="332"/>
      <c r="I61" s="332"/>
      <c r="J61" s="332"/>
    </row>
    <row r="62" spans="1:11" s="331" customFormat="1" ht="14" x14ac:dyDescent="0.2">
      <c r="A62" s="332"/>
      <c r="B62" s="332"/>
      <c r="C62" s="332" t="s">
        <v>283</v>
      </c>
      <c r="D62" s="332"/>
      <c r="E62" s="332"/>
      <c r="G62" s="332"/>
      <c r="H62" s="332"/>
      <c r="I62" s="332"/>
      <c r="J62" s="332"/>
    </row>
    <row r="63" spans="1:11" s="331" customFormat="1" ht="14" x14ac:dyDescent="0.2">
      <c r="A63" s="332"/>
      <c r="B63" s="332"/>
      <c r="C63" s="332" t="s">
        <v>285</v>
      </c>
      <c r="D63" s="332"/>
      <c r="E63" s="332"/>
      <c r="G63" s="332"/>
      <c r="H63" s="332"/>
      <c r="I63" s="332"/>
      <c r="J63" s="332"/>
    </row>
    <row r="64" spans="1:11" s="331" customFormat="1" ht="14" x14ac:dyDescent="0.2">
      <c r="A64" s="332"/>
      <c r="B64" s="332"/>
      <c r="C64" s="332" t="s">
        <v>286</v>
      </c>
      <c r="D64" s="332"/>
      <c r="E64" s="332"/>
      <c r="G64" s="332"/>
      <c r="H64" s="332"/>
      <c r="I64" s="332"/>
      <c r="J64" s="332"/>
    </row>
    <row r="65" spans="1:10" s="331" customFormat="1" ht="14" x14ac:dyDescent="0.2">
      <c r="A65" s="332"/>
      <c r="B65" s="332"/>
      <c r="C65" s="332"/>
      <c r="D65" s="332"/>
      <c r="E65" s="332"/>
      <c r="G65" s="332"/>
      <c r="H65" s="332"/>
      <c r="I65" s="332"/>
      <c r="J65" s="332"/>
    </row>
    <row r="66" spans="1:10" s="331" customFormat="1" ht="14" x14ac:dyDescent="0.2">
      <c r="A66" s="332" t="s">
        <v>90</v>
      </c>
      <c r="B66" s="332" t="str">
        <f>Eligibility!C49</f>
        <v>Disney Solar</v>
      </c>
      <c r="C66" s="332"/>
      <c r="D66" s="332"/>
      <c r="E66" s="332"/>
      <c r="F66" s="332"/>
      <c r="G66" s="332"/>
      <c r="H66" s="332"/>
      <c r="I66" s="332"/>
      <c r="J66" s="332"/>
    </row>
  </sheetData>
  <sheetProtection insertHyperlinks="0" selectLockedCells="1" selectUnlockedCells="1"/>
  <mergeCells count="2">
    <mergeCell ref="A8:K8"/>
    <mergeCell ref="A18:K18"/>
  </mergeCells>
  <printOptions horizontalCentered="1"/>
  <pageMargins left="0.65" right="0.4" top="0.25" bottom="0" header="0.3" footer="0.1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5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5.5" style="1" customWidth="1"/>
    <col min="2" max="2" width="6" style="1" customWidth="1"/>
    <col min="3" max="3" width="9.1640625" style="1"/>
    <col min="4" max="4" width="10.5" style="1" customWidth="1"/>
    <col min="5" max="5" width="9.83203125" style="1" bestFit="1" customWidth="1"/>
    <col min="6" max="6" width="4.1640625" style="1" customWidth="1"/>
    <col min="7" max="7" width="11.5" style="1" customWidth="1"/>
    <col min="8" max="8" width="7.83203125" style="1" customWidth="1"/>
    <col min="9" max="9" width="9.1640625" style="1"/>
    <col min="10" max="10" width="12.5" style="1" customWidth="1"/>
    <col min="11" max="11" width="15.5" customWidth="1"/>
  </cols>
  <sheetData>
    <row r="1" spans="1:11" x14ac:dyDescent="0.2">
      <c r="G1" s="44"/>
      <c r="H1" s="44"/>
      <c r="I1" s="44"/>
      <c r="J1" s="44"/>
    </row>
    <row r="2" spans="1:11" x14ac:dyDescent="0.2">
      <c r="G2" s="44"/>
      <c r="H2" s="44"/>
      <c r="I2" s="44"/>
      <c r="J2" s="46" t="s">
        <v>92</v>
      </c>
    </row>
    <row r="3" spans="1:11" x14ac:dyDescent="0.2">
      <c r="J3" s="46" t="s">
        <v>93</v>
      </c>
    </row>
    <row r="4" spans="1:11" ht="16" x14ac:dyDescent="0.2">
      <c r="A4" s="48" t="s">
        <v>91</v>
      </c>
      <c r="J4" s="46" t="s">
        <v>94</v>
      </c>
    </row>
    <row r="5" spans="1:11" ht="16" x14ac:dyDescent="0.2">
      <c r="A5" s="48"/>
      <c r="J5" s="46"/>
    </row>
    <row r="6" spans="1:11" x14ac:dyDescent="0.2">
      <c r="A6" s="539">
        <f>Eligibility!F84</f>
        <v>0</v>
      </c>
      <c r="B6" s="539"/>
      <c r="C6" s="539"/>
      <c r="D6" s="539"/>
      <c r="E6" s="539"/>
      <c r="F6" s="539"/>
      <c r="G6" s="539"/>
      <c r="H6" s="539"/>
      <c r="I6" s="539"/>
      <c r="J6" s="539"/>
      <c r="K6" s="424"/>
    </row>
    <row r="7" spans="1:11" x14ac:dyDescent="0.2">
      <c r="A7" s="424"/>
      <c r="B7" s="424"/>
      <c r="C7" s="424"/>
      <c r="D7" s="424"/>
      <c r="E7" s="424"/>
      <c r="F7" s="424"/>
      <c r="G7" s="424"/>
      <c r="H7" s="424"/>
      <c r="I7" s="424"/>
      <c r="J7" s="424"/>
      <c r="K7" s="424"/>
    </row>
    <row r="9" spans="1:11" x14ac:dyDescent="0.2">
      <c r="A9" s="1" t="str">
        <f>Eligibility!I49</f>
        <v>Donald Duck</v>
      </c>
    </row>
    <row r="10" spans="1:11" x14ac:dyDescent="0.2">
      <c r="A10" s="1" t="str">
        <f>Eligibility!C49</f>
        <v>Disney Solar</v>
      </c>
    </row>
    <row r="11" spans="1:11" x14ac:dyDescent="0.2">
      <c r="A11" s="1" t="str">
        <f>Eligibility!C50</f>
        <v>Olani Street</v>
      </c>
    </row>
    <row r="12" spans="1:11" x14ac:dyDescent="0.2">
      <c r="A12" s="1" t="str">
        <f>Eligibility!I50</f>
        <v>Kapolei, HI 96707</v>
      </c>
    </row>
    <row r="14" spans="1:11" s="1" customFormat="1" x14ac:dyDescent="0.2">
      <c r="A14" s="1" t="s">
        <v>305</v>
      </c>
      <c r="B14" s="1" t="str">
        <f>Eligibility!I49</f>
        <v>Donald Duck</v>
      </c>
      <c r="K14"/>
    </row>
    <row r="16" spans="1:11" s="1" customFormat="1" x14ac:dyDescent="0.2">
      <c r="A16" s="1" t="s">
        <v>306</v>
      </c>
      <c r="K16"/>
    </row>
    <row r="17" spans="1:11" s="1" customFormat="1" x14ac:dyDescent="0.2">
      <c r="A17" s="1" t="s">
        <v>308</v>
      </c>
      <c r="K17"/>
    </row>
    <row r="18" spans="1:11" s="1" customFormat="1" x14ac:dyDescent="0.2">
      <c r="A18" s="1" t="s">
        <v>307</v>
      </c>
      <c r="K18"/>
    </row>
    <row r="19" spans="1:11" s="1" customFormat="1" x14ac:dyDescent="0.2">
      <c r="K19"/>
    </row>
    <row r="20" spans="1:11" s="1" customFormat="1" x14ac:dyDescent="0.2">
      <c r="B20" s="1" t="str">
        <f>Eligibility!D23</f>
        <v>Mickey Mouse</v>
      </c>
      <c r="K20"/>
    </row>
    <row r="21" spans="1:11" x14ac:dyDescent="0.2">
      <c r="B21" s="1" t="str">
        <f>Eligibility!D11</f>
        <v>Olani Street</v>
      </c>
    </row>
    <row r="22" spans="1:11" s="1" customFormat="1" x14ac:dyDescent="0.2">
      <c r="B22" s="99" t="str">
        <f>Eligibility!D12</f>
        <v>Kapolei, HI 96707</v>
      </c>
      <c r="C22" s="99"/>
      <c r="K22"/>
    </row>
    <row r="23" spans="1:11" s="1" customFormat="1" x14ac:dyDescent="0.2">
      <c r="B23" s="425"/>
      <c r="C23" s="99"/>
      <c r="K23"/>
    </row>
    <row r="24" spans="1:11" s="1" customFormat="1" x14ac:dyDescent="0.2">
      <c r="A24" s="1" t="s">
        <v>309</v>
      </c>
      <c r="B24" s="425"/>
      <c r="C24" s="100"/>
      <c r="K24"/>
    </row>
    <row r="25" spans="1:11" s="1" customFormat="1" x14ac:dyDescent="0.2">
      <c r="A25" s="1" t="s">
        <v>310</v>
      </c>
      <c r="B25" s="425"/>
      <c r="C25" s="99"/>
      <c r="K25"/>
    </row>
    <row r="26" spans="1:11" s="1" customFormat="1" x14ac:dyDescent="0.2">
      <c r="K26"/>
    </row>
    <row r="27" spans="1:11" s="1" customFormat="1" x14ac:dyDescent="0.2">
      <c r="B27" s="1" t="s">
        <v>402</v>
      </c>
      <c r="K27"/>
    </row>
    <row r="28" spans="1:11" s="1" customFormat="1" x14ac:dyDescent="0.2">
      <c r="B28" s="425" t="s">
        <v>145</v>
      </c>
      <c r="C28" s="99" t="s">
        <v>404</v>
      </c>
      <c r="K28"/>
    </row>
    <row r="29" spans="1:11" s="1" customFormat="1" x14ac:dyDescent="0.2">
      <c r="B29" s="425" t="s">
        <v>145</v>
      </c>
      <c r="C29" s="99" t="s">
        <v>405</v>
      </c>
      <c r="K29"/>
    </row>
    <row r="30" spans="1:11" s="1" customFormat="1" x14ac:dyDescent="0.2">
      <c r="B30" s="99" t="s">
        <v>403</v>
      </c>
      <c r="C30" s="99"/>
      <c r="K30"/>
    </row>
    <row r="31" spans="1:11" s="1" customFormat="1" x14ac:dyDescent="0.2">
      <c r="B31" s="425" t="s">
        <v>145</v>
      </c>
      <c r="C31" s="99" t="s">
        <v>311</v>
      </c>
      <c r="K31"/>
    </row>
    <row r="32" spans="1:11" s="1" customFormat="1" x14ac:dyDescent="0.2">
      <c r="B32" s="425" t="s">
        <v>145</v>
      </c>
      <c r="C32" s="99" t="s">
        <v>406</v>
      </c>
      <c r="K32"/>
    </row>
    <row r="33" spans="1:11" s="1" customFormat="1" x14ac:dyDescent="0.2">
      <c r="B33" s="45"/>
      <c r="K33"/>
    </row>
    <row r="34" spans="1:11" s="1" customFormat="1" x14ac:dyDescent="0.2">
      <c r="B34" s="45"/>
      <c r="K34"/>
    </row>
    <row r="35" spans="1:11" s="1" customFormat="1" x14ac:dyDescent="0.2">
      <c r="A35" s="1" t="s">
        <v>312</v>
      </c>
      <c r="B35" s="45"/>
      <c r="K35"/>
    </row>
    <row r="36" spans="1:11" s="1" customFormat="1" x14ac:dyDescent="0.2">
      <c r="A36" s="1" t="s">
        <v>280</v>
      </c>
      <c r="B36" s="45"/>
      <c r="K36"/>
    </row>
    <row r="37" spans="1:11" s="1" customFormat="1" x14ac:dyDescent="0.2">
      <c r="F37" s="1" t="s">
        <v>66</v>
      </c>
      <c r="K37"/>
    </row>
    <row r="41" spans="1:11" s="1" customFormat="1" x14ac:dyDescent="0.2">
      <c r="F41" s="1" t="str">
        <f>Eligibility!D78</f>
        <v>Cindy Nawilis</v>
      </c>
      <c r="K41"/>
    </row>
    <row r="42" spans="1:11" s="1" customFormat="1" x14ac:dyDescent="0.2">
      <c r="F42" s="1" t="str">
        <f>Eligibility!F78</f>
        <v>Loan Processor</v>
      </c>
      <c r="K42"/>
    </row>
    <row r="43" spans="1:11" s="1" customFormat="1" x14ac:dyDescent="0.2">
      <c r="F43" s="1" t="str">
        <f>Eligibility!I43</f>
        <v>slackme@email.com</v>
      </c>
      <c r="K43"/>
    </row>
    <row r="45" spans="1:11" s="1" customFormat="1" x14ac:dyDescent="0.2">
      <c r="K45"/>
    </row>
  </sheetData>
  <sheetProtection algorithmName="SHA-512" hashValue="TSssQGiwQD/gw6Mj6a6TpDmRTUf81hzHJNNsA1b8L77GJ4+hPYAbTHDb6fh5CGdkc8kcqAnrwE0HcL2Kbe/Evw==" saltValue="0m+zyOR7FGGGv7Bg5B1/8g==" spinCount="100000" sheet="1" objects="1" scenarios="1"/>
  <mergeCells count="1">
    <mergeCell ref="A6:J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76"/>
  <sheetViews>
    <sheetView workbookViewId="0">
      <selection activeCell="G8" sqref="G8"/>
    </sheetView>
  </sheetViews>
  <sheetFormatPr baseColWidth="10" defaultColWidth="8.83203125" defaultRowHeight="13" x14ac:dyDescent="0.15"/>
  <cols>
    <col min="1" max="1" width="27.5" style="14" customWidth="1"/>
    <col min="2" max="2" width="19.5" style="35" customWidth="1"/>
    <col min="3" max="3" width="20.5" style="14" customWidth="1"/>
    <col min="4" max="4" width="14.5" style="14" customWidth="1"/>
    <col min="5" max="5" width="11.1640625" style="14" customWidth="1"/>
    <col min="6" max="7" width="13.5" style="14" customWidth="1"/>
    <col min="8" max="256" width="9.1640625" style="14"/>
    <col min="257" max="257" width="27.5" style="14" customWidth="1"/>
    <col min="258" max="258" width="19.5" style="14" customWidth="1"/>
    <col min="259" max="259" width="20.5" style="14" customWidth="1"/>
    <col min="260" max="260" width="14.5" style="14" customWidth="1"/>
    <col min="261" max="261" width="11.1640625" style="14" customWidth="1"/>
    <col min="262" max="263" width="13.5" style="14" customWidth="1"/>
    <col min="264" max="512" width="9.1640625" style="14"/>
    <col min="513" max="513" width="27.5" style="14" customWidth="1"/>
    <col min="514" max="514" width="19.5" style="14" customWidth="1"/>
    <col min="515" max="515" width="20.5" style="14" customWidth="1"/>
    <col min="516" max="516" width="14.5" style="14" customWidth="1"/>
    <col min="517" max="517" width="11.1640625" style="14" customWidth="1"/>
    <col min="518" max="519" width="13.5" style="14" customWidth="1"/>
    <col min="520" max="768" width="9.1640625" style="14"/>
    <col min="769" max="769" width="27.5" style="14" customWidth="1"/>
    <col min="770" max="770" width="19.5" style="14" customWidth="1"/>
    <col min="771" max="771" width="20.5" style="14" customWidth="1"/>
    <col min="772" max="772" width="14.5" style="14" customWidth="1"/>
    <col min="773" max="773" width="11.1640625" style="14" customWidth="1"/>
    <col min="774" max="775" width="13.5" style="14" customWidth="1"/>
    <col min="776" max="1024" width="9.1640625" style="14"/>
    <col min="1025" max="1025" width="27.5" style="14" customWidth="1"/>
    <col min="1026" max="1026" width="19.5" style="14" customWidth="1"/>
    <col min="1027" max="1027" width="20.5" style="14" customWidth="1"/>
    <col min="1028" max="1028" width="14.5" style="14" customWidth="1"/>
    <col min="1029" max="1029" width="11.1640625" style="14" customWidth="1"/>
    <col min="1030" max="1031" width="13.5" style="14" customWidth="1"/>
    <col min="1032" max="1280" width="9.1640625" style="14"/>
    <col min="1281" max="1281" width="27.5" style="14" customWidth="1"/>
    <col min="1282" max="1282" width="19.5" style="14" customWidth="1"/>
    <col min="1283" max="1283" width="20.5" style="14" customWidth="1"/>
    <col min="1284" max="1284" width="14.5" style="14" customWidth="1"/>
    <col min="1285" max="1285" width="11.1640625" style="14" customWidth="1"/>
    <col min="1286" max="1287" width="13.5" style="14" customWidth="1"/>
    <col min="1288" max="1536" width="9.1640625" style="14"/>
    <col min="1537" max="1537" width="27.5" style="14" customWidth="1"/>
    <col min="1538" max="1538" width="19.5" style="14" customWidth="1"/>
    <col min="1539" max="1539" width="20.5" style="14" customWidth="1"/>
    <col min="1540" max="1540" width="14.5" style="14" customWidth="1"/>
    <col min="1541" max="1541" width="11.1640625" style="14" customWidth="1"/>
    <col min="1542" max="1543" width="13.5" style="14" customWidth="1"/>
    <col min="1544" max="1792" width="9.1640625" style="14"/>
    <col min="1793" max="1793" width="27.5" style="14" customWidth="1"/>
    <col min="1794" max="1794" width="19.5" style="14" customWidth="1"/>
    <col min="1795" max="1795" width="20.5" style="14" customWidth="1"/>
    <col min="1796" max="1796" width="14.5" style="14" customWidth="1"/>
    <col min="1797" max="1797" width="11.1640625" style="14" customWidth="1"/>
    <col min="1798" max="1799" width="13.5" style="14" customWidth="1"/>
    <col min="1800" max="2048" width="9.1640625" style="14"/>
    <col min="2049" max="2049" width="27.5" style="14" customWidth="1"/>
    <col min="2050" max="2050" width="19.5" style="14" customWidth="1"/>
    <col min="2051" max="2051" width="20.5" style="14" customWidth="1"/>
    <col min="2052" max="2052" width="14.5" style="14" customWidth="1"/>
    <col min="2053" max="2053" width="11.1640625" style="14" customWidth="1"/>
    <col min="2054" max="2055" width="13.5" style="14" customWidth="1"/>
    <col min="2056" max="2304" width="9.1640625" style="14"/>
    <col min="2305" max="2305" width="27.5" style="14" customWidth="1"/>
    <col min="2306" max="2306" width="19.5" style="14" customWidth="1"/>
    <col min="2307" max="2307" width="20.5" style="14" customWidth="1"/>
    <col min="2308" max="2308" width="14.5" style="14" customWidth="1"/>
    <col min="2309" max="2309" width="11.1640625" style="14" customWidth="1"/>
    <col min="2310" max="2311" width="13.5" style="14" customWidth="1"/>
    <col min="2312" max="2560" width="9.1640625" style="14"/>
    <col min="2561" max="2561" width="27.5" style="14" customWidth="1"/>
    <col min="2562" max="2562" width="19.5" style="14" customWidth="1"/>
    <col min="2563" max="2563" width="20.5" style="14" customWidth="1"/>
    <col min="2564" max="2564" width="14.5" style="14" customWidth="1"/>
    <col min="2565" max="2565" width="11.1640625" style="14" customWidth="1"/>
    <col min="2566" max="2567" width="13.5" style="14" customWidth="1"/>
    <col min="2568" max="2816" width="9.1640625" style="14"/>
    <col min="2817" max="2817" width="27.5" style="14" customWidth="1"/>
    <col min="2818" max="2818" width="19.5" style="14" customWidth="1"/>
    <col min="2819" max="2819" width="20.5" style="14" customWidth="1"/>
    <col min="2820" max="2820" width="14.5" style="14" customWidth="1"/>
    <col min="2821" max="2821" width="11.1640625" style="14" customWidth="1"/>
    <col min="2822" max="2823" width="13.5" style="14" customWidth="1"/>
    <col min="2824" max="3072" width="9.1640625" style="14"/>
    <col min="3073" max="3073" width="27.5" style="14" customWidth="1"/>
    <col min="3074" max="3074" width="19.5" style="14" customWidth="1"/>
    <col min="3075" max="3075" width="20.5" style="14" customWidth="1"/>
    <col min="3076" max="3076" width="14.5" style="14" customWidth="1"/>
    <col min="3077" max="3077" width="11.1640625" style="14" customWidth="1"/>
    <col min="3078" max="3079" width="13.5" style="14" customWidth="1"/>
    <col min="3080" max="3328" width="9.1640625" style="14"/>
    <col min="3329" max="3329" width="27.5" style="14" customWidth="1"/>
    <col min="3330" max="3330" width="19.5" style="14" customWidth="1"/>
    <col min="3331" max="3331" width="20.5" style="14" customWidth="1"/>
    <col min="3332" max="3332" width="14.5" style="14" customWidth="1"/>
    <col min="3333" max="3333" width="11.1640625" style="14" customWidth="1"/>
    <col min="3334" max="3335" width="13.5" style="14" customWidth="1"/>
    <col min="3336" max="3584" width="9.1640625" style="14"/>
    <col min="3585" max="3585" width="27.5" style="14" customWidth="1"/>
    <col min="3586" max="3586" width="19.5" style="14" customWidth="1"/>
    <col min="3587" max="3587" width="20.5" style="14" customWidth="1"/>
    <col min="3588" max="3588" width="14.5" style="14" customWidth="1"/>
    <col min="3589" max="3589" width="11.1640625" style="14" customWidth="1"/>
    <col min="3590" max="3591" width="13.5" style="14" customWidth="1"/>
    <col min="3592" max="3840" width="9.1640625" style="14"/>
    <col min="3841" max="3841" width="27.5" style="14" customWidth="1"/>
    <col min="3842" max="3842" width="19.5" style="14" customWidth="1"/>
    <col min="3843" max="3843" width="20.5" style="14" customWidth="1"/>
    <col min="3844" max="3844" width="14.5" style="14" customWidth="1"/>
    <col min="3845" max="3845" width="11.1640625" style="14" customWidth="1"/>
    <col min="3846" max="3847" width="13.5" style="14" customWidth="1"/>
    <col min="3848" max="4096" width="9.1640625" style="14"/>
    <col min="4097" max="4097" width="27.5" style="14" customWidth="1"/>
    <col min="4098" max="4098" width="19.5" style="14" customWidth="1"/>
    <col min="4099" max="4099" width="20.5" style="14" customWidth="1"/>
    <col min="4100" max="4100" width="14.5" style="14" customWidth="1"/>
    <col min="4101" max="4101" width="11.1640625" style="14" customWidth="1"/>
    <col min="4102" max="4103" width="13.5" style="14" customWidth="1"/>
    <col min="4104" max="4352" width="9.1640625" style="14"/>
    <col min="4353" max="4353" width="27.5" style="14" customWidth="1"/>
    <col min="4354" max="4354" width="19.5" style="14" customWidth="1"/>
    <col min="4355" max="4355" width="20.5" style="14" customWidth="1"/>
    <col min="4356" max="4356" width="14.5" style="14" customWidth="1"/>
    <col min="4357" max="4357" width="11.1640625" style="14" customWidth="1"/>
    <col min="4358" max="4359" width="13.5" style="14" customWidth="1"/>
    <col min="4360" max="4608" width="9.1640625" style="14"/>
    <col min="4609" max="4609" width="27.5" style="14" customWidth="1"/>
    <col min="4610" max="4610" width="19.5" style="14" customWidth="1"/>
    <col min="4611" max="4611" width="20.5" style="14" customWidth="1"/>
    <col min="4612" max="4612" width="14.5" style="14" customWidth="1"/>
    <col min="4613" max="4613" width="11.1640625" style="14" customWidth="1"/>
    <col min="4614" max="4615" width="13.5" style="14" customWidth="1"/>
    <col min="4616" max="4864" width="9.1640625" style="14"/>
    <col min="4865" max="4865" width="27.5" style="14" customWidth="1"/>
    <col min="4866" max="4866" width="19.5" style="14" customWidth="1"/>
    <col min="4867" max="4867" width="20.5" style="14" customWidth="1"/>
    <col min="4868" max="4868" width="14.5" style="14" customWidth="1"/>
    <col min="4869" max="4869" width="11.1640625" style="14" customWidth="1"/>
    <col min="4870" max="4871" width="13.5" style="14" customWidth="1"/>
    <col min="4872" max="5120" width="9.1640625" style="14"/>
    <col min="5121" max="5121" width="27.5" style="14" customWidth="1"/>
    <col min="5122" max="5122" width="19.5" style="14" customWidth="1"/>
    <col min="5123" max="5123" width="20.5" style="14" customWidth="1"/>
    <col min="5124" max="5124" width="14.5" style="14" customWidth="1"/>
    <col min="5125" max="5125" width="11.1640625" style="14" customWidth="1"/>
    <col min="5126" max="5127" width="13.5" style="14" customWidth="1"/>
    <col min="5128" max="5376" width="9.1640625" style="14"/>
    <col min="5377" max="5377" width="27.5" style="14" customWidth="1"/>
    <col min="5378" max="5378" width="19.5" style="14" customWidth="1"/>
    <col min="5379" max="5379" width="20.5" style="14" customWidth="1"/>
    <col min="5380" max="5380" width="14.5" style="14" customWidth="1"/>
    <col min="5381" max="5381" width="11.1640625" style="14" customWidth="1"/>
    <col min="5382" max="5383" width="13.5" style="14" customWidth="1"/>
    <col min="5384" max="5632" width="9.1640625" style="14"/>
    <col min="5633" max="5633" width="27.5" style="14" customWidth="1"/>
    <col min="5634" max="5634" width="19.5" style="14" customWidth="1"/>
    <col min="5635" max="5635" width="20.5" style="14" customWidth="1"/>
    <col min="5636" max="5636" width="14.5" style="14" customWidth="1"/>
    <col min="5637" max="5637" width="11.1640625" style="14" customWidth="1"/>
    <col min="5638" max="5639" width="13.5" style="14" customWidth="1"/>
    <col min="5640" max="5888" width="9.1640625" style="14"/>
    <col min="5889" max="5889" width="27.5" style="14" customWidth="1"/>
    <col min="5890" max="5890" width="19.5" style="14" customWidth="1"/>
    <col min="5891" max="5891" width="20.5" style="14" customWidth="1"/>
    <col min="5892" max="5892" width="14.5" style="14" customWidth="1"/>
    <col min="5893" max="5893" width="11.1640625" style="14" customWidth="1"/>
    <col min="5894" max="5895" width="13.5" style="14" customWidth="1"/>
    <col min="5896" max="6144" width="9.1640625" style="14"/>
    <col min="6145" max="6145" width="27.5" style="14" customWidth="1"/>
    <col min="6146" max="6146" width="19.5" style="14" customWidth="1"/>
    <col min="6147" max="6147" width="20.5" style="14" customWidth="1"/>
    <col min="6148" max="6148" width="14.5" style="14" customWidth="1"/>
    <col min="6149" max="6149" width="11.1640625" style="14" customWidth="1"/>
    <col min="6150" max="6151" width="13.5" style="14" customWidth="1"/>
    <col min="6152" max="6400" width="9.1640625" style="14"/>
    <col min="6401" max="6401" width="27.5" style="14" customWidth="1"/>
    <col min="6402" max="6402" width="19.5" style="14" customWidth="1"/>
    <col min="6403" max="6403" width="20.5" style="14" customWidth="1"/>
    <col min="6404" max="6404" width="14.5" style="14" customWidth="1"/>
    <col min="6405" max="6405" width="11.1640625" style="14" customWidth="1"/>
    <col min="6406" max="6407" width="13.5" style="14" customWidth="1"/>
    <col min="6408" max="6656" width="9.1640625" style="14"/>
    <col min="6657" max="6657" width="27.5" style="14" customWidth="1"/>
    <col min="6658" max="6658" width="19.5" style="14" customWidth="1"/>
    <col min="6659" max="6659" width="20.5" style="14" customWidth="1"/>
    <col min="6660" max="6660" width="14.5" style="14" customWidth="1"/>
    <col min="6661" max="6661" width="11.1640625" style="14" customWidth="1"/>
    <col min="6662" max="6663" width="13.5" style="14" customWidth="1"/>
    <col min="6664" max="6912" width="9.1640625" style="14"/>
    <col min="6913" max="6913" width="27.5" style="14" customWidth="1"/>
    <col min="6914" max="6914" width="19.5" style="14" customWidth="1"/>
    <col min="6915" max="6915" width="20.5" style="14" customWidth="1"/>
    <col min="6916" max="6916" width="14.5" style="14" customWidth="1"/>
    <col min="6917" max="6917" width="11.1640625" style="14" customWidth="1"/>
    <col min="6918" max="6919" width="13.5" style="14" customWidth="1"/>
    <col min="6920" max="7168" width="9.1640625" style="14"/>
    <col min="7169" max="7169" width="27.5" style="14" customWidth="1"/>
    <col min="7170" max="7170" width="19.5" style="14" customWidth="1"/>
    <col min="7171" max="7171" width="20.5" style="14" customWidth="1"/>
    <col min="7172" max="7172" width="14.5" style="14" customWidth="1"/>
    <col min="7173" max="7173" width="11.1640625" style="14" customWidth="1"/>
    <col min="7174" max="7175" width="13.5" style="14" customWidth="1"/>
    <col min="7176" max="7424" width="9.1640625" style="14"/>
    <col min="7425" max="7425" width="27.5" style="14" customWidth="1"/>
    <col min="7426" max="7426" width="19.5" style="14" customWidth="1"/>
    <col min="7427" max="7427" width="20.5" style="14" customWidth="1"/>
    <col min="7428" max="7428" width="14.5" style="14" customWidth="1"/>
    <col min="7429" max="7429" width="11.1640625" style="14" customWidth="1"/>
    <col min="7430" max="7431" width="13.5" style="14" customWidth="1"/>
    <col min="7432" max="7680" width="9.1640625" style="14"/>
    <col min="7681" max="7681" width="27.5" style="14" customWidth="1"/>
    <col min="7682" max="7682" width="19.5" style="14" customWidth="1"/>
    <col min="7683" max="7683" width="20.5" style="14" customWidth="1"/>
    <col min="7684" max="7684" width="14.5" style="14" customWidth="1"/>
    <col min="7685" max="7685" width="11.1640625" style="14" customWidth="1"/>
    <col min="7686" max="7687" width="13.5" style="14" customWidth="1"/>
    <col min="7688" max="7936" width="9.1640625" style="14"/>
    <col min="7937" max="7937" width="27.5" style="14" customWidth="1"/>
    <col min="7938" max="7938" width="19.5" style="14" customWidth="1"/>
    <col min="7939" max="7939" width="20.5" style="14" customWidth="1"/>
    <col min="7940" max="7940" width="14.5" style="14" customWidth="1"/>
    <col min="7941" max="7941" width="11.1640625" style="14" customWidth="1"/>
    <col min="7942" max="7943" width="13.5" style="14" customWidth="1"/>
    <col min="7944" max="8192" width="9.1640625" style="14"/>
    <col min="8193" max="8193" width="27.5" style="14" customWidth="1"/>
    <col min="8194" max="8194" width="19.5" style="14" customWidth="1"/>
    <col min="8195" max="8195" width="20.5" style="14" customWidth="1"/>
    <col min="8196" max="8196" width="14.5" style="14" customWidth="1"/>
    <col min="8197" max="8197" width="11.1640625" style="14" customWidth="1"/>
    <col min="8198" max="8199" width="13.5" style="14" customWidth="1"/>
    <col min="8200" max="8448" width="9.1640625" style="14"/>
    <col min="8449" max="8449" width="27.5" style="14" customWidth="1"/>
    <col min="8450" max="8450" width="19.5" style="14" customWidth="1"/>
    <col min="8451" max="8451" width="20.5" style="14" customWidth="1"/>
    <col min="8452" max="8452" width="14.5" style="14" customWidth="1"/>
    <col min="8453" max="8453" width="11.1640625" style="14" customWidth="1"/>
    <col min="8454" max="8455" width="13.5" style="14" customWidth="1"/>
    <col min="8456" max="8704" width="9.1640625" style="14"/>
    <col min="8705" max="8705" width="27.5" style="14" customWidth="1"/>
    <col min="8706" max="8706" width="19.5" style="14" customWidth="1"/>
    <col min="8707" max="8707" width="20.5" style="14" customWidth="1"/>
    <col min="8708" max="8708" width="14.5" style="14" customWidth="1"/>
    <col min="8709" max="8709" width="11.1640625" style="14" customWidth="1"/>
    <col min="8710" max="8711" width="13.5" style="14" customWidth="1"/>
    <col min="8712" max="8960" width="9.1640625" style="14"/>
    <col min="8961" max="8961" width="27.5" style="14" customWidth="1"/>
    <col min="8962" max="8962" width="19.5" style="14" customWidth="1"/>
    <col min="8963" max="8963" width="20.5" style="14" customWidth="1"/>
    <col min="8964" max="8964" width="14.5" style="14" customWidth="1"/>
    <col min="8965" max="8965" width="11.1640625" style="14" customWidth="1"/>
    <col min="8966" max="8967" width="13.5" style="14" customWidth="1"/>
    <col min="8968" max="9216" width="9.1640625" style="14"/>
    <col min="9217" max="9217" width="27.5" style="14" customWidth="1"/>
    <col min="9218" max="9218" width="19.5" style="14" customWidth="1"/>
    <col min="9219" max="9219" width="20.5" style="14" customWidth="1"/>
    <col min="9220" max="9220" width="14.5" style="14" customWidth="1"/>
    <col min="9221" max="9221" width="11.1640625" style="14" customWidth="1"/>
    <col min="9222" max="9223" width="13.5" style="14" customWidth="1"/>
    <col min="9224" max="9472" width="9.1640625" style="14"/>
    <col min="9473" max="9473" width="27.5" style="14" customWidth="1"/>
    <col min="9474" max="9474" width="19.5" style="14" customWidth="1"/>
    <col min="9475" max="9475" width="20.5" style="14" customWidth="1"/>
    <col min="9476" max="9476" width="14.5" style="14" customWidth="1"/>
    <col min="9477" max="9477" width="11.1640625" style="14" customWidth="1"/>
    <col min="9478" max="9479" width="13.5" style="14" customWidth="1"/>
    <col min="9480" max="9728" width="9.1640625" style="14"/>
    <col min="9729" max="9729" width="27.5" style="14" customWidth="1"/>
    <col min="9730" max="9730" width="19.5" style="14" customWidth="1"/>
    <col min="9731" max="9731" width="20.5" style="14" customWidth="1"/>
    <col min="9732" max="9732" width="14.5" style="14" customWidth="1"/>
    <col min="9733" max="9733" width="11.1640625" style="14" customWidth="1"/>
    <col min="9734" max="9735" width="13.5" style="14" customWidth="1"/>
    <col min="9736" max="9984" width="9.1640625" style="14"/>
    <col min="9985" max="9985" width="27.5" style="14" customWidth="1"/>
    <col min="9986" max="9986" width="19.5" style="14" customWidth="1"/>
    <col min="9987" max="9987" width="20.5" style="14" customWidth="1"/>
    <col min="9988" max="9988" width="14.5" style="14" customWidth="1"/>
    <col min="9989" max="9989" width="11.1640625" style="14" customWidth="1"/>
    <col min="9990" max="9991" width="13.5" style="14" customWidth="1"/>
    <col min="9992" max="10240" width="9.1640625" style="14"/>
    <col min="10241" max="10241" width="27.5" style="14" customWidth="1"/>
    <col min="10242" max="10242" width="19.5" style="14" customWidth="1"/>
    <col min="10243" max="10243" width="20.5" style="14" customWidth="1"/>
    <col min="10244" max="10244" width="14.5" style="14" customWidth="1"/>
    <col min="10245" max="10245" width="11.1640625" style="14" customWidth="1"/>
    <col min="10246" max="10247" width="13.5" style="14" customWidth="1"/>
    <col min="10248" max="10496" width="9.1640625" style="14"/>
    <col min="10497" max="10497" width="27.5" style="14" customWidth="1"/>
    <col min="10498" max="10498" width="19.5" style="14" customWidth="1"/>
    <col min="10499" max="10499" width="20.5" style="14" customWidth="1"/>
    <col min="10500" max="10500" width="14.5" style="14" customWidth="1"/>
    <col min="10501" max="10501" width="11.1640625" style="14" customWidth="1"/>
    <col min="10502" max="10503" width="13.5" style="14" customWidth="1"/>
    <col min="10504" max="10752" width="9.1640625" style="14"/>
    <col min="10753" max="10753" width="27.5" style="14" customWidth="1"/>
    <col min="10754" max="10754" width="19.5" style="14" customWidth="1"/>
    <col min="10755" max="10755" width="20.5" style="14" customWidth="1"/>
    <col min="10756" max="10756" width="14.5" style="14" customWidth="1"/>
    <col min="10757" max="10757" width="11.1640625" style="14" customWidth="1"/>
    <col min="10758" max="10759" width="13.5" style="14" customWidth="1"/>
    <col min="10760" max="11008" width="9.1640625" style="14"/>
    <col min="11009" max="11009" width="27.5" style="14" customWidth="1"/>
    <col min="11010" max="11010" width="19.5" style="14" customWidth="1"/>
    <col min="11011" max="11011" width="20.5" style="14" customWidth="1"/>
    <col min="11012" max="11012" width="14.5" style="14" customWidth="1"/>
    <col min="11013" max="11013" width="11.1640625" style="14" customWidth="1"/>
    <col min="11014" max="11015" width="13.5" style="14" customWidth="1"/>
    <col min="11016" max="11264" width="9.1640625" style="14"/>
    <col min="11265" max="11265" width="27.5" style="14" customWidth="1"/>
    <col min="11266" max="11266" width="19.5" style="14" customWidth="1"/>
    <col min="11267" max="11267" width="20.5" style="14" customWidth="1"/>
    <col min="11268" max="11268" width="14.5" style="14" customWidth="1"/>
    <col min="11269" max="11269" width="11.1640625" style="14" customWidth="1"/>
    <col min="11270" max="11271" width="13.5" style="14" customWidth="1"/>
    <col min="11272" max="11520" width="9.1640625" style="14"/>
    <col min="11521" max="11521" width="27.5" style="14" customWidth="1"/>
    <col min="11522" max="11522" width="19.5" style="14" customWidth="1"/>
    <col min="11523" max="11523" width="20.5" style="14" customWidth="1"/>
    <col min="11524" max="11524" width="14.5" style="14" customWidth="1"/>
    <col min="11525" max="11525" width="11.1640625" style="14" customWidth="1"/>
    <col min="11526" max="11527" width="13.5" style="14" customWidth="1"/>
    <col min="11528" max="11776" width="9.1640625" style="14"/>
    <col min="11777" max="11777" width="27.5" style="14" customWidth="1"/>
    <col min="11778" max="11778" width="19.5" style="14" customWidth="1"/>
    <col min="11779" max="11779" width="20.5" style="14" customWidth="1"/>
    <col min="11780" max="11780" width="14.5" style="14" customWidth="1"/>
    <col min="11781" max="11781" width="11.1640625" style="14" customWidth="1"/>
    <col min="11782" max="11783" width="13.5" style="14" customWidth="1"/>
    <col min="11784" max="12032" width="9.1640625" style="14"/>
    <col min="12033" max="12033" width="27.5" style="14" customWidth="1"/>
    <col min="12034" max="12034" width="19.5" style="14" customWidth="1"/>
    <col min="12035" max="12035" width="20.5" style="14" customWidth="1"/>
    <col min="12036" max="12036" width="14.5" style="14" customWidth="1"/>
    <col min="12037" max="12037" width="11.1640625" style="14" customWidth="1"/>
    <col min="12038" max="12039" width="13.5" style="14" customWidth="1"/>
    <col min="12040" max="12288" width="9.1640625" style="14"/>
    <col min="12289" max="12289" width="27.5" style="14" customWidth="1"/>
    <col min="12290" max="12290" width="19.5" style="14" customWidth="1"/>
    <col min="12291" max="12291" width="20.5" style="14" customWidth="1"/>
    <col min="12292" max="12292" width="14.5" style="14" customWidth="1"/>
    <col min="12293" max="12293" width="11.1640625" style="14" customWidth="1"/>
    <col min="12294" max="12295" width="13.5" style="14" customWidth="1"/>
    <col min="12296" max="12544" width="9.1640625" style="14"/>
    <col min="12545" max="12545" width="27.5" style="14" customWidth="1"/>
    <col min="12546" max="12546" width="19.5" style="14" customWidth="1"/>
    <col min="12547" max="12547" width="20.5" style="14" customWidth="1"/>
    <col min="12548" max="12548" width="14.5" style="14" customWidth="1"/>
    <col min="12549" max="12549" width="11.1640625" style="14" customWidth="1"/>
    <col min="12550" max="12551" width="13.5" style="14" customWidth="1"/>
    <col min="12552" max="12800" width="9.1640625" style="14"/>
    <col min="12801" max="12801" width="27.5" style="14" customWidth="1"/>
    <col min="12802" max="12802" width="19.5" style="14" customWidth="1"/>
    <col min="12803" max="12803" width="20.5" style="14" customWidth="1"/>
    <col min="12804" max="12804" width="14.5" style="14" customWidth="1"/>
    <col min="12805" max="12805" width="11.1640625" style="14" customWidth="1"/>
    <col min="12806" max="12807" width="13.5" style="14" customWidth="1"/>
    <col min="12808" max="13056" width="9.1640625" style="14"/>
    <col min="13057" max="13057" width="27.5" style="14" customWidth="1"/>
    <col min="13058" max="13058" width="19.5" style="14" customWidth="1"/>
    <col min="13059" max="13059" width="20.5" style="14" customWidth="1"/>
    <col min="13060" max="13060" width="14.5" style="14" customWidth="1"/>
    <col min="13061" max="13061" width="11.1640625" style="14" customWidth="1"/>
    <col min="13062" max="13063" width="13.5" style="14" customWidth="1"/>
    <col min="13064" max="13312" width="9.1640625" style="14"/>
    <col min="13313" max="13313" width="27.5" style="14" customWidth="1"/>
    <col min="13314" max="13314" width="19.5" style="14" customWidth="1"/>
    <col min="13315" max="13315" width="20.5" style="14" customWidth="1"/>
    <col min="13316" max="13316" width="14.5" style="14" customWidth="1"/>
    <col min="13317" max="13317" width="11.1640625" style="14" customWidth="1"/>
    <col min="13318" max="13319" width="13.5" style="14" customWidth="1"/>
    <col min="13320" max="13568" width="9.1640625" style="14"/>
    <col min="13569" max="13569" width="27.5" style="14" customWidth="1"/>
    <col min="13570" max="13570" width="19.5" style="14" customWidth="1"/>
    <col min="13571" max="13571" width="20.5" style="14" customWidth="1"/>
    <col min="13572" max="13572" width="14.5" style="14" customWidth="1"/>
    <col min="13573" max="13573" width="11.1640625" style="14" customWidth="1"/>
    <col min="13574" max="13575" width="13.5" style="14" customWidth="1"/>
    <col min="13576" max="13824" width="9.1640625" style="14"/>
    <col min="13825" max="13825" width="27.5" style="14" customWidth="1"/>
    <col min="13826" max="13826" width="19.5" style="14" customWidth="1"/>
    <col min="13827" max="13827" width="20.5" style="14" customWidth="1"/>
    <col min="13828" max="13828" width="14.5" style="14" customWidth="1"/>
    <col min="13829" max="13829" width="11.1640625" style="14" customWidth="1"/>
    <col min="13830" max="13831" width="13.5" style="14" customWidth="1"/>
    <col min="13832" max="14080" width="9.1640625" style="14"/>
    <col min="14081" max="14081" width="27.5" style="14" customWidth="1"/>
    <col min="14082" max="14082" width="19.5" style="14" customWidth="1"/>
    <col min="14083" max="14083" width="20.5" style="14" customWidth="1"/>
    <col min="14084" max="14084" width="14.5" style="14" customWidth="1"/>
    <col min="14085" max="14085" width="11.1640625" style="14" customWidth="1"/>
    <col min="14086" max="14087" width="13.5" style="14" customWidth="1"/>
    <col min="14088" max="14336" width="9.1640625" style="14"/>
    <col min="14337" max="14337" width="27.5" style="14" customWidth="1"/>
    <col min="14338" max="14338" width="19.5" style="14" customWidth="1"/>
    <col min="14339" max="14339" width="20.5" style="14" customWidth="1"/>
    <col min="14340" max="14340" width="14.5" style="14" customWidth="1"/>
    <col min="14341" max="14341" width="11.1640625" style="14" customWidth="1"/>
    <col min="14342" max="14343" width="13.5" style="14" customWidth="1"/>
    <col min="14344" max="14592" width="9.1640625" style="14"/>
    <col min="14593" max="14593" width="27.5" style="14" customWidth="1"/>
    <col min="14594" max="14594" width="19.5" style="14" customWidth="1"/>
    <col min="14595" max="14595" width="20.5" style="14" customWidth="1"/>
    <col min="14596" max="14596" width="14.5" style="14" customWidth="1"/>
    <col min="14597" max="14597" width="11.1640625" style="14" customWidth="1"/>
    <col min="14598" max="14599" width="13.5" style="14" customWidth="1"/>
    <col min="14600" max="14848" width="9.1640625" style="14"/>
    <col min="14849" max="14849" width="27.5" style="14" customWidth="1"/>
    <col min="14850" max="14850" width="19.5" style="14" customWidth="1"/>
    <col min="14851" max="14851" width="20.5" style="14" customWidth="1"/>
    <col min="14852" max="14852" width="14.5" style="14" customWidth="1"/>
    <col min="14853" max="14853" width="11.1640625" style="14" customWidth="1"/>
    <col min="14854" max="14855" width="13.5" style="14" customWidth="1"/>
    <col min="14856" max="15104" width="9.1640625" style="14"/>
    <col min="15105" max="15105" width="27.5" style="14" customWidth="1"/>
    <col min="15106" max="15106" width="19.5" style="14" customWidth="1"/>
    <col min="15107" max="15107" width="20.5" style="14" customWidth="1"/>
    <col min="15108" max="15108" width="14.5" style="14" customWidth="1"/>
    <col min="15109" max="15109" width="11.1640625" style="14" customWidth="1"/>
    <col min="15110" max="15111" width="13.5" style="14" customWidth="1"/>
    <col min="15112" max="15360" width="9.1640625" style="14"/>
    <col min="15361" max="15361" width="27.5" style="14" customWidth="1"/>
    <col min="15362" max="15362" width="19.5" style="14" customWidth="1"/>
    <col min="15363" max="15363" width="20.5" style="14" customWidth="1"/>
    <col min="15364" max="15364" width="14.5" style="14" customWidth="1"/>
    <col min="15365" max="15365" width="11.1640625" style="14" customWidth="1"/>
    <col min="15366" max="15367" width="13.5" style="14" customWidth="1"/>
    <col min="15368" max="15616" width="9.1640625" style="14"/>
    <col min="15617" max="15617" width="27.5" style="14" customWidth="1"/>
    <col min="15618" max="15618" width="19.5" style="14" customWidth="1"/>
    <col min="15619" max="15619" width="20.5" style="14" customWidth="1"/>
    <col min="15620" max="15620" width="14.5" style="14" customWidth="1"/>
    <col min="15621" max="15621" width="11.1640625" style="14" customWidth="1"/>
    <col min="15622" max="15623" width="13.5" style="14" customWidth="1"/>
    <col min="15624" max="15872" width="9.1640625" style="14"/>
    <col min="15873" max="15873" width="27.5" style="14" customWidth="1"/>
    <col min="15874" max="15874" width="19.5" style="14" customWidth="1"/>
    <col min="15875" max="15875" width="20.5" style="14" customWidth="1"/>
    <col min="15876" max="15876" width="14.5" style="14" customWidth="1"/>
    <col min="15877" max="15877" width="11.1640625" style="14" customWidth="1"/>
    <col min="15878" max="15879" width="13.5" style="14" customWidth="1"/>
    <col min="15880" max="16128" width="9.1640625" style="14"/>
    <col min="16129" max="16129" width="27.5" style="14" customWidth="1"/>
    <col min="16130" max="16130" width="19.5" style="14" customWidth="1"/>
    <col min="16131" max="16131" width="20.5" style="14" customWidth="1"/>
    <col min="16132" max="16132" width="14.5" style="14" customWidth="1"/>
    <col min="16133" max="16133" width="11.1640625" style="14" customWidth="1"/>
    <col min="16134" max="16135" width="13.5" style="14" customWidth="1"/>
    <col min="16136" max="16384" width="9.1640625" style="14"/>
  </cols>
  <sheetData>
    <row r="1" spans="1:7" x14ac:dyDescent="0.15">
      <c r="A1" s="23" t="s">
        <v>70</v>
      </c>
      <c r="B1" s="20"/>
    </row>
    <row r="2" spans="1:7" x14ac:dyDescent="0.15">
      <c r="A2" s="71"/>
      <c r="B2" s="20"/>
    </row>
    <row r="3" spans="1:7" x14ac:dyDescent="0.15">
      <c r="A3" s="24" t="s">
        <v>77</v>
      </c>
      <c r="B3" s="25">
        <f>Eligibility!J67</f>
        <v>5.5E-2</v>
      </c>
    </row>
    <row r="4" spans="1:7" x14ac:dyDescent="0.15">
      <c r="A4" s="24" t="s">
        <v>71</v>
      </c>
      <c r="B4" s="26">
        <f>12*Eligibility!J68</f>
        <v>228</v>
      </c>
    </row>
    <row r="5" spans="1:7" ht="15" x14ac:dyDescent="0.2">
      <c r="A5" s="24" t="s">
        <v>72</v>
      </c>
      <c r="B5" s="27">
        <f>Eligibility!J66</f>
        <v>9300</v>
      </c>
      <c r="C5" s="19"/>
    </row>
    <row r="6" spans="1:7" x14ac:dyDescent="0.15">
      <c r="A6" s="24"/>
      <c r="B6" s="28"/>
    </row>
    <row r="7" spans="1:7" x14ac:dyDescent="0.15">
      <c r="A7" s="24" t="s">
        <v>73</v>
      </c>
      <c r="B7" s="29">
        <f>-PMT(B3/12,B4,B5)</f>
        <v>65.833418837697025</v>
      </c>
      <c r="C7" s="30">
        <f>B7*12</f>
        <v>790.0010260523643</v>
      </c>
      <c r="D7" s="14" t="s">
        <v>67</v>
      </c>
      <c r="E7" s="18"/>
    </row>
    <row r="8" spans="1:7" x14ac:dyDescent="0.15">
      <c r="B8" s="20"/>
      <c r="C8" s="19">
        <f>SUM(E17:E245)</f>
        <v>15010.019494994953</v>
      </c>
      <c r="D8" s="21" t="s">
        <v>74</v>
      </c>
    </row>
    <row r="9" spans="1:7" x14ac:dyDescent="0.15">
      <c r="B9" s="20"/>
      <c r="C9" s="438">
        <f>SUM(B17:B256)</f>
        <v>5693.1936938901126</v>
      </c>
      <c r="D9" s="21" t="s">
        <v>75</v>
      </c>
    </row>
    <row r="10" spans="1:7" x14ac:dyDescent="0.15">
      <c r="B10" s="20"/>
      <c r="C10" s="31"/>
      <c r="D10" s="21"/>
    </row>
    <row r="11" spans="1:7" x14ac:dyDescent="0.15">
      <c r="A11" s="14" t="s">
        <v>334</v>
      </c>
      <c r="B11" s="436"/>
      <c r="D11" s="21"/>
    </row>
    <row r="12" spans="1:7" x14ac:dyDescent="0.15">
      <c r="A12" s="14" t="s">
        <v>434</v>
      </c>
      <c r="B12" s="437"/>
    </row>
    <row r="13" spans="1:7" x14ac:dyDescent="0.15">
      <c r="A13" s="14" t="s">
        <v>433</v>
      </c>
      <c r="B13" s="437"/>
    </row>
    <row r="14" spans="1:7" ht="15" x14ac:dyDescent="0.2">
      <c r="B14" s="32"/>
      <c r="C14" s="19"/>
    </row>
    <row r="15" spans="1:7" x14ac:dyDescent="0.15">
      <c r="A15" s="14" t="s">
        <v>76</v>
      </c>
      <c r="B15" s="33" t="s">
        <v>77</v>
      </c>
      <c r="C15" s="34" t="s">
        <v>78</v>
      </c>
      <c r="D15" s="34" t="s">
        <v>72</v>
      </c>
      <c r="F15" s="14" t="s">
        <v>77</v>
      </c>
      <c r="G15" s="14" t="s">
        <v>72</v>
      </c>
    </row>
    <row r="16" spans="1:7" x14ac:dyDescent="0.15">
      <c r="C16" s="19">
        <f>B5</f>
        <v>9300</v>
      </c>
    </row>
    <row r="17" spans="1:8" x14ac:dyDescent="0.15">
      <c r="A17" s="14">
        <v>1</v>
      </c>
      <c r="B17" s="36">
        <f>-B12</f>
        <v>0</v>
      </c>
      <c r="C17" s="19">
        <f>C16-D17</f>
        <v>9300</v>
      </c>
      <c r="D17" s="18">
        <v>0</v>
      </c>
      <c r="E17" s="19">
        <f>B17+D17</f>
        <v>0</v>
      </c>
      <c r="F17" s="19"/>
    </row>
    <row r="18" spans="1:8" x14ac:dyDescent="0.15">
      <c r="A18" s="14">
        <f>A17+1</f>
        <v>2</v>
      </c>
      <c r="B18" s="36">
        <f t="shared" ref="B18:B81" si="0">B$3*C17/12</f>
        <v>42.625</v>
      </c>
      <c r="C18" s="19">
        <f t="shared" ref="C18:C81" si="1">C17-D18</f>
        <v>9276.7915811623025</v>
      </c>
      <c r="D18" s="18">
        <f>$B$7-B18</f>
        <v>23.208418837697025</v>
      </c>
      <c r="E18" s="19">
        <f t="shared" ref="E18:E81" si="2">B18+D18</f>
        <v>65.833418837697025</v>
      </c>
    </row>
    <row r="19" spans="1:8" x14ac:dyDescent="0.15">
      <c r="A19" s="14">
        <f t="shared" ref="A19:A82" si="3">A18+1</f>
        <v>3</v>
      </c>
      <c r="B19" s="36">
        <f t="shared" si="0"/>
        <v>42.518628080327218</v>
      </c>
      <c r="C19" s="19">
        <f t="shared" si="1"/>
        <v>9253.4767904049331</v>
      </c>
      <c r="D19" s="18">
        <f t="shared" ref="D19:D82" si="4">$B$7-B19</f>
        <v>23.314790757369806</v>
      </c>
      <c r="E19" s="19">
        <f t="shared" si="2"/>
        <v>65.833418837697025</v>
      </c>
    </row>
    <row r="20" spans="1:8" x14ac:dyDescent="0.15">
      <c r="A20" s="14">
        <f t="shared" si="3"/>
        <v>4</v>
      </c>
      <c r="B20" s="36">
        <f t="shared" si="0"/>
        <v>42.411768622689273</v>
      </c>
      <c r="C20" s="19">
        <f t="shared" si="1"/>
        <v>9230.0551401899247</v>
      </c>
      <c r="D20" s="18">
        <f t="shared" si="4"/>
        <v>23.421650215007752</v>
      </c>
      <c r="E20" s="19">
        <f t="shared" si="2"/>
        <v>65.833418837697025</v>
      </c>
    </row>
    <row r="21" spans="1:8" x14ac:dyDescent="0.15">
      <c r="A21" s="14">
        <f t="shared" si="3"/>
        <v>5</v>
      </c>
      <c r="B21" s="36">
        <f t="shared" si="0"/>
        <v>42.304419392537156</v>
      </c>
      <c r="C21" s="19">
        <f t="shared" si="1"/>
        <v>9206.5261407447651</v>
      </c>
      <c r="D21" s="18">
        <f t="shared" si="4"/>
        <v>23.528999445159869</v>
      </c>
      <c r="E21" s="19">
        <f t="shared" si="2"/>
        <v>65.833418837697025</v>
      </c>
      <c r="F21" s="21"/>
      <c r="G21" s="21"/>
    </row>
    <row r="22" spans="1:8" x14ac:dyDescent="0.15">
      <c r="A22" s="14">
        <f t="shared" si="3"/>
        <v>6</v>
      </c>
      <c r="B22" s="36">
        <f t="shared" si="0"/>
        <v>42.196578145080174</v>
      </c>
      <c r="C22" s="19">
        <f t="shared" si="1"/>
        <v>9182.8893000521475</v>
      </c>
      <c r="D22" s="18">
        <f t="shared" si="4"/>
        <v>23.63684069261685</v>
      </c>
      <c r="E22" s="19">
        <f t="shared" si="2"/>
        <v>65.833418837697025</v>
      </c>
      <c r="F22" s="19"/>
      <c r="G22" s="19"/>
      <c r="H22" s="14">
        <v>2017</v>
      </c>
    </row>
    <row r="23" spans="1:8" x14ac:dyDescent="0.15">
      <c r="A23" s="14">
        <f t="shared" si="3"/>
        <v>7</v>
      </c>
      <c r="B23" s="36">
        <f t="shared" si="0"/>
        <v>42.088242625239012</v>
      </c>
      <c r="C23" s="19">
        <f t="shared" si="1"/>
        <v>9159.1441238396892</v>
      </c>
      <c r="D23" s="18">
        <f t="shared" si="4"/>
        <v>23.745176212458013</v>
      </c>
      <c r="E23" s="19">
        <f t="shared" si="2"/>
        <v>65.833418837697025</v>
      </c>
    </row>
    <row r="24" spans="1:8" x14ac:dyDescent="0.15">
      <c r="A24" s="14">
        <f t="shared" si="3"/>
        <v>8</v>
      </c>
      <c r="B24" s="36">
        <f t="shared" si="0"/>
        <v>41.979410567598578</v>
      </c>
      <c r="C24" s="19">
        <f t="shared" si="1"/>
        <v>9135.2901155695909</v>
      </c>
      <c r="D24" s="18">
        <f t="shared" si="4"/>
        <v>23.854008270098447</v>
      </c>
      <c r="E24" s="19">
        <f t="shared" si="2"/>
        <v>65.833418837697025</v>
      </c>
    </row>
    <row r="25" spans="1:8" x14ac:dyDescent="0.15">
      <c r="A25" s="14">
        <f t="shared" si="3"/>
        <v>9</v>
      </c>
      <c r="B25" s="36">
        <f t="shared" si="0"/>
        <v>41.870079696360627</v>
      </c>
      <c r="C25" s="19">
        <f t="shared" si="1"/>
        <v>9111.3267764282537</v>
      </c>
      <c r="D25" s="18">
        <f t="shared" si="4"/>
        <v>23.963339141336398</v>
      </c>
      <c r="E25" s="19">
        <f t="shared" si="2"/>
        <v>65.833418837697025</v>
      </c>
    </row>
    <row r="26" spans="1:8" x14ac:dyDescent="0.15">
      <c r="A26" s="14">
        <f t="shared" si="3"/>
        <v>10</v>
      </c>
      <c r="B26" s="36">
        <f t="shared" si="0"/>
        <v>41.760247725296161</v>
      </c>
      <c r="C26" s="19">
        <f t="shared" si="1"/>
        <v>9087.2536053158528</v>
      </c>
      <c r="D26" s="18">
        <f t="shared" si="4"/>
        <v>24.073171112400864</v>
      </c>
      <c r="E26" s="19">
        <f t="shared" si="2"/>
        <v>65.833418837697025</v>
      </c>
    </row>
    <row r="27" spans="1:8" x14ac:dyDescent="0.15">
      <c r="A27" s="14">
        <f t="shared" si="3"/>
        <v>11</v>
      </c>
      <c r="B27" s="36">
        <f t="shared" si="0"/>
        <v>41.649912357697659</v>
      </c>
      <c r="C27" s="19">
        <f t="shared" si="1"/>
        <v>9063.0700988358531</v>
      </c>
      <c r="D27" s="18">
        <f t="shared" si="4"/>
        <v>24.183506479999366</v>
      </c>
      <c r="E27" s="19">
        <f t="shared" si="2"/>
        <v>65.833418837697025</v>
      </c>
    </row>
    <row r="28" spans="1:8" x14ac:dyDescent="0.15">
      <c r="A28" s="14">
        <f t="shared" si="3"/>
        <v>12</v>
      </c>
      <c r="B28" s="36">
        <f t="shared" si="0"/>
        <v>41.539071286330994</v>
      </c>
      <c r="C28" s="19">
        <f t="shared" si="1"/>
        <v>9038.7757512844873</v>
      </c>
      <c r="D28" s="18">
        <f t="shared" si="4"/>
        <v>24.29434755136603</v>
      </c>
      <c r="E28" s="19">
        <f t="shared" si="2"/>
        <v>65.833418837697025</v>
      </c>
      <c r="F28" s="19">
        <f>SUM(B17:B28)</f>
        <v>462.94335849915683</v>
      </c>
    </row>
    <row r="29" spans="1:8" x14ac:dyDescent="0.15">
      <c r="A29" s="14">
        <f t="shared" si="3"/>
        <v>13</v>
      </c>
      <c r="B29" s="36">
        <f t="shared" si="0"/>
        <v>41.427722193387233</v>
      </c>
      <c r="C29" s="19">
        <f t="shared" si="1"/>
        <v>9014.3700546401778</v>
      </c>
      <c r="D29" s="18">
        <f t="shared" si="4"/>
        <v>24.405696644309792</v>
      </c>
      <c r="E29" s="19">
        <f t="shared" si="2"/>
        <v>65.833418837697025</v>
      </c>
      <c r="F29" s="19"/>
    </row>
    <row r="30" spans="1:8" x14ac:dyDescent="0.15">
      <c r="A30" s="14">
        <f t="shared" si="3"/>
        <v>14</v>
      </c>
      <c r="B30" s="36">
        <f t="shared" si="0"/>
        <v>41.31586275043415</v>
      </c>
      <c r="C30" s="19">
        <f t="shared" si="1"/>
        <v>8989.8524985529148</v>
      </c>
      <c r="D30" s="18">
        <f t="shared" si="4"/>
        <v>24.517556087262875</v>
      </c>
      <c r="E30" s="19">
        <f t="shared" si="2"/>
        <v>65.833418837697025</v>
      </c>
    </row>
    <row r="31" spans="1:8" x14ac:dyDescent="0.15">
      <c r="A31" s="14">
        <f t="shared" si="3"/>
        <v>15</v>
      </c>
      <c r="B31" s="36">
        <f t="shared" si="0"/>
        <v>41.203490618367525</v>
      </c>
      <c r="C31" s="19">
        <f t="shared" si="1"/>
        <v>8965.2225703335844</v>
      </c>
      <c r="D31" s="18">
        <f t="shared" si="4"/>
        <v>24.6299282193295</v>
      </c>
      <c r="E31" s="19">
        <f t="shared" si="2"/>
        <v>65.833418837697025</v>
      </c>
    </row>
    <row r="32" spans="1:8" x14ac:dyDescent="0.15">
      <c r="A32" s="14">
        <f t="shared" si="3"/>
        <v>16</v>
      </c>
      <c r="B32" s="36">
        <f t="shared" si="0"/>
        <v>41.090603447362263</v>
      </c>
      <c r="C32" s="19">
        <f t="shared" si="1"/>
        <v>8940.4797549432496</v>
      </c>
      <c r="D32" s="18">
        <f t="shared" si="4"/>
        <v>24.742815390334762</v>
      </c>
      <c r="E32" s="19">
        <f t="shared" si="2"/>
        <v>65.833418837697025</v>
      </c>
    </row>
    <row r="33" spans="1:8" x14ac:dyDescent="0.15">
      <c r="A33" s="14">
        <f t="shared" si="3"/>
        <v>17</v>
      </c>
      <c r="B33" s="36">
        <f t="shared" si="0"/>
        <v>40.97719887682323</v>
      </c>
      <c r="C33" s="19">
        <f t="shared" si="1"/>
        <v>8915.6235349823764</v>
      </c>
      <c r="D33" s="18">
        <f t="shared" si="4"/>
        <v>24.856219960873794</v>
      </c>
      <c r="E33" s="19">
        <f t="shared" si="2"/>
        <v>65.833418837697025</v>
      </c>
    </row>
    <row r="34" spans="1:8" x14ac:dyDescent="0.15">
      <c r="A34" s="14">
        <f t="shared" si="3"/>
        <v>18</v>
      </c>
      <c r="B34" s="36">
        <f t="shared" si="0"/>
        <v>40.86327453533589</v>
      </c>
      <c r="C34" s="19">
        <f t="shared" si="1"/>
        <v>8890.6533906800159</v>
      </c>
      <c r="D34" s="18">
        <f t="shared" si="4"/>
        <v>24.970144302361135</v>
      </c>
      <c r="E34" s="19">
        <f t="shared" si="2"/>
        <v>65.833418837697025</v>
      </c>
      <c r="F34" s="19"/>
      <c r="G34" s="19"/>
      <c r="H34" s="14">
        <v>2018</v>
      </c>
    </row>
    <row r="35" spans="1:8" x14ac:dyDescent="0.15">
      <c r="A35" s="14">
        <f t="shared" si="3"/>
        <v>19</v>
      </c>
      <c r="B35" s="36">
        <f t="shared" si="0"/>
        <v>40.748828040616736</v>
      </c>
      <c r="C35" s="19">
        <f t="shared" si="1"/>
        <v>8865.5687998829362</v>
      </c>
      <c r="D35" s="18">
        <f t="shared" si="4"/>
        <v>25.084590797080288</v>
      </c>
      <c r="E35" s="19">
        <f t="shared" si="2"/>
        <v>65.833418837697025</v>
      </c>
    </row>
    <row r="36" spans="1:8" x14ac:dyDescent="0.15">
      <c r="A36" s="14">
        <f t="shared" si="3"/>
        <v>20</v>
      </c>
      <c r="B36" s="36">
        <f t="shared" si="0"/>
        <v>40.633856999463454</v>
      </c>
      <c r="C36" s="19">
        <f t="shared" si="1"/>
        <v>8840.3692380447028</v>
      </c>
      <c r="D36" s="18">
        <f t="shared" si="4"/>
        <v>25.199561838233571</v>
      </c>
      <c r="E36" s="19">
        <f t="shared" si="2"/>
        <v>65.833418837697025</v>
      </c>
    </row>
    <row r="37" spans="1:8" x14ac:dyDescent="0.15">
      <c r="A37" s="14">
        <f t="shared" si="3"/>
        <v>21</v>
      </c>
      <c r="B37" s="36">
        <f t="shared" si="0"/>
        <v>40.518359007704888</v>
      </c>
      <c r="C37" s="19">
        <f t="shared" si="1"/>
        <v>8815.0541782147102</v>
      </c>
      <c r="D37" s="18">
        <f t="shared" si="4"/>
        <v>25.315059829992137</v>
      </c>
      <c r="E37" s="19">
        <f t="shared" si="2"/>
        <v>65.833418837697025</v>
      </c>
    </row>
    <row r="38" spans="1:8" x14ac:dyDescent="0.15">
      <c r="A38" s="14">
        <f t="shared" si="3"/>
        <v>22</v>
      </c>
      <c r="B38" s="36">
        <f t="shared" si="0"/>
        <v>40.402331650150757</v>
      </c>
      <c r="C38" s="19">
        <f t="shared" si="1"/>
        <v>8789.6230910271643</v>
      </c>
      <c r="D38" s="18">
        <f t="shared" si="4"/>
        <v>25.431087187546268</v>
      </c>
      <c r="E38" s="19">
        <f t="shared" si="2"/>
        <v>65.833418837697025</v>
      </c>
    </row>
    <row r="39" spans="1:8" x14ac:dyDescent="0.15">
      <c r="A39" s="14">
        <f t="shared" si="3"/>
        <v>23</v>
      </c>
      <c r="B39" s="36">
        <f t="shared" si="0"/>
        <v>40.285772500541171</v>
      </c>
      <c r="C39" s="19">
        <f t="shared" si="1"/>
        <v>8764.0754446900082</v>
      </c>
      <c r="D39" s="18">
        <f t="shared" si="4"/>
        <v>25.547646337155854</v>
      </c>
      <c r="E39" s="19">
        <f t="shared" si="2"/>
        <v>65.833418837697025</v>
      </c>
    </row>
    <row r="40" spans="1:8" x14ac:dyDescent="0.15">
      <c r="A40" s="14">
        <f t="shared" si="3"/>
        <v>24</v>
      </c>
      <c r="B40" s="36">
        <f t="shared" si="0"/>
        <v>40.16867912149587</v>
      </c>
      <c r="C40" s="19">
        <f t="shared" si="1"/>
        <v>8738.4107049738068</v>
      </c>
      <c r="D40" s="18">
        <f t="shared" si="4"/>
        <v>25.664739716201154</v>
      </c>
      <c r="E40" s="19">
        <f t="shared" si="2"/>
        <v>65.833418837697025</v>
      </c>
      <c r="F40" s="19">
        <f>SUM(B29:B40)</f>
        <v>489.63597974168312</v>
      </c>
    </row>
    <row r="41" spans="1:8" x14ac:dyDescent="0.15">
      <c r="A41" s="14">
        <f t="shared" si="3"/>
        <v>25</v>
      </c>
      <c r="B41" s="36">
        <f t="shared" si="0"/>
        <v>40.051049064463278</v>
      </c>
      <c r="C41" s="19">
        <f t="shared" si="1"/>
        <v>8712.6283352005739</v>
      </c>
      <c r="D41" s="18">
        <f t="shared" si="4"/>
        <v>25.782369773233746</v>
      </c>
      <c r="E41" s="19">
        <f t="shared" si="2"/>
        <v>65.833418837697025</v>
      </c>
    </row>
    <row r="42" spans="1:8" x14ac:dyDescent="0.15">
      <c r="A42" s="14">
        <f t="shared" si="3"/>
        <v>26</v>
      </c>
      <c r="B42" s="36">
        <f t="shared" si="0"/>
        <v>39.9328798696693</v>
      </c>
      <c r="C42" s="19">
        <f t="shared" si="1"/>
        <v>8686.7277962325461</v>
      </c>
      <c r="D42" s="18">
        <f t="shared" si="4"/>
        <v>25.900538968027725</v>
      </c>
      <c r="E42" s="19">
        <f t="shared" si="2"/>
        <v>65.833418837697025</v>
      </c>
    </row>
    <row r="43" spans="1:8" x14ac:dyDescent="0.15">
      <c r="A43" s="14">
        <f t="shared" si="3"/>
        <v>27</v>
      </c>
      <c r="B43" s="36">
        <f t="shared" si="0"/>
        <v>39.814169066065837</v>
      </c>
      <c r="C43" s="19">
        <f t="shared" si="1"/>
        <v>8660.7085464609154</v>
      </c>
      <c r="D43" s="18">
        <f t="shared" si="4"/>
        <v>26.019249771631188</v>
      </c>
      <c r="E43" s="19">
        <f t="shared" si="2"/>
        <v>65.833418837697025</v>
      </c>
    </row>
    <row r="44" spans="1:8" x14ac:dyDescent="0.15">
      <c r="A44" s="14">
        <f t="shared" si="3"/>
        <v>28</v>
      </c>
      <c r="B44" s="36">
        <f t="shared" si="0"/>
        <v>39.694914171279194</v>
      </c>
      <c r="C44" s="19">
        <f t="shared" si="1"/>
        <v>8634.5700417944972</v>
      </c>
      <c r="D44" s="18">
        <f t="shared" si="4"/>
        <v>26.13850466641783</v>
      </c>
      <c r="E44" s="19">
        <f t="shared" si="2"/>
        <v>65.833418837697025</v>
      </c>
    </row>
    <row r="45" spans="1:8" x14ac:dyDescent="0.15">
      <c r="A45" s="14">
        <f t="shared" si="3"/>
        <v>29</v>
      </c>
      <c r="B45" s="36">
        <f t="shared" si="0"/>
        <v>39.575112691558111</v>
      </c>
      <c r="C45" s="19">
        <f t="shared" si="1"/>
        <v>8608.3117356483581</v>
      </c>
      <c r="D45" s="18">
        <f t="shared" si="4"/>
        <v>26.258306146138914</v>
      </c>
      <c r="E45" s="19">
        <f t="shared" si="2"/>
        <v>65.833418837697025</v>
      </c>
    </row>
    <row r="46" spans="1:8" x14ac:dyDescent="0.15">
      <c r="A46" s="14">
        <f t="shared" si="3"/>
        <v>30</v>
      </c>
      <c r="B46" s="36">
        <f t="shared" si="0"/>
        <v>39.454762121721643</v>
      </c>
      <c r="C46" s="19">
        <f t="shared" si="1"/>
        <v>8581.9330789323831</v>
      </c>
      <c r="D46" s="18">
        <f t="shared" si="4"/>
        <v>26.378656715975382</v>
      </c>
      <c r="E46" s="19">
        <f t="shared" si="2"/>
        <v>65.833418837697025</v>
      </c>
      <c r="F46" s="19"/>
      <c r="G46" s="19"/>
      <c r="H46" s="14">
        <v>2019</v>
      </c>
    </row>
    <row r="47" spans="1:8" x14ac:dyDescent="0.15">
      <c r="A47" s="14">
        <f t="shared" si="3"/>
        <v>31</v>
      </c>
      <c r="B47" s="36">
        <f t="shared" si="0"/>
        <v>39.333859945106759</v>
      </c>
      <c r="C47" s="19">
        <f t="shared" si="1"/>
        <v>8555.4335200397927</v>
      </c>
      <c r="D47" s="18">
        <f t="shared" si="4"/>
        <v>26.499558892590265</v>
      </c>
      <c r="E47" s="19">
        <f t="shared" si="2"/>
        <v>65.833418837697025</v>
      </c>
    </row>
    <row r="48" spans="1:8" x14ac:dyDescent="0.15">
      <c r="A48" s="14">
        <f t="shared" si="3"/>
        <v>32</v>
      </c>
      <c r="B48" s="36">
        <f t="shared" si="0"/>
        <v>39.212403633515713</v>
      </c>
      <c r="C48" s="19">
        <f t="shared" si="1"/>
        <v>8528.8125048356105</v>
      </c>
      <c r="D48" s="18">
        <f t="shared" si="4"/>
        <v>26.621015204181312</v>
      </c>
      <c r="E48" s="19">
        <f t="shared" si="2"/>
        <v>65.833418837697025</v>
      </c>
    </row>
    <row r="49" spans="1:5" x14ac:dyDescent="0.15">
      <c r="A49" s="14">
        <f t="shared" si="3"/>
        <v>33</v>
      </c>
      <c r="B49" s="36">
        <f t="shared" si="0"/>
        <v>39.090390647163211</v>
      </c>
      <c r="C49" s="19">
        <f t="shared" si="1"/>
        <v>8502.0694766450761</v>
      </c>
      <c r="D49" s="18">
        <f t="shared" si="4"/>
        <v>26.743028190533813</v>
      </c>
      <c r="E49" s="19">
        <f t="shared" si="2"/>
        <v>65.833418837697025</v>
      </c>
    </row>
    <row r="50" spans="1:5" x14ac:dyDescent="0.15">
      <c r="A50" s="14">
        <f t="shared" si="3"/>
        <v>34</v>
      </c>
      <c r="B50" s="36">
        <f t="shared" si="0"/>
        <v>38.967818434623261</v>
      </c>
      <c r="C50" s="19">
        <f t="shared" si="1"/>
        <v>8475.2038762420016</v>
      </c>
      <c r="D50" s="18">
        <f t="shared" si="4"/>
        <v>26.865600403073763</v>
      </c>
      <c r="E50" s="19">
        <f t="shared" si="2"/>
        <v>65.833418837697025</v>
      </c>
    </row>
    <row r="51" spans="1:5" x14ac:dyDescent="0.15">
      <c r="A51" s="14">
        <f t="shared" si="3"/>
        <v>35</v>
      </c>
      <c r="B51" s="36">
        <f t="shared" si="0"/>
        <v>38.844684432775843</v>
      </c>
      <c r="C51" s="19">
        <f t="shared" si="1"/>
        <v>8448.2151418370795</v>
      </c>
      <c r="D51" s="18">
        <f t="shared" si="4"/>
        <v>26.988734404921182</v>
      </c>
      <c r="E51" s="19">
        <f t="shared" si="2"/>
        <v>65.833418837697025</v>
      </c>
    </row>
    <row r="52" spans="1:5" x14ac:dyDescent="0.15">
      <c r="A52" s="14">
        <f t="shared" si="3"/>
        <v>36</v>
      </c>
      <c r="B52" s="36">
        <f t="shared" si="0"/>
        <v>38.720986066753277</v>
      </c>
      <c r="C52" s="19">
        <f t="shared" si="1"/>
        <v>8421.1027090661355</v>
      </c>
      <c r="D52" s="18">
        <f t="shared" si="4"/>
        <v>27.112432770943748</v>
      </c>
      <c r="E52" s="19">
        <f t="shared" si="2"/>
        <v>65.833418837697025</v>
      </c>
    </row>
    <row r="53" spans="1:5" x14ac:dyDescent="0.15">
      <c r="A53" s="14">
        <f t="shared" si="3"/>
        <v>37</v>
      </c>
      <c r="B53" s="36">
        <f t="shared" si="0"/>
        <v>38.596720749886451</v>
      </c>
      <c r="C53" s="19">
        <f t="shared" si="1"/>
        <v>8393.866010978325</v>
      </c>
      <c r="D53" s="18">
        <f t="shared" si="4"/>
        <v>27.236698087810574</v>
      </c>
      <c r="E53" s="19">
        <f t="shared" si="2"/>
        <v>65.833418837697025</v>
      </c>
    </row>
    <row r="54" spans="1:5" x14ac:dyDescent="0.15">
      <c r="A54" s="14">
        <f t="shared" si="3"/>
        <v>38</v>
      </c>
      <c r="B54" s="36">
        <f t="shared" si="0"/>
        <v>38.471885883650657</v>
      </c>
      <c r="C54" s="19">
        <f t="shared" si="1"/>
        <v>8366.5044780242788</v>
      </c>
      <c r="D54" s="18">
        <f t="shared" si="4"/>
        <v>27.361532954046368</v>
      </c>
      <c r="E54" s="19">
        <f t="shared" si="2"/>
        <v>65.833418837697025</v>
      </c>
    </row>
    <row r="55" spans="1:5" x14ac:dyDescent="0.15">
      <c r="A55" s="14">
        <f t="shared" si="3"/>
        <v>39</v>
      </c>
      <c r="B55" s="36">
        <f t="shared" si="0"/>
        <v>38.346478857611281</v>
      </c>
      <c r="C55" s="19">
        <f t="shared" si="1"/>
        <v>8339.0175380441924</v>
      </c>
      <c r="D55" s="18">
        <f t="shared" si="4"/>
        <v>27.486939980085744</v>
      </c>
      <c r="E55" s="19">
        <f t="shared" si="2"/>
        <v>65.833418837697025</v>
      </c>
    </row>
    <row r="56" spans="1:5" x14ac:dyDescent="0.15">
      <c r="A56" s="14">
        <f t="shared" si="3"/>
        <v>40</v>
      </c>
      <c r="B56" s="36">
        <f t="shared" si="0"/>
        <v>38.220497049369214</v>
      </c>
      <c r="C56" s="19">
        <f t="shared" si="1"/>
        <v>8311.4046162558643</v>
      </c>
      <c r="D56" s="18">
        <f t="shared" si="4"/>
        <v>27.61292178832781</v>
      </c>
      <c r="E56" s="19">
        <f t="shared" si="2"/>
        <v>65.833418837697025</v>
      </c>
    </row>
    <row r="57" spans="1:5" x14ac:dyDescent="0.15">
      <c r="A57" s="14">
        <f t="shared" si="3"/>
        <v>41</v>
      </c>
      <c r="B57" s="36">
        <f t="shared" si="0"/>
        <v>38.09393782450605</v>
      </c>
      <c r="C57" s="19">
        <f t="shared" si="1"/>
        <v>8283.6651352426725</v>
      </c>
      <c r="D57" s="18">
        <f t="shared" si="4"/>
        <v>27.739481013190975</v>
      </c>
      <c r="E57" s="19">
        <f t="shared" si="2"/>
        <v>65.833418837697025</v>
      </c>
    </row>
    <row r="58" spans="1:5" x14ac:dyDescent="0.15">
      <c r="A58" s="14">
        <f t="shared" si="3"/>
        <v>42</v>
      </c>
      <c r="B58" s="36">
        <f t="shared" si="0"/>
        <v>37.96679853652892</v>
      </c>
      <c r="C58" s="19">
        <f t="shared" si="1"/>
        <v>8255.7985149415035</v>
      </c>
      <c r="D58" s="18">
        <f t="shared" si="4"/>
        <v>27.866620301168105</v>
      </c>
      <c r="E58" s="19">
        <f t="shared" si="2"/>
        <v>65.833418837697025</v>
      </c>
    </row>
    <row r="59" spans="1:5" x14ac:dyDescent="0.15">
      <c r="A59" s="14">
        <f t="shared" si="3"/>
        <v>43</v>
      </c>
      <c r="B59" s="36">
        <f t="shared" si="0"/>
        <v>37.839076526815226</v>
      </c>
      <c r="C59" s="19">
        <f t="shared" si="1"/>
        <v>8227.8041726306219</v>
      </c>
      <c r="D59" s="18">
        <f t="shared" si="4"/>
        <v>27.994342310881798</v>
      </c>
      <c r="E59" s="19">
        <f t="shared" si="2"/>
        <v>65.833418837697025</v>
      </c>
    </row>
    <row r="60" spans="1:5" x14ac:dyDescent="0.15">
      <c r="A60" s="14">
        <f t="shared" si="3"/>
        <v>44</v>
      </c>
      <c r="B60" s="36">
        <f t="shared" si="0"/>
        <v>37.710769124557018</v>
      </c>
      <c r="C60" s="19">
        <f t="shared" si="1"/>
        <v>8199.6815229174827</v>
      </c>
      <c r="D60" s="18">
        <f t="shared" si="4"/>
        <v>28.122649713140007</v>
      </c>
      <c r="E60" s="19">
        <f t="shared" si="2"/>
        <v>65.833418837697025</v>
      </c>
    </row>
    <row r="61" spans="1:5" x14ac:dyDescent="0.15">
      <c r="A61" s="14">
        <f t="shared" si="3"/>
        <v>45</v>
      </c>
      <c r="B61" s="36">
        <f t="shared" si="0"/>
        <v>37.581873646705127</v>
      </c>
      <c r="C61" s="19">
        <f t="shared" si="1"/>
        <v>8171.4299777264905</v>
      </c>
      <c r="D61" s="18">
        <f t="shared" si="4"/>
        <v>28.251545190991898</v>
      </c>
      <c r="E61" s="19">
        <f t="shared" si="2"/>
        <v>65.833418837697025</v>
      </c>
    </row>
    <row r="62" spans="1:5" x14ac:dyDescent="0.15">
      <c r="A62" s="14">
        <f t="shared" si="3"/>
        <v>46</v>
      </c>
      <c r="B62" s="36">
        <f t="shared" si="0"/>
        <v>37.452387397913078</v>
      </c>
      <c r="C62" s="19">
        <f t="shared" si="1"/>
        <v>8143.0489462867063</v>
      </c>
      <c r="D62" s="18">
        <f t="shared" si="4"/>
        <v>28.381031439783946</v>
      </c>
      <c r="E62" s="19">
        <f t="shared" si="2"/>
        <v>65.833418837697025</v>
      </c>
    </row>
    <row r="63" spans="1:5" x14ac:dyDescent="0.15">
      <c r="A63" s="14">
        <f t="shared" si="3"/>
        <v>47</v>
      </c>
      <c r="B63" s="36">
        <f t="shared" si="0"/>
        <v>37.322307670480733</v>
      </c>
      <c r="C63" s="19">
        <f t="shared" si="1"/>
        <v>8114.5378351194904</v>
      </c>
      <c r="D63" s="18">
        <f t="shared" si="4"/>
        <v>28.511111167216292</v>
      </c>
      <c r="E63" s="19">
        <f t="shared" si="2"/>
        <v>65.833418837697025</v>
      </c>
    </row>
    <row r="64" spans="1:5" x14ac:dyDescent="0.15">
      <c r="A64" s="14">
        <f t="shared" si="3"/>
        <v>48</v>
      </c>
      <c r="B64" s="36">
        <f t="shared" si="0"/>
        <v>37.191631744297666</v>
      </c>
      <c r="C64" s="19">
        <f t="shared" si="1"/>
        <v>8085.8960480260912</v>
      </c>
      <c r="D64" s="18">
        <f t="shared" si="4"/>
        <v>28.641787093399358</v>
      </c>
      <c r="E64" s="19">
        <f t="shared" si="2"/>
        <v>65.833418837697025</v>
      </c>
    </row>
    <row r="65" spans="1:5" x14ac:dyDescent="0.15">
      <c r="A65" s="14">
        <f t="shared" si="3"/>
        <v>49</v>
      </c>
      <c r="B65" s="36">
        <f t="shared" si="0"/>
        <v>37.060356886786252</v>
      </c>
      <c r="C65" s="19">
        <f t="shared" si="1"/>
        <v>8057.1229860751801</v>
      </c>
      <c r="D65" s="18">
        <f t="shared" si="4"/>
        <v>28.773061950910773</v>
      </c>
      <c r="E65" s="19">
        <f t="shared" si="2"/>
        <v>65.833418837697025</v>
      </c>
    </row>
    <row r="66" spans="1:5" x14ac:dyDescent="0.15">
      <c r="A66" s="14">
        <f t="shared" si="3"/>
        <v>50</v>
      </c>
      <c r="B66" s="36">
        <f t="shared" si="0"/>
        <v>36.928480352844574</v>
      </c>
      <c r="C66" s="19">
        <f t="shared" si="1"/>
        <v>8028.2180475903278</v>
      </c>
      <c r="D66" s="18">
        <f t="shared" si="4"/>
        <v>28.904938484852451</v>
      </c>
      <c r="E66" s="19">
        <f t="shared" si="2"/>
        <v>65.833418837697025</v>
      </c>
    </row>
    <row r="67" spans="1:5" x14ac:dyDescent="0.15">
      <c r="A67" s="14">
        <f t="shared" si="3"/>
        <v>51</v>
      </c>
      <c r="B67" s="36">
        <f t="shared" si="0"/>
        <v>36.795999384789006</v>
      </c>
      <c r="C67" s="19">
        <f t="shared" si="1"/>
        <v>7999.1806281374202</v>
      </c>
      <c r="D67" s="18">
        <f t="shared" si="4"/>
        <v>29.037419452908019</v>
      </c>
      <c r="E67" s="19">
        <f t="shared" si="2"/>
        <v>65.833418837697025</v>
      </c>
    </row>
    <row r="68" spans="1:5" x14ac:dyDescent="0.15">
      <c r="A68" s="14">
        <f t="shared" si="3"/>
        <v>52</v>
      </c>
      <c r="B68" s="36">
        <f t="shared" si="0"/>
        <v>36.662911212296514</v>
      </c>
      <c r="C68" s="19">
        <f t="shared" si="1"/>
        <v>7970.01012051202</v>
      </c>
      <c r="D68" s="18">
        <f t="shared" si="4"/>
        <v>29.170507625400511</v>
      </c>
      <c r="E68" s="19">
        <f t="shared" si="2"/>
        <v>65.833418837697025</v>
      </c>
    </row>
    <row r="69" spans="1:5" x14ac:dyDescent="0.15">
      <c r="A69" s="14">
        <f t="shared" si="3"/>
        <v>53</v>
      </c>
      <c r="B69" s="36">
        <f t="shared" si="0"/>
        <v>36.529213052346755</v>
      </c>
      <c r="C69" s="19">
        <f t="shared" si="1"/>
        <v>7940.70591472667</v>
      </c>
      <c r="D69" s="18">
        <f t="shared" si="4"/>
        <v>29.30420578535027</v>
      </c>
      <c r="E69" s="19">
        <f t="shared" si="2"/>
        <v>65.833418837697025</v>
      </c>
    </row>
    <row r="70" spans="1:5" x14ac:dyDescent="0.15">
      <c r="A70" s="14">
        <f t="shared" si="3"/>
        <v>54</v>
      </c>
      <c r="B70" s="36">
        <f t="shared" si="0"/>
        <v>36.394902109163901</v>
      </c>
      <c r="C70" s="19">
        <f t="shared" si="1"/>
        <v>7911.2673979981373</v>
      </c>
      <c r="D70" s="18">
        <f t="shared" si="4"/>
        <v>29.438516728533124</v>
      </c>
      <c r="E70" s="19">
        <f t="shared" si="2"/>
        <v>65.833418837697025</v>
      </c>
    </row>
    <row r="71" spans="1:5" x14ac:dyDescent="0.15">
      <c r="A71" s="14">
        <f t="shared" si="3"/>
        <v>55</v>
      </c>
      <c r="B71" s="36">
        <f t="shared" si="0"/>
        <v>36.259975574158126</v>
      </c>
      <c r="C71" s="19">
        <f t="shared" si="1"/>
        <v>7881.6939547345983</v>
      </c>
      <c r="D71" s="18">
        <f t="shared" si="4"/>
        <v>29.573443263538898</v>
      </c>
      <c r="E71" s="19">
        <f t="shared" si="2"/>
        <v>65.833418837697025</v>
      </c>
    </row>
    <row r="72" spans="1:5" x14ac:dyDescent="0.15">
      <c r="A72" s="14">
        <f t="shared" si="3"/>
        <v>56</v>
      </c>
      <c r="B72" s="36">
        <f t="shared" si="0"/>
        <v>36.124430625866907</v>
      </c>
      <c r="C72" s="19">
        <f t="shared" si="1"/>
        <v>7851.9849665227684</v>
      </c>
      <c r="D72" s="18">
        <f t="shared" si="4"/>
        <v>29.708988211830118</v>
      </c>
      <c r="E72" s="19">
        <f t="shared" si="2"/>
        <v>65.833418837697025</v>
      </c>
    </row>
    <row r="73" spans="1:5" x14ac:dyDescent="0.15">
      <c r="A73" s="14">
        <f t="shared" si="3"/>
        <v>57</v>
      </c>
      <c r="B73" s="36">
        <f t="shared" si="0"/>
        <v>35.98826442989602</v>
      </c>
      <c r="C73" s="19">
        <f t="shared" si="1"/>
        <v>7822.1398121149678</v>
      </c>
      <c r="D73" s="18">
        <f t="shared" si="4"/>
        <v>29.845154407801004</v>
      </c>
      <c r="E73" s="19">
        <f t="shared" si="2"/>
        <v>65.833418837697025</v>
      </c>
    </row>
    <row r="74" spans="1:5" x14ac:dyDescent="0.15">
      <c r="A74" s="14">
        <f t="shared" si="3"/>
        <v>58</v>
      </c>
      <c r="B74" s="36">
        <f t="shared" si="0"/>
        <v>35.851474138860269</v>
      </c>
      <c r="C74" s="19">
        <f t="shared" si="1"/>
        <v>7792.157867416131</v>
      </c>
      <c r="D74" s="18">
        <f t="shared" si="4"/>
        <v>29.981944698836756</v>
      </c>
      <c r="E74" s="19">
        <f t="shared" si="2"/>
        <v>65.833418837697025</v>
      </c>
    </row>
    <row r="75" spans="1:5" x14ac:dyDescent="0.15">
      <c r="A75" s="14">
        <f t="shared" si="3"/>
        <v>59</v>
      </c>
      <c r="B75" s="36">
        <f t="shared" si="0"/>
        <v>35.714056892323931</v>
      </c>
      <c r="C75" s="19">
        <f t="shared" si="1"/>
        <v>7762.0385054707576</v>
      </c>
      <c r="D75" s="18">
        <f t="shared" si="4"/>
        <v>30.119361945373093</v>
      </c>
      <c r="E75" s="19">
        <f t="shared" si="2"/>
        <v>65.833418837697025</v>
      </c>
    </row>
    <row r="76" spans="1:5" x14ac:dyDescent="0.15">
      <c r="A76" s="14">
        <f t="shared" si="3"/>
        <v>60</v>
      </c>
      <c r="B76" s="36">
        <f t="shared" si="0"/>
        <v>35.576009816740971</v>
      </c>
      <c r="C76" s="19">
        <f t="shared" si="1"/>
        <v>7731.7810964498012</v>
      </c>
      <c r="D76" s="18">
        <f t="shared" si="4"/>
        <v>30.257409020956054</v>
      </c>
      <c r="E76" s="19">
        <f t="shared" si="2"/>
        <v>65.833418837697025</v>
      </c>
    </row>
    <row r="77" spans="1:5" x14ac:dyDescent="0.15">
      <c r="A77" s="14">
        <f t="shared" si="3"/>
        <v>61</v>
      </c>
      <c r="B77" s="36">
        <f t="shared" si="0"/>
        <v>35.437330025394921</v>
      </c>
      <c r="C77" s="19">
        <f t="shared" si="1"/>
        <v>7701.3850076374993</v>
      </c>
      <c r="D77" s="18">
        <f t="shared" si="4"/>
        <v>30.396088812302104</v>
      </c>
      <c r="E77" s="19">
        <f t="shared" si="2"/>
        <v>65.833418837697025</v>
      </c>
    </row>
    <row r="78" spans="1:5" x14ac:dyDescent="0.15">
      <c r="A78" s="14">
        <f t="shared" si="3"/>
        <v>62</v>
      </c>
      <c r="B78" s="36">
        <f t="shared" si="0"/>
        <v>35.298014618338534</v>
      </c>
      <c r="C78" s="19">
        <f t="shared" si="1"/>
        <v>7670.8496034181408</v>
      </c>
      <c r="D78" s="18">
        <f t="shared" si="4"/>
        <v>30.53540421935849</v>
      </c>
      <c r="E78" s="19">
        <f t="shared" si="2"/>
        <v>65.833418837697025</v>
      </c>
    </row>
    <row r="79" spans="1:5" x14ac:dyDescent="0.15">
      <c r="A79" s="14">
        <f t="shared" si="3"/>
        <v>63</v>
      </c>
      <c r="B79" s="36">
        <f t="shared" si="0"/>
        <v>35.158060682333144</v>
      </c>
      <c r="C79" s="19">
        <f t="shared" si="1"/>
        <v>7640.1742452627768</v>
      </c>
      <c r="D79" s="18">
        <f t="shared" si="4"/>
        <v>30.675358155363881</v>
      </c>
      <c r="E79" s="19">
        <f t="shared" si="2"/>
        <v>65.833418837697025</v>
      </c>
    </row>
    <row r="80" spans="1:5" x14ac:dyDescent="0.15">
      <c r="A80" s="14">
        <f t="shared" si="3"/>
        <v>64</v>
      </c>
      <c r="B80" s="36">
        <f t="shared" si="0"/>
        <v>35.017465290787726</v>
      </c>
      <c r="C80" s="19">
        <f t="shared" si="1"/>
        <v>7609.3582917158674</v>
      </c>
      <c r="D80" s="18">
        <f t="shared" si="4"/>
        <v>30.815953546909299</v>
      </c>
      <c r="E80" s="19">
        <f t="shared" si="2"/>
        <v>65.833418837697025</v>
      </c>
    </row>
    <row r="81" spans="1:5" x14ac:dyDescent="0.15">
      <c r="A81" s="14">
        <f t="shared" si="3"/>
        <v>65</v>
      </c>
      <c r="B81" s="36">
        <f t="shared" si="0"/>
        <v>34.876225503697725</v>
      </c>
      <c r="C81" s="19">
        <f t="shared" si="1"/>
        <v>7578.401098381868</v>
      </c>
      <c r="D81" s="18">
        <f t="shared" si="4"/>
        <v>30.9571933339993</v>
      </c>
      <c r="E81" s="19">
        <f t="shared" si="2"/>
        <v>65.833418837697025</v>
      </c>
    </row>
    <row r="82" spans="1:5" x14ac:dyDescent="0.15">
      <c r="A82" s="14">
        <f t="shared" si="3"/>
        <v>66</v>
      </c>
      <c r="B82" s="36">
        <f t="shared" ref="B82:B145" si="5">B$3*C81/12</f>
        <v>34.734338367583561</v>
      </c>
      <c r="C82" s="19">
        <f t="shared" ref="C82:C145" si="6">C81-D82</f>
        <v>7547.3020179117548</v>
      </c>
      <c r="D82" s="18">
        <f t="shared" si="4"/>
        <v>31.099080470113464</v>
      </c>
      <c r="E82" s="19">
        <f t="shared" ref="E82:E145" si="7">B82+D82</f>
        <v>65.833418837697025</v>
      </c>
    </row>
    <row r="83" spans="1:5" x14ac:dyDescent="0.15">
      <c r="A83" s="14">
        <f t="shared" ref="A83:A146" si="8">A82+1</f>
        <v>67</v>
      </c>
      <c r="B83" s="36">
        <f t="shared" si="5"/>
        <v>34.591800915428877</v>
      </c>
      <c r="C83" s="19">
        <f t="shared" si="6"/>
        <v>7516.0603999894865</v>
      </c>
      <c r="D83" s="18">
        <f t="shared" ref="D83:D146" si="9">$B$7-B83</f>
        <v>31.241617922268148</v>
      </c>
      <c r="E83" s="19">
        <f t="shared" si="7"/>
        <v>65.833418837697025</v>
      </c>
    </row>
    <row r="84" spans="1:5" x14ac:dyDescent="0.15">
      <c r="A84" s="14">
        <f t="shared" si="8"/>
        <v>68</v>
      </c>
      <c r="B84" s="36">
        <f t="shared" si="5"/>
        <v>34.448610166618479</v>
      </c>
      <c r="C84" s="19">
        <f t="shared" si="6"/>
        <v>7484.6755913184079</v>
      </c>
      <c r="D84" s="18">
        <f t="shared" si="9"/>
        <v>31.384808671078545</v>
      </c>
      <c r="E84" s="19">
        <f t="shared" si="7"/>
        <v>65.833418837697025</v>
      </c>
    </row>
    <row r="85" spans="1:5" x14ac:dyDescent="0.15">
      <c r="A85" s="14">
        <f t="shared" si="8"/>
        <v>69</v>
      </c>
      <c r="B85" s="36">
        <f t="shared" si="5"/>
        <v>34.304763126876033</v>
      </c>
      <c r="C85" s="19">
        <f t="shared" si="6"/>
        <v>7453.1469356075868</v>
      </c>
      <c r="D85" s="18">
        <f t="shared" si="9"/>
        <v>31.528655710820992</v>
      </c>
      <c r="E85" s="19">
        <f t="shared" si="7"/>
        <v>65.833418837697025</v>
      </c>
    </row>
    <row r="86" spans="1:5" x14ac:dyDescent="0.15">
      <c r="A86" s="14">
        <f t="shared" si="8"/>
        <v>70</v>
      </c>
      <c r="B86" s="36">
        <f t="shared" si="5"/>
        <v>34.160256788201444</v>
      </c>
      <c r="C86" s="19">
        <f t="shared" si="6"/>
        <v>7421.4737735580911</v>
      </c>
      <c r="D86" s="18">
        <f t="shared" si="9"/>
        <v>31.673162049495581</v>
      </c>
      <c r="E86" s="19">
        <f t="shared" si="7"/>
        <v>65.833418837697025</v>
      </c>
    </row>
    <row r="87" spans="1:5" x14ac:dyDescent="0.15">
      <c r="A87" s="14">
        <f t="shared" si="8"/>
        <v>71</v>
      </c>
      <c r="B87" s="36">
        <f t="shared" si="5"/>
        <v>34.015088128807918</v>
      </c>
      <c r="C87" s="19">
        <f t="shared" si="6"/>
        <v>7389.6554428492018</v>
      </c>
      <c r="D87" s="18">
        <f t="shared" si="9"/>
        <v>31.818330708889107</v>
      </c>
      <c r="E87" s="19">
        <f t="shared" si="7"/>
        <v>65.833418837697025</v>
      </c>
    </row>
    <row r="88" spans="1:5" x14ac:dyDescent="0.15">
      <c r="A88" s="14">
        <f t="shared" si="8"/>
        <v>72</v>
      </c>
      <c r="B88" s="36">
        <f t="shared" si="5"/>
        <v>33.869254113058844</v>
      </c>
      <c r="C88" s="19">
        <f t="shared" si="6"/>
        <v>7357.6912781245637</v>
      </c>
      <c r="D88" s="18">
        <f t="shared" si="9"/>
        <v>31.964164724638181</v>
      </c>
      <c r="E88" s="19">
        <f t="shared" si="7"/>
        <v>65.833418837697025</v>
      </c>
    </row>
    <row r="89" spans="1:5" x14ac:dyDescent="0.15">
      <c r="A89" s="14">
        <f t="shared" si="8"/>
        <v>73</v>
      </c>
      <c r="B89" s="36">
        <f t="shared" si="5"/>
        <v>33.722751691404248</v>
      </c>
      <c r="C89" s="19">
        <f t="shared" si="6"/>
        <v>7325.5806109782707</v>
      </c>
      <c r="D89" s="18">
        <f t="shared" si="9"/>
        <v>32.110667146292776</v>
      </c>
      <c r="E89" s="19">
        <f t="shared" si="7"/>
        <v>65.833418837697025</v>
      </c>
    </row>
    <row r="90" spans="1:5" x14ac:dyDescent="0.15">
      <c r="A90" s="14">
        <f t="shared" si="8"/>
        <v>74</v>
      </c>
      <c r="B90" s="36">
        <f t="shared" si="5"/>
        <v>33.57557780031707</v>
      </c>
      <c r="C90" s="19">
        <f t="shared" si="6"/>
        <v>7293.3227699408908</v>
      </c>
      <c r="D90" s="18">
        <f t="shared" si="9"/>
        <v>32.257841037379954</v>
      </c>
      <c r="E90" s="19">
        <f t="shared" si="7"/>
        <v>65.833418837697025</v>
      </c>
    </row>
    <row r="91" spans="1:5" x14ac:dyDescent="0.15">
      <c r="A91" s="14">
        <f t="shared" si="8"/>
        <v>75</v>
      </c>
      <c r="B91" s="36">
        <f t="shared" si="5"/>
        <v>33.42772936222908</v>
      </c>
      <c r="C91" s="19">
        <f t="shared" si="6"/>
        <v>7260.9170804654232</v>
      </c>
      <c r="D91" s="18">
        <f t="shared" si="9"/>
        <v>32.405689475467945</v>
      </c>
      <c r="E91" s="19">
        <f t="shared" si="7"/>
        <v>65.833418837697025</v>
      </c>
    </row>
    <row r="92" spans="1:5" x14ac:dyDescent="0.15">
      <c r="A92" s="14">
        <f t="shared" si="8"/>
        <v>76</v>
      </c>
      <c r="B92" s="36">
        <f t="shared" si="5"/>
        <v>33.279203285466522</v>
      </c>
      <c r="C92" s="19">
        <f t="shared" si="6"/>
        <v>7228.3628649131924</v>
      </c>
      <c r="D92" s="18">
        <f t="shared" si="9"/>
        <v>32.554215552230502</v>
      </c>
      <c r="E92" s="19">
        <f t="shared" si="7"/>
        <v>65.833418837697025</v>
      </c>
    </row>
    <row r="93" spans="1:5" x14ac:dyDescent="0.15">
      <c r="A93" s="14">
        <f t="shared" si="8"/>
        <v>77</v>
      </c>
      <c r="B93" s="36">
        <f t="shared" si="5"/>
        <v>33.129996464185467</v>
      </c>
      <c r="C93" s="19">
        <f t="shared" si="6"/>
        <v>7195.6594425396806</v>
      </c>
      <c r="D93" s="18">
        <f t="shared" si="9"/>
        <v>32.703422373511557</v>
      </c>
      <c r="E93" s="19">
        <f t="shared" si="7"/>
        <v>65.833418837697025</v>
      </c>
    </row>
    <row r="94" spans="1:5" x14ac:dyDescent="0.15">
      <c r="A94" s="14">
        <f t="shared" si="8"/>
        <v>78</v>
      </c>
      <c r="B94" s="36">
        <f t="shared" si="5"/>
        <v>32.980105778306871</v>
      </c>
      <c r="C94" s="19">
        <f t="shared" si="6"/>
        <v>7162.8061294802901</v>
      </c>
      <c r="D94" s="18">
        <f t="shared" si="9"/>
        <v>32.853313059390153</v>
      </c>
      <c r="E94" s="19">
        <f t="shared" si="7"/>
        <v>65.833418837697025</v>
      </c>
    </row>
    <row r="95" spans="1:5" x14ac:dyDescent="0.15">
      <c r="A95" s="14">
        <f t="shared" si="8"/>
        <v>79</v>
      </c>
      <c r="B95" s="36">
        <f t="shared" si="5"/>
        <v>32.82952809345133</v>
      </c>
      <c r="C95" s="19">
        <f t="shared" si="6"/>
        <v>7129.8022387360443</v>
      </c>
      <c r="D95" s="18">
        <f t="shared" si="9"/>
        <v>33.003890744245695</v>
      </c>
      <c r="E95" s="19">
        <f t="shared" si="7"/>
        <v>65.833418837697025</v>
      </c>
    </row>
    <row r="96" spans="1:5" x14ac:dyDescent="0.15">
      <c r="A96" s="14">
        <f t="shared" si="8"/>
        <v>80</v>
      </c>
      <c r="B96" s="36">
        <f t="shared" si="5"/>
        <v>32.678260260873536</v>
      </c>
      <c r="C96" s="19">
        <f t="shared" si="6"/>
        <v>7096.6470801592204</v>
      </c>
      <c r="D96" s="18">
        <f t="shared" si="9"/>
        <v>33.155158576823489</v>
      </c>
      <c r="E96" s="19">
        <f t="shared" si="7"/>
        <v>65.833418837697025</v>
      </c>
    </row>
    <row r="97" spans="1:5" x14ac:dyDescent="0.15">
      <c r="A97" s="14">
        <f t="shared" si="8"/>
        <v>81</v>
      </c>
      <c r="B97" s="36">
        <f t="shared" si="5"/>
        <v>32.526299117396427</v>
      </c>
      <c r="C97" s="19">
        <f t="shared" si="6"/>
        <v>7063.3399604389197</v>
      </c>
      <c r="D97" s="18">
        <f t="shared" si="9"/>
        <v>33.307119720300598</v>
      </c>
      <c r="E97" s="19">
        <f t="shared" si="7"/>
        <v>65.833418837697025</v>
      </c>
    </row>
    <row r="98" spans="1:5" x14ac:dyDescent="0.15">
      <c r="A98" s="14">
        <f t="shared" si="8"/>
        <v>82</v>
      </c>
      <c r="B98" s="36">
        <f t="shared" si="5"/>
        <v>32.373641485345047</v>
      </c>
      <c r="C98" s="19">
        <f t="shared" si="6"/>
        <v>7029.8801830865677</v>
      </c>
      <c r="D98" s="18">
        <f t="shared" si="9"/>
        <v>33.459777352351978</v>
      </c>
      <c r="E98" s="19">
        <f t="shared" si="7"/>
        <v>65.833418837697025</v>
      </c>
    </row>
    <row r="99" spans="1:5" x14ac:dyDescent="0.15">
      <c r="A99" s="14">
        <f t="shared" si="8"/>
        <v>83</v>
      </c>
      <c r="B99" s="36">
        <f t="shared" si="5"/>
        <v>32.220284172480099</v>
      </c>
      <c r="C99" s="19">
        <f t="shared" si="6"/>
        <v>6996.2670484213504</v>
      </c>
      <c r="D99" s="18">
        <f t="shared" si="9"/>
        <v>33.613134665216926</v>
      </c>
      <c r="E99" s="19">
        <f t="shared" si="7"/>
        <v>65.833418837697025</v>
      </c>
    </row>
    <row r="100" spans="1:5" x14ac:dyDescent="0.15">
      <c r="A100" s="14">
        <f t="shared" si="8"/>
        <v>84</v>
      </c>
      <c r="B100" s="36">
        <f t="shared" si="5"/>
        <v>32.066223971931187</v>
      </c>
      <c r="C100" s="19">
        <f t="shared" si="6"/>
        <v>6962.4998535555842</v>
      </c>
      <c r="D100" s="18">
        <f t="shared" si="9"/>
        <v>33.767194865765838</v>
      </c>
      <c r="E100" s="19">
        <f t="shared" si="7"/>
        <v>65.833418837697025</v>
      </c>
    </row>
    <row r="101" spans="1:5" x14ac:dyDescent="0.15">
      <c r="A101" s="14">
        <f t="shared" si="8"/>
        <v>85</v>
      </c>
      <c r="B101" s="36">
        <f t="shared" si="5"/>
        <v>31.911457662129763</v>
      </c>
      <c r="C101" s="19">
        <f t="shared" si="6"/>
        <v>6928.5778923800171</v>
      </c>
      <c r="D101" s="18">
        <f t="shared" si="9"/>
        <v>33.921961175567262</v>
      </c>
      <c r="E101" s="19">
        <f t="shared" si="7"/>
        <v>65.833418837697025</v>
      </c>
    </row>
    <row r="102" spans="1:5" x14ac:dyDescent="0.15">
      <c r="A102" s="14">
        <f t="shared" si="8"/>
        <v>86</v>
      </c>
      <c r="B102" s="36">
        <f t="shared" si="5"/>
        <v>31.755982006741746</v>
      </c>
      <c r="C102" s="19">
        <f t="shared" si="6"/>
        <v>6894.5004555490623</v>
      </c>
      <c r="D102" s="18">
        <f t="shared" si="9"/>
        <v>34.077436830955278</v>
      </c>
      <c r="E102" s="19">
        <f t="shared" si="7"/>
        <v>65.833418837697025</v>
      </c>
    </row>
    <row r="103" spans="1:5" x14ac:dyDescent="0.15">
      <c r="A103" s="14">
        <f t="shared" si="8"/>
        <v>87</v>
      </c>
      <c r="B103" s="36">
        <f t="shared" si="5"/>
        <v>31.599793754599869</v>
      </c>
      <c r="C103" s="19">
        <f t="shared" si="6"/>
        <v>6860.2668304659655</v>
      </c>
      <c r="D103" s="18">
        <f t="shared" si="9"/>
        <v>34.233625083097152</v>
      </c>
      <c r="E103" s="19">
        <f t="shared" si="7"/>
        <v>65.833418837697025</v>
      </c>
    </row>
    <row r="104" spans="1:5" x14ac:dyDescent="0.15">
      <c r="A104" s="14">
        <f t="shared" si="8"/>
        <v>88</v>
      </c>
      <c r="B104" s="36">
        <f t="shared" si="5"/>
        <v>31.442889639635677</v>
      </c>
      <c r="C104" s="19">
        <f t="shared" si="6"/>
        <v>6825.8763012679046</v>
      </c>
      <c r="D104" s="18">
        <f t="shared" si="9"/>
        <v>34.390529198061344</v>
      </c>
      <c r="E104" s="19">
        <f t="shared" si="7"/>
        <v>65.833418837697025</v>
      </c>
    </row>
    <row r="105" spans="1:5" x14ac:dyDescent="0.15">
      <c r="A105" s="14">
        <f t="shared" si="8"/>
        <v>89</v>
      </c>
      <c r="B105" s="36">
        <f t="shared" si="5"/>
        <v>31.285266380811233</v>
      </c>
      <c r="C105" s="19">
        <f t="shared" si="6"/>
        <v>6791.3281488110188</v>
      </c>
      <c r="D105" s="18">
        <f t="shared" si="9"/>
        <v>34.548152456885788</v>
      </c>
      <c r="E105" s="19">
        <f t="shared" si="7"/>
        <v>65.833418837697025</v>
      </c>
    </row>
    <row r="106" spans="1:5" x14ac:dyDescent="0.15">
      <c r="A106" s="14">
        <f t="shared" si="8"/>
        <v>90</v>
      </c>
      <c r="B106" s="36">
        <f t="shared" si="5"/>
        <v>31.1269206820505</v>
      </c>
      <c r="C106" s="19">
        <f t="shared" si="6"/>
        <v>6756.6216506553719</v>
      </c>
      <c r="D106" s="18">
        <f t="shared" si="9"/>
        <v>34.706498155646528</v>
      </c>
      <c r="E106" s="19">
        <f t="shared" si="7"/>
        <v>65.833418837697025</v>
      </c>
    </row>
    <row r="107" spans="1:5" x14ac:dyDescent="0.15">
      <c r="A107" s="14">
        <f t="shared" si="8"/>
        <v>91</v>
      </c>
      <c r="B107" s="36">
        <f t="shared" si="5"/>
        <v>30.967849232170455</v>
      </c>
      <c r="C107" s="19">
        <f t="shared" si="6"/>
        <v>6721.7560810498453</v>
      </c>
      <c r="D107" s="18">
        <f t="shared" si="9"/>
        <v>34.865569605526574</v>
      </c>
      <c r="E107" s="19">
        <f t="shared" si="7"/>
        <v>65.833418837697025</v>
      </c>
    </row>
    <row r="108" spans="1:5" x14ac:dyDescent="0.15">
      <c r="A108" s="14">
        <f t="shared" si="8"/>
        <v>92</v>
      </c>
      <c r="B108" s="36">
        <f t="shared" si="5"/>
        <v>30.808048704811792</v>
      </c>
      <c r="C108" s="19">
        <f t="shared" si="6"/>
        <v>6686.7307109169597</v>
      </c>
      <c r="D108" s="18">
        <f t="shared" si="9"/>
        <v>35.025370132885229</v>
      </c>
      <c r="E108" s="19">
        <f t="shared" si="7"/>
        <v>65.833418837697025</v>
      </c>
    </row>
    <row r="109" spans="1:5" x14ac:dyDescent="0.15">
      <c r="A109" s="14">
        <f t="shared" si="8"/>
        <v>93</v>
      </c>
      <c r="B109" s="36">
        <f t="shared" si="5"/>
        <v>30.647515758369398</v>
      </c>
      <c r="C109" s="19">
        <f t="shared" si="6"/>
        <v>6651.5448078376321</v>
      </c>
      <c r="D109" s="18">
        <f t="shared" si="9"/>
        <v>35.18590307932763</v>
      </c>
      <c r="E109" s="19">
        <f t="shared" si="7"/>
        <v>65.833418837697025</v>
      </c>
    </row>
    <row r="110" spans="1:5" x14ac:dyDescent="0.15">
      <c r="A110" s="14">
        <f t="shared" si="8"/>
        <v>94</v>
      </c>
      <c r="B110" s="36">
        <f t="shared" si="5"/>
        <v>30.486247035922478</v>
      </c>
      <c r="C110" s="19">
        <f t="shared" si="6"/>
        <v>6616.1976360358576</v>
      </c>
      <c r="D110" s="18">
        <f t="shared" si="9"/>
        <v>35.34717180177455</v>
      </c>
      <c r="E110" s="19">
        <f t="shared" si="7"/>
        <v>65.833418837697025</v>
      </c>
    </row>
    <row r="111" spans="1:5" x14ac:dyDescent="0.15">
      <c r="A111" s="14">
        <f t="shared" si="8"/>
        <v>95</v>
      </c>
      <c r="B111" s="36">
        <f t="shared" si="5"/>
        <v>30.324239165164347</v>
      </c>
      <c r="C111" s="19">
        <f t="shared" si="6"/>
        <v>6580.6884563633248</v>
      </c>
      <c r="D111" s="18">
        <f t="shared" si="9"/>
        <v>35.509179672532682</v>
      </c>
      <c r="E111" s="19">
        <f t="shared" si="7"/>
        <v>65.833418837697025</v>
      </c>
    </row>
    <row r="112" spans="1:5" x14ac:dyDescent="0.15">
      <c r="A112" s="14">
        <f t="shared" si="8"/>
        <v>96</v>
      </c>
      <c r="B112" s="36">
        <f t="shared" si="5"/>
        <v>30.161488758331902</v>
      </c>
      <c r="C112" s="19">
        <f t="shared" si="6"/>
        <v>6545.01652628396</v>
      </c>
      <c r="D112" s="18">
        <f t="shared" si="9"/>
        <v>35.671930079365126</v>
      </c>
      <c r="E112" s="19">
        <f t="shared" si="7"/>
        <v>65.833418837697025</v>
      </c>
    </row>
    <row r="113" spans="1:5" x14ac:dyDescent="0.15">
      <c r="A113" s="14">
        <f t="shared" si="8"/>
        <v>97</v>
      </c>
      <c r="B113" s="36">
        <f t="shared" si="5"/>
        <v>29.997992412134817</v>
      </c>
      <c r="C113" s="19">
        <f t="shared" si="6"/>
        <v>6509.1810998583978</v>
      </c>
      <c r="D113" s="18">
        <f t="shared" si="9"/>
        <v>35.835426425562204</v>
      </c>
      <c r="E113" s="19">
        <f t="shared" si="7"/>
        <v>65.833418837697025</v>
      </c>
    </row>
    <row r="114" spans="1:5" x14ac:dyDescent="0.15">
      <c r="A114" s="14">
        <f t="shared" si="8"/>
        <v>98</v>
      </c>
      <c r="B114" s="36">
        <f t="shared" si="5"/>
        <v>29.833746707684323</v>
      </c>
      <c r="C114" s="19">
        <f t="shared" si="6"/>
        <v>6473.1814277283847</v>
      </c>
      <c r="D114" s="18">
        <f t="shared" si="9"/>
        <v>35.999672130012698</v>
      </c>
      <c r="E114" s="19">
        <f t="shared" si="7"/>
        <v>65.833418837697025</v>
      </c>
    </row>
    <row r="115" spans="1:5" x14ac:dyDescent="0.15">
      <c r="A115" s="14">
        <f t="shared" si="8"/>
        <v>99</v>
      </c>
      <c r="B115" s="36">
        <f t="shared" si="5"/>
        <v>29.668748210421764</v>
      </c>
      <c r="C115" s="19">
        <f t="shared" si="6"/>
        <v>6437.0167571011098</v>
      </c>
      <c r="D115" s="18">
        <f t="shared" si="9"/>
        <v>36.164670627275257</v>
      </c>
      <c r="E115" s="19">
        <f t="shared" si="7"/>
        <v>65.833418837697025</v>
      </c>
    </row>
    <row r="116" spans="1:5" x14ac:dyDescent="0.15">
      <c r="A116" s="14">
        <f t="shared" si="8"/>
        <v>100</v>
      </c>
      <c r="B116" s="36">
        <f t="shared" si="5"/>
        <v>29.50299347004675</v>
      </c>
      <c r="C116" s="19">
        <f t="shared" si="6"/>
        <v>6400.6863317334592</v>
      </c>
      <c r="D116" s="18">
        <f t="shared" si="9"/>
        <v>36.330425367650278</v>
      </c>
      <c r="E116" s="19">
        <f t="shared" si="7"/>
        <v>65.833418837697025</v>
      </c>
    </row>
    <row r="117" spans="1:5" x14ac:dyDescent="0.15">
      <c r="A117" s="14">
        <f t="shared" si="8"/>
        <v>101</v>
      </c>
      <c r="B117" s="36">
        <f t="shared" si="5"/>
        <v>29.336479020445022</v>
      </c>
      <c r="C117" s="19">
        <f t="shared" si="6"/>
        <v>6364.1893919162076</v>
      </c>
      <c r="D117" s="18">
        <f t="shared" si="9"/>
        <v>36.496939817251999</v>
      </c>
      <c r="E117" s="19">
        <f t="shared" si="7"/>
        <v>65.833418837697025</v>
      </c>
    </row>
    <row r="118" spans="1:5" x14ac:dyDescent="0.15">
      <c r="A118" s="14">
        <f t="shared" si="8"/>
        <v>102</v>
      </c>
      <c r="B118" s="36">
        <f t="shared" si="5"/>
        <v>29.169201379615952</v>
      </c>
      <c r="C118" s="19">
        <f t="shared" si="6"/>
        <v>6327.5251744581265</v>
      </c>
      <c r="D118" s="18">
        <f t="shared" si="9"/>
        <v>36.664217458081069</v>
      </c>
      <c r="E118" s="19">
        <f t="shared" si="7"/>
        <v>65.833418837697025</v>
      </c>
    </row>
    <row r="119" spans="1:5" x14ac:dyDescent="0.15">
      <c r="A119" s="14">
        <f t="shared" si="8"/>
        <v>103</v>
      </c>
      <c r="B119" s="36">
        <f t="shared" si="5"/>
        <v>29.001157049599744</v>
      </c>
      <c r="C119" s="19">
        <f t="shared" si="6"/>
        <v>6290.6929126700288</v>
      </c>
      <c r="D119" s="18">
        <f t="shared" si="9"/>
        <v>36.832261788097284</v>
      </c>
      <c r="E119" s="19">
        <f t="shared" si="7"/>
        <v>65.833418837697025</v>
      </c>
    </row>
    <row r="120" spans="1:5" x14ac:dyDescent="0.15">
      <c r="A120" s="14">
        <f t="shared" si="8"/>
        <v>104</v>
      </c>
      <c r="B120" s="36">
        <f t="shared" si="5"/>
        <v>28.832342516404299</v>
      </c>
      <c r="C120" s="19">
        <f t="shared" si="6"/>
        <v>6253.6918363487357</v>
      </c>
      <c r="D120" s="18">
        <f t="shared" si="9"/>
        <v>37.001076321292729</v>
      </c>
      <c r="E120" s="19">
        <f t="shared" si="7"/>
        <v>65.833418837697025</v>
      </c>
    </row>
    <row r="121" spans="1:5" x14ac:dyDescent="0.15">
      <c r="A121" s="14">
        <f t="shared" si="8"/>
        <v>105</v>
      </c>
      <c r="B121" s="36">
        <f t="shared" si="5"/>
        <v>28.662754249931705</v>
      </c>
      <c r="C121" s="19">
        <f t="shared" si="6"/>
        <v>6216.52117176097</v>
      </c>
      <c r="D121" s="18">
        <f t="shared" si="9"/>
        <v>37.170664587765316</v>
      </c>
      <c r="E121" s="19">
        <f t="shared" si="7"/>
        <v>65.833418837697025</v>
      </c>
    </row>
    <row r="122" spans="1:5" x14ac:dyDescent="0.15">
      <c r="A122" s="14">
        <f t="shared" si="8"/>
        <v>106</v>
      </c>
      <c r="B122" s="36">
        <f t="shared" si="5"/>
        <v>28.492388703904449</v>
      </c>
      <c r="C122" s="19">
        <f t="shared" si="6"/>
        <v>6179.1801416271774</v>
      </c>
      <c r="D122" s="18">
        <f t="shared" si="9"/>
        <v>37.341030133792572</v>
      </c>
      <c r="E122" s="19">
        <f t="shared" si="7"/>
        <v>65.833418837697025</v>
      </c>
    </row>
    <row r="123" spans="1:5" x14ac:dyDescent="0.15">
      <c r="A123" s="14">
        <f t="shared" si="8"/>
        <v>107</v>
      </c>
      <c r="B123" s="36">
        <f t="shared" si="5"/>
        <v>28.321242315791228</v>
      </c>
      <c r="C123" s="19">
        <f t="shared" si="6"/>
        <v>6141.6679651052718</v>
      </c>
      <c r="D123" s="18">
        <f t="shared" si="9"/>
        <v>37.512176521905801</v>
      </c>
      <c r="E123" s="19">
        <f t="shared" si="7"/>
        <v>65.833418837697025</v>
      </c>
    </row>
    <row r="124" spans="1:5" x14ac:dyDescent="0.15">
      <c r="A124" s="14">
        <f t="shared" si="8"/>
        <v>108</v>
      </c>
      <c r="B124" s="36">
        <f t="shared" si="5"/>
        <v>28.149311506732499</v>
      </c>
      <c r="C124" s="19">
        <f t="shared" si="6"/>
        <v>6103.9838577743076</v>
      </c>
      <c r="D124" s="18">
        <f t="shared" si="9"/>
        <v>37.684107330964522</v>
      </c>
      <c r="E124" s="19">
        <f t="shared" si="7"/>
        <v>65.833418837697025</v>
      </c>
    </row>
    <row r="125" spans="1:5" x14ac:dyDescent="0.15">
      <c r="A125" s="14">
        <f t="shared" si="8"/>
        <v>109</v>
      </c>
      <c r="B125" s="36">
        <f t="shared" si="5"/>
        <v>27.976592681465576</v>
      </c>
      <c r="C125" s="19">
        <f t="shared" si="6"/>
        <v>6066.1270316180762</v>
      </c>
      <c r="D125" s="18">
        <f t="shared" si="9"/>
        <v>37.856826156231449</v>
      </c>
      <c r="E125" s="19">
        <f t="shared" si="7"/>
        <v>65.833418837697025</v>
      </c>
    </row>
    <row r="126" spans="1:5" x14ac:dyDescent="0.15">
      <c r="A126" s="14">
        <f t="shared" si="8"/>
        <v>110</v>
      </c>
      <c r="B126" s="36">
        <f t="shared" si="5"/>
        <v>27.803082228249519</v>
      </c>
      <c r="C126" s="19">
        <f t="shared" si="6"/>
        <v>6028.0966950086286</v>
      </c>
      <c r="D126" s="18">
        <f t="shared" si="9"/>
        <v>38.030336609447502</v>
      </c>
      <c r="E126" s="19">
        <f t="shared" si="7"/>
        <v>65.833418837697025</v>
      </c>
    </row>
    <row r="127" spans="1:5" x14ac:dyDescent="0.15">
      <c r="A127" s="14">
        <f t="shared" si="8"/>
        <v>111</v>
      </c>
      <c r="B127" s="36">
        <f t="shared" si="5"/>
        <v>27.628776518789547</v>
      </c>
      <c r="C127" s="19">
        <f t="shared" si="6"/>
        <v>5989.8920526897209</v>
      </c>
      <c r="D127" s="18">
        <f t="shared" si="9"/>
        <v>38.204642318907474</v>
      </c>
      <c r="E127" s="19">
        <f t="shared" si="7"/>
        <v>65.833418837697025</v>
      </c>
    </row>
    <row r="128" spans="1:5" x14ac:dyDescent="0.15">
      <c r="A128" s="14">
        <f t="shared" si="8"/>
        <v>112</v>
      </c>
      <c r="B128" s="36">
        <f t="shared" si="5"/>
        <v>27.453671908161223</v>
      </c>
      <c r="C128" s="19">
        <f t="shared" si="6"/>
        <v>5951.512305760185</v>
      </c>
      <c r="D128" s="18">
        <f t="shared" si="9"/>
        <v>38.379746929535798</v>
      </c>
      <c r="E128" s="19">
        <f t="shared" si="7"/>
        <v>65.833418837697025</v>
      </c>
    </row>
    <row r="129" spans="1:5" x14ac:dyDescent="0.15">
      <c r="A129" s="14">
        <f t="shared" si="8"/>
        <v>113</v>
      </c>
      <c r="B129" s="36">
        <f t="shared" si="5"/>
        <v>27.277764734734181</v>
      </c>
      <c r="C129" s="19">
        <f t="shared" si="6"/>
        <v>5912.9566516572222</v>
      </c>
      <c r="D129" s="18">
        <f t="shared" si="9"/>
        <v>38.555654102962848</v>
      </c>
      <c r="E129" s="19">
        <f t="shared" si="7"/>
        <v>65.833418837697025</v>
      </c>
    </row>
    <row r="130" spans="1:5" x14ac:dyDescent="0.15">
      <c r="A130" s="14">
        <f t="shared" si="8"/>
        <v>114</v>
      </c>
      <c r="B130" s="36">
        <f t="shared" si="5"/>
        <v>27.101051320095603</v>
      </c>
      <c r="C130" s="19">
        <f t="shared" si="6"/>
        <v>5874.224284139621</v>
      </c>
      <c r="D130" s="18">
        <f t="shared" si="9"/>
        <v>38.732367517601418</v>
      </c>
      <c r="E130" s="19">
        <f t="shared" si="7"/>
        <v>65.833418837697025</v>
      </c>
    </row>
    <row r="131" spans="1:5" x14ac:dyDescent="0.15">
      <c r="A131" s="14">
        <f t="shared" si="8"/>
        <v>115</v>
      </c>
      <c r="B131" s="36">
        <f t="shared" si="5"/>
        <v>26.923527968973261</v>
      </c>
      <c r="C131" s="19">
        <f t="shared" si="6"/>
        <v>5835.3143932708972</v>
      </c>
      <c r="D131" s="18">
        <f t="shared" si="9"/>
        <v>38.909890868723764</v>
      </c>
      <c r="E131" s="19">
        <f t="shared" si="7"/>
        <v>65.833418837697025</v>
      </c>
    </row>
    <row r="132" spans="1:5" x14ac:dyDescent="0.15">
      <c r="A132" s="14">
        <f t="shared" si="8"/>
        <v>116</v>
      </c>
      <c r="B132" s="36">
        <f t="shared" si="5"/>
        <v>26.745190969158276</v>
      </c>
      <c r="C132" s="19">
        <f t="shared" si="6"/>
        <v>5796.2261654023587</v>
      </c>
      <c r="D132" s="18">
        <f t="shared" si="9"/>
        <v>39.088227868538752</v>
      </c>
      <c r="E132" s="19">
        <f t="shared" si="7"/>
        <v>65.833418837697025</v>
      </c>
    </row>
    <row r="133" spans="1:5" x14ac:dyDescent="0.15">
      <c r="A133" s="14">
        <f t="shared" si="8"/>
        <v>117</v>
      </c>
      <c r="B133" s="36">
        <f t="shared" si="5"/>
        <v>26.566036591427476</v>
      </c>
      <c r="C133" s="19">
        <f t="shared" si="6"/>
        <v>5756.9587831560893</v>
      </c>
      <c r="D133" s="18">
        <f t="shared" si="9"/>
        <v>39.267382246269548</v>
      </c>
      <c r="E133" s="19">
        <f t="shared" si="7"/>
        <v>65.833418837697025</v>
      </c>
    </row>
    <row r="134" spans="1:5" x14ac:dyDescent="0.15">
      <c r="A134" s="14">
        <f t="shared" si="8"/>
        <v>118</v>
      </c>
      <c r="B134" s="36">
        <f t="shared" si="5"/>
        <v>26.386061089465411</v>
      </c>
      <c r="C134" s="19">
        <f t="shared" si="6"/>
        <v>5717.511425407858</v>
      </c>
      <c r="D134" s="18">
        <f t="shared" si="9"/>
        <v>39.44735774823161</v>
      </c>
      <c r="E134" s="19">
        <f t="shared" si="7"/>
        <v>65.833418837697025</v>
      </c>
    </row>
    <row r="135" spans="1:5" x14ac:dyDescent="0.15">
      <c r="A135" s="14">
        <f t="shared" si="8"/>
        <v>119</v>
      </c>
      <c r="B135" s="36">
        <f t="shared" si="5"/>
        <v>26.205260699786013</v>
      </c>
      <c r="C135" s="19">
        <f t="shared" si="6"/>
        <v>5677.8832672699473</v>
      </c>
      <c r="D135" s="18">
        <f t="shared" si="9"/>
        <v>39.628158137911015</v>
      </c>
      <c r="E135" s="19">
        <f t="shared" si="7"/>
        <v>65.833418837697025</v>
      </c>
    </row>
    <row r="136" spans="1:5" x14ac:dyDescent="0.15">
      <c r="A136" s="14">
        <f t="shared" si="8"/>
        <v>120</v>
      </c>
      <c r="B136" s="36">
        <f t="shared" si="5"/>
        <v>26.023631641653925</v>
      </c>
      <c r="C136" s="19">
        <f t="shared" si="6"/>
        <v>5638.0734800739037</v>
      </c>
      <c r="D136" s="18">
        <f t="shared" si="9"/>
        <v>39.809787196043104</v>
      </c>
      <c r="E136" s="19">
        <f t="shared" si="7"/>
        <v>65.833418837697025</v>
      </c>
    </row>
    <row r="137" spans="1:5" x14ac:dyDescent="0.15">
      <c r="A137" s="14">
        <f t="shared" si="8"/>
        <v>121</v>
      </c>
      <c r="B137" s="36">
        <f t="shared" si="5"/>
        <v>25.84117011700539</v>
      </c>
      <c r="C137" s="19">
        <f t="shared" si="6"/>
        <v>5598.0812313532124</v>
      </c>
      <c r="D137" s="18">
        <f t="shared" si="9"/>
        <v>39.992248720691634</v>
      </c>
      <c r="E137" s="19">
        <f t="shared" si="7"/>
        <v>65.833418837697025</v>
      </c>
    </row>
    <row r="138" spans="1:5" x14ac:dyDescent="0.15">
      <c r="A138" s="14">
        <f t="shared" si="8"/>
        <v>122</v>
      </c>
      <c r="B138" s="36">
        <f t="shared" si="5"/>
        <v>25.657872310368891</v>
      </c>
      <c r="C138" s="19">
        <f t="shared" si="6"/>
        <v>5557.9056848258842</v>
      </c>
      <c r="D138" s="18">
        <f t="shared" si="9"/>
        <v>40.175546527328137</v>
      </c>
      <c r="E138" s="19">
        <f t="shared" si="7"/>
        <v>65.833418837697025</v>
      </c>
    </row>
    <row r="139" spans="1:5" x14ac:dyDescent="0.15">
      <c r="A139" s="14">
        <f t="shared" si="8"/>
        <v>123</v>
      </c>
      <c r="B139" s="36">
        <f t="shared" si="5"/>
        <v>25.473734388785303</v>
      </c>
      <c r="C139" s="19">
        <f t="shared" si="6"/>
        <v>5517.5460003769722</v>
      </c>
      <c r="D139" s="18">
        <f t="shared" si="9"/>
        <v>40.359684448911722</v>
      </c>
      <c r="E139" s="19">
        <f t="shared" si="7"/>
        <v>65.833418837697025</v>
      </c>
    </row>
    <row r="140" spans="1:5" x14ac:dyDescent="0.15">
      <c r="A140" s="14">
        <f t="shared" si="8"/>
        <v>124</v>
      </c>
      <c r="B140" s="36">
        <f t="shared" si="5"/>
        <v>25.288752501727789</v>
      </c>
      <c r="C140" s="19">
        <f t="shared" si="6"/>
        <v>5477.0013340410032</v>
      </c>
      <c r="D140" s="18">
        <f t="shared" si="9"/>
        <v>40.544666335969239</v>
      </c>
      <c r="E140" s="19">
        <f t="shared" si="7"/>
        <v>65.833418837697025</v>
      </c>
    </row>
    <row r="141" spans="1:5" x14ac:dyDescent="0.15">
      <c r="A141" s="14">
        <f t="shared" si="8"/>
        <v>125</v>
      </c>
      <c r="B141" s="36">
        <f t="shared" si="5"/>
        <v>25.102922781021263</v>
      </c>
      <c r="C141" s="19">
        <f t="shared" si="6"/>
        <v>5436.270837984327</v>
      </c>
      <c r="D141" s="18">
        <f t="shared" si="9"/>
        <v>40.730496056675761</v>
      </c>
      <c r="E141" s="19">
        <f t="shared" si="7"/>
        <v>65.833418837697025</v>
      </c>
    </row>
    <row r="142" spans="1:5" x14ac:dyDescent="0.15">
      <c r="A142" s="14">
        <f t="shared" si="8"/>
        <v>126</v>
      </c>
      <c r="B142" s="36">
        <f t="shared" si="5"/>
        <v>24.916241340761498</v>
      </c>
      <c r="C142" s="19">
        <f t="shared" si="6"/>
        <v>5395.3536604873916</v>
      </c>
      <c r="D142" s="18">
        <f t="shared" si="9"/>
        <v>40.917177496935523</v>
      </c>
      <c r="E142" s="19">
        <f t="shared" si="7"/>
        <v>65.833418837697025</v>
      </c>
    </row>
    <row r="143" spans="1:5" x14ac:dyDescent="0.15">
      <c r="A143" s="14">
        <f t="shared" si="8"/>
        <v>127</v>
      </c>
      <c r="B143" s="36">
        <f t="shared" si="5"/>
        <v>24.728704277233877</v>
      </c>
      <c r="C143" s="19">
        <f t="shared" si="6"/>
        <v>5354.2489459269282</v>
      </c>
      <c r="D143" s="18">
        <f t="shared" si="9"/>
        <v>41.104714560463151</v>
      </c>
      <c r="E143" s="19">
        <f t="shared" si="7"/>
        <v>65.833418837697025</v>
      </c>
    </row>
    <row r="144" spans="1:5" x14ac:dyDescent="0.15">
      <c r="A144" s="14">
        <f t="shared" si="8"/>
        <v>128</v>
      </c>
      <c r="B144" s="36">
        <f t="shared" si="5"/>
        <v>24.540307668831755</v>
      </c>
      <c r="C144" s="19">
        <f t="shared" si="6"/>
        <v>5312.9558347580632</v>
      </c>
      <c r="D144" s="18">
        <f t="shared" si="9"/>
        <v>41.293111168865266</v>
      </c>
      <c r="E144" s="19">
        <f t="shared" si="7"/>
        <v>65.833418837697025</v>
      </c>
    </row>
    <row r="145" spans="1:5" x14ac:dyDescent="0.15">
      <c r="A145" s="14">
        <f t="shared" si="8"/>
        <v>129</v>
      </c>
      <c r="B145" s="36">
        <f t="shared" si="5"/>
        <v>24.351047575974459</v>
      </c>
      <c r="C145" s="19">
        <f t="shared" si="6"/>
        <v>5271.4734634963406</v>
      </c>
      <c r="D145" s="18">
        <f t="shared" si="9"/>
        <v>41.482371261722562</v>
      </c>
      <c r="E145" s="19">
        <f t="shared" si="7"/>
        <v>65.833418837697025</v>
      </c>
    </row>
    <row r="146" spans="1:5" x14ac:dyDescent="0.15">
      <c r="A146" s="14">
        <f t="shared" si="8"/>
        <v>130</v>
      </c>
      <c r="B146" s="36">
        <f t="shared" ref="B146:B209" si="10">B$3*C145/12</f>
        <v>24.160920041024895</v>
      </c>
      <c r="C146" s="19">
        <f t="shared" ref="C146:C209" si="11">C145-D146</f>
        <v>5229.8009646996688</v>
      </c>
      <c r="D146" s="18">
        <f t="shared" si="9"/>
        <v>41.67249879667213</v>
      </c>
      <c r="E146" s="19">
        <f t="shared" ref="E146:E209" si="12">B146+D146</f>
        <v>65.833418837697025</v>
      </c>
    </row>
    <row r="147" spans="1:5" x14ac:dyDescent="0.15">
      <c r="A147" s="14">
        <f t="shared" ref="A147:A210" si="13">A146+1</f>
        <v>131</v>
      </c>
      <c r="B147" s="36">
        <f t="shared" si="10"/>
        <v>23.969921088206817</v>
      </c>
      <c r="C147" s="19">
        <f t="shared" si="11"/>
        <v>5187.9374669501785</v>
      </c>
      <c r="D147" s="18">
        <f t="shared" ref="D147:D210" si="14">$B$7-B147</f>
        <v>41.863497749490207</v>
      </c>
      <c r="E147" s="19">
        <f t="shared" si="12"/>
        <v>65.833418837697025</v>
      </c>
    </row>
    <row r="148" spans="1:5" x14ac:dyDescent="0.15">
      <c r="A148" s="14">
        <f t="shared" si="13"/>
        <v>132</v>
      </c>
      <c r="B148" s="36">
        <f t="shared" si="10"/>
        <v>23.778046723521651</v>
      </c>
      <c r="C148" s="19">
        <f t="shared" si="11"/>
        <v>5145.8820948360035</v>
      </c>
      <c r="D148" s="18">
        <f t="shared" si="14"/>
        <v>42.05537211417537</v>
      </c>
      <c r="E148" s="19">
        <f t="shared" si="12"/>
        <v>65.833418837697025</v>
      </c>
    </row>
    <row r="149" spans="1:5" x14ac:dyDescent="0.15">
      <c r="A149" s="14">
        <f t="shared" si="13"/>
        <v>133</v>
      </c>
      <c r="B149" s="36">
        <f t="shared" si="10"/>
        <v>23.585292934665016</v>
      </c>
      <c r="C149" s="19">
        <f t="shared" si="11"/>
        <v>5103.6339689329716</v>
      </c>
      <c r="D149" s="18">
        <f t="shared" si="14"/>
        <v>42.248125903032005</v>
      </c>
      <c r="E149" s="19">
        <f t="shared" si="12"/>
        <v>65.833418837697025</v>
      </c>
    </row>
    <row r="150" spans="1:5" x14ac:dyDescent="0.15">
      <c r="A150" s="14">
        <f t="shared" si="13"/>
        <v>134</v>
      </c>
      <c r="B150" s="36">
        <f t="shared" si="10"/>
        <v>23.391655690942788</v>
      </c>
      <c r="C150" s="19">
        <f t="shared" si="11"/>
        <v>5061.1922057862175</v>
      </c>
      <c r="D150" s="18">
        <f t="shared" si="14"/>
        <v>42.441763146754241</v>
      </c>
      <c r="E150" s="19">
        <f t="shared" si="12"/>
        <v>65.833418837697025</v>
      </c>
    </row>
    <row r="151" spans="1:5" x14ac:dyDescent="0.15">
      <c r="A151" s="14">
        <f t="shared" si="13"/>
        <v>135</v>
      </c>
      <c r="B151" s="36">
        <f t="shared" si="10"/>
        <v>23.197130943186831</v>
      </c>
      <c r="C151" s="19">
        <f t="shared" si="11"/>
        <v>5018.5559178917074</v>
      </c>
      <c r="D151" s="18">
        <f t="shared" si="14"/>
        <v>42.63628789451019</v>
      </c>
      <c r="E151" s="19">
        <f t="shared" si="12"/>
        <v>65.833418837697025</v>
      </c>
    </row>
    <row r="152" spans="1:5" x14ac:dyDescent="0.15">
      <c r="A152" s="14">
        <f t="shared" si="13"/>
        <v>136</v>
      </c>
      <c r="B152" s="36">
        <f t="shared" si="10"/>
        <v>23.001714623670324</v>
      </c>
      <c r="C152" s="19">
        <f t="shared" si="11"/>
        <v>4975.7242136776804</v>
      </c>
      <c r="D152" s="18">
        <f t="shared" si="14"/>
        <v>42.831704214026701</v>
      </c>
      <c r="E152" s="19">
        <f t="shared" si="12"/>
        <v>65.833418837697025</v>
      </c>
    </row>
    <row r="153" spans="1:5" x14ac:dyDescent="0.15">
      <c r="A153" s="14">
        <f t="shared" si="13"/>
        <v>137</v>
      </c>
      <c r="B153" s="36">
        <f t="shared" si="10"/>
        <v>22.805402646022703</v>
      </c>
      <c r="C153" s="19">
        <f t="shared" si="11"/>
        <v>4932.696197486006</v>
      </c>
      <c r="D153" s="18">
        <f t="shared" si="14"/>
        <v>43.028016191674325</v>
      </c>
      <c r="E153" s="19">
        <f t="shared" si="12"/>
        <v>65.833418837697025</v>
      </c>
    </row>
    <row r="154" spans="1:5" x14ac:dyDescent="0.15">
      <c r="A154" s="14">
        <f t="shared" si="13"/>
        <v>138</v>
      </c>
      <c r="B154" s="36">
        <f t="shared" si="10"/>
        <v>22.608190905144195</v>
      </c>
      <c r="C154" s="19">
        <f t="shared" si="11"/>
        <v>4889.470969553453</v>
      </c>
      <c r="D154" s="18">
        <f t="shared" si="14"/>
        <v>43.225227932552826</v>
      </c>
      <c r="E154" s="19">
        <f t="shared" si="12"/>
        <v>65.833418837697025</v>
      </c>
    </row>
    <row r="155" spans="1:5" x14ac:dyDescent="0.15">
      <c r="A155" s="14">
        <f t="shared" si="13"/>
        <v>139</v>
      </c>
      <c r="B155" s="36">
        <f t="shared" si="10"/>
        <v>22.41007527711999</v>
      </c>
      <c r="C155" s="19">
        <f t="shared" si="11"/>
        <v>4846.0476259928755</v>
      </c>
      <c r="D155" s="18">
        <f t="shared" si="14"/>
        <v>43.423343560577038</v>
      </c>
      <c r="E155" s="19">
        <f t="shared" si="12"/>
        <v>65.833418837697025</v>
      </c>
    </row>
    <row r="156" spans="1:5" x14ac:dyDescent="0.15">
      <c r="A156" s="14">
        <f t="shared" si="13"/>
        <v>140</v>
      </c>
      <c r="B156" s="36">
        <f t="shared" si="10"/>
        <v>22.211051619134011</v>
      </c>
      <c r="C156" s="19">
        <f t="shared" si="11"/>
        <v>4802.4252587743122</v>
      </c>
      <c r="D156" s="18">
        <f t="shared" si="14"/>
        <v>43.622367218563014</v>
      </c>
      <c r="E156" s="19">
        <f t="shared" si="12"/>
        <v>65.833418837697025</v>
      </c>
    </row>
    <row r="157" spans="1:5" x14ac:dyDescent="0.15">
      <c r="A157" s="14">
        <f t="shared" si="13"/>
        <v>141</v>
      </c>
      <c r="B157" s="36">
        <f t="shared" si="10"/>
        <v>22.011115769382261</v>
      </c>
      <c r="C157" s="19">
        <f t="shared" si="11"/>
        <v>4758.6029557059974</v>
      </c>
      <c r="D157" s="18">
        <f t="shared" si="14"/>
        <v>43.822303068314767</v>
      </c>
      <c r="E157" s="19">
        <f t="shared" si="12"/>
        <v>65.833418837697025</v>
      </c>
    </row>
    <row r="158" spans="1:5" x14ac:dyDescent="0.15">
      <c r="A158" s="14">
        <f t="shared" si="13"/>
        <v>142</v>
      </c>
      <c r="B158" s="36">
        <f t="shared" si="10"/>
        <v>21.810263546985823</v>
      </c>
      <c r="C158" s="19">
        <f t="shared" si="11"/>
        <v>4714.5798004152857</v>
      </c>
      <c r="D158" s="18">
        <f t="shared" si="14"/>
        <v>44.023155290711202</v>
      </c>
      <c r="E158" s="19">
        <f t="shared" si="12"/>
        <v>65.833418837697025</v>
      </c>
    </row>
    <row r="159" spans="1:5" x14ac:dyDescent="0.15">
      <c r="A159" s="14">
        <f t="shared" si="13"/>
        <v>143</v>
      </c>
      <c r="B159" s="36">
        <f t="shared" si="10"/>
        <v>21.608490751903393</v>
      </c>
      <c r="C159" s="19">
        <f t="shared" si="11"/>
        <v>4670.3548723294916</v>
      </c>
      <c r="D159" s="18">
        <f t="shared" si="14"/>
        <v>44.224928085793636</v>
      </c>
      <c r="E159" s="19">
        <f t="shared" si="12"/>
        <v>65.833418837697025</v>
      </c>
    </row>
    <row r="160" spans="1:5" x14ac:dyDescent="0.15">
      <c r="A160" s="14">
        <f t="shared" si="13"/>
        <v>144</v>
      </c>
      <c r="B160" s="36">
        <f t="shared" si="10"/>
        <v>21.405793164843502</v>
      </c>
      <c r="C160" s="19">
        <f t="shared" si="11"/>
        <v>4625.9272466566381</v>
      </c>
      <c r="D160" s="18">
        <f t="shared" si="14"/>
        <v>44.427625672853523</v>
      </c>
      <c r="E160" s="19">
        <f t="shared" si="12"/>
        <v>65.833418837697025</v>
      </c>
    </row>
    <row r="161" spans="1:5" x14ac:dyDescent="0.15">
      <c r="A161" s="14">
        <f t="shared" si="13"/>
        <v>145</v>
      </c>
      <c r="B161" s="36">
        <f t="shared" si="10"/>
        <v>21.202166547176258</v>
      </c>
      <c r="C161" s="19">
        <f t="shared" si="11"/>
        <v>4581.2959943661172</v>
      </c>
      <c r="D161" s="18">
        <f t="shared" si="14"/>
        <v>44.631252290520763</v>
      </c>
      <c r="E161" s="19">
        <f t="shared" si="12"/>
        <v>65.833418837697025</v>
      </c>
    </row>
    <row r="162" spans="1:5" x14ac:dyDescent="0.15">
      <c r="A162" s="14">
        <f t="shared" si="13"/>
        <v>146</v>
      </c>
      <c r="B162" s="36">
        <f t="shared" si="10"/>
        <v>20.997606640844705</v>
      </c>
      <c r="C162" s="19">
        <f t="shared" si="11"/>
        <v>4536.460182169265</v>
      </c>
      <c r="D162" s="18">
        <f t="shared" si="14"/>
        <v>44.835812196852316</v>
      </c>
      <c r="E162" s="19">
        <f t="shared" si="12"/>
        <v>65.833418837697025</v>
      </c>
    </row>
    <row r="163" spans="1:5" x14ac:dyDescent="0.15">
      <c r="A163" s="14">
        <f t="shared" si="13"/>
        <v>147</v>
      </c>
      <c r="B163" s="36">
        <f t="shared" si="10"/>
        <v>20.792109168275797</v>
      </c>
      <c r="C163" s="19">
        <f t="shared" si="11"/>
        <v>4491.4188724998439</v>
      </c>
      <c r="D163" s="18">
        <f t="shared" si="14"/>
        <v>45.041309669421224</v>
      </c>
      <c r="E163" s="19">
        <f t="shared" si="12"/>
        <v>65.833418837697025</v>
      </c>
    </row>
    <row r="164" spans="1:5" x14ac:dyDescent="0.15">
      <c r="A164" s="14">
        <f t="shared" si="13"/>
        <v>148</v>
      </c>
      <c r="B164" s="36">
        <f t="shared" si="10"/>
        <v>20.58566983229095</v>
      </c>
      <c r="C164" s="19">
        <f t="shared" si="11"/>
        <v>4446.1711234944378</v>
      </c>
      <c r="D164" s="18">
        <f t="shared" si="14"/>
        <v>45.247749005406078</v>
      </c>
      <c r="E164" s="19">
        <f t="shared" si="12"/>
        <v>65.833418837697025</v>
      </c>
    </row>
    <row r="165" spans="1:5" x14ac:dyDescent="0.15">
      <c r="A165" s="14">
        <f t="shared" si="13"/>
        <v>149</v>
      </c>
      <c r="B165" s="36">
        <f t="shared" si="10"/>
        <v>20.378284316016174</v>
      </c>
      <c r="C165" s="19">
        <f t="shared" si="11"/>
        <v>4400.7159889727573</v>
      </c>
      <c r="D165" s="18">
        <f t="shared" si="14"/>
        <v>45.455134521680847</v>
      </c>
      <c r="E165" s="19">
        <f t="shared" si="12"/>
        <v>65.833418837697025</v>
      </c>
    </row>
    <row r="166" spans="1:5" x14ac:dyDescent="0.15">
      <c r="A166" s="14">
        <f t="shared" si="13"/>
        <v>150</v>
      </c>
      <c r="B166" s="36">
        <f t="shared" si="10"/>
        <v>20.169948282791804</v>
      </c>
      <c r="C166" s="19">
        <f t="shared" si="11"/>
        <v>4355.0525184178523</v>
      </c>
      <c r="D166" s="18">
        <f t="shared" si="14"/>
        <v>45.663470554905217</v>
      </c>
      <c r="E166" s="19">
        <f t="shared" si="12"/>
        <v>65.833418837697025</v>
      </c>
    </row>
    <row r="167" spans="1:5" x14ac:dyDescent="0.15">
      <c r="A167" s="14">
        <f t="shared" si="13"/>
        <v>151</v>
      </c>
      <c r="B167" s="36">
        <f t="shared" si="10"/>
        <v>19.960657376081823</v>
      </c>
      <c r="C167" s="19">
        <f t="shared" si="11"/>
        <v>4309.1797569562368</v>
      </c>
      <c r="D167" s="18">
        <f t="shared" si="14"/>
        <v>45.872761461615198</v>
      </c>
      <c r="E167" s="19">
        <f t="shared" si="12"/>
        <v>65.833418837697025</v>
      </c>
    </row>
    <row r="168" spans="1:5" x14ac:dyDescent="0.15">
      <c r="A168" s="14">
        <f t="shared" si="13"/>
        <v>152</v>
      </c>
      <c r="B168" s="36">
        <f t="shared" si="10"/>
        <v>19.750407219382751</v>
      </c>
      <c r="C168" s="19">
        <f t="shared" si="11"/>
        <v>4263.0967453379226</v>
      </c>
      <c r="D168" s="18">
        <f t="shared" si="14"/>
        <v>46.083011618314274</v>
      </c>
      <c r="E168" s="19">
        <f t="shared" si="12"/>
        <v>65.833418837697025</v>
      </c>
    </row>
    <row r="169" spans="1:5" x14ac:dyDescent="0.15">
      <c r="A169" s="14">
        <f t="shared" si="13"/>
        <v>153</v>
      </c>
      <c r="B169" s="36">
        <f t="shared" si="10"/>
        <v>19.539193416132147</v>
      </c>
      <c r="C169" s="19">
        <f t="shared" si="11"/>
        <v>4216.8025199163576</v>
      </c>
      <c r="D169" s="18">
        <f t="shared" si="14"/>
        <v>46.294225421564875</v>
      </c>
      <c r="E169" s="19">
        <f t="shared" si="12"/>
        <v>65.833418837697025</v>
      </c>
    </row>
    <row r="170" spans="1:5" x14ac:dyDescent="0.15">
      <c r="A170" s="14">
        <f t="shared" si="13"/>
        <v>154</v>
      </c>
      <c r="B170" s="36">
        <f t="shared" si="10"/>
        <v>19.327011549616639</v>
      </c>
      <c r="C170" s="19">
        <f t="shared" si="11"/>
        <v>4170.2961126282771</v>
      </c>
      <c r="D170" s="18">
        <f t="shared" si="14"/>
        <v>46.506407288080382</v>
      </c>
      <c r="E170" s="19">
        <f t="shared" si="12"/>
        <v>65.833418837697025</v>
      </c>
    </row>
    <row r="171" spans="1:5" x14ac:dyDescent="0.15">
      <c r="A171" s="14">
        <f t="shared" si="13"/>
        <v>155</v>
      </c>
      <c r="B171" s="36">
        <f t="shared" si="10"/>
        <v>19.113857182879602</v>
      </c>
      <c r="C171" s="19">
        <f t="shared" si="11"/>
        <v>4123.5765509734592</v>
      </c>
      <c r="D171" s="18">
        <f t="shared" si="14"/>
        <v>46.719561654817426</v>
      </c>
      <c r="E171" s="19">
        <f t="shared" si="12"/>
        <v>65.833418837697025</v>
      </c>
    </row>
    <row r="172" spans="1:5" x14ac:dyDescent="0.15">
      <c r="A172" s="14">
        <f t="shared" si="13"/>
        <v>156</v>
      </c>
      <c r="B172" s="36">
        <f t="shared" si="10"/>
        <v>18.899725858628354</v>
      </c>
      <c r="C172" s="19">
        <f t="shared" si="11"/>
        <v>4076.6428579943904</v>
      </c>
      <c r="D172" s="18">
        <f t="shared" si="14"/>
        <v>46.933692979068667</v>
      </c>
      <c r="E172" s="19">
        <f t="shared" si="12"/>
        <v>65.833418837697025</v>
      </c>
    </row>
    <row r="173" spans="1:5" x14ac:dyDescent="0.15">
      <c r="A173" s="14">
        <f t="shared" si="13"/>
        <v>157</v>
      </c>
      <c r="B173" s="36">
        <f t="shared" si="10"/>
        <v>18.684613099140957</v>
      </c>
      <c r="C173" s="19">
        <f t="shared" si="11"/>
        <v>4029.4940522558345</v>
      </c>
      <c r="D173" s="18">
        <f t="shared" si="14"/>
        <v>47.148805738556064</v>
      </c>
      <c r="E173" s="19">
        <f t="shared" si="12"/>
        <v>65.833418837697025</v>
      </c>
    </row>
    <row r="174" spans="1:5" x14ac:dyDescent="0.15">
      <c r="A174" s="14">
        <f t="shared" si="13"/>
        <v>158</v>
      </c>
      <c r="B174" s="36">
        <f t="shared" si="10"/>
        <v>18.468514406172577</v>
      </c>
      <c r="C174" s="19">
        <f t="shared" si="11"/>
        <v>3982.1291478243102</v>
      </c>
      <c r="D174" s="18">
        <f t="shared" si="14"/>
        <v>47.364904431524451</v>
      </c>
      <c r="E174" s="19">
        <f t="shared" si="12"/>
        <v>65.833418837697025</v>
      </c>
    </row>
    <row r="175" spans="1:5" x14ac:dyDescent="0.15">
      <c r="A175" s="14">
        <f t="shared" si="13"/>
        <v>159</v>
      </c>
      <c r="B175" s="36">
        <f t="shared" si="10"/>
        <v>18.251425260861421</v>
      </c>
      <c r="C175" s="19">
        <f t="shared" si="11"/>
        <v>3934.5471542474747</v>
      </c>
      <c r="D175" s="18">
        <f t="shared" si="14"/>
        <v>47.5819935768356</v>
      </c>
      <c r="E175" s="19">
        <f t="shared" si="12"/>
        <v>65.833418837697025</v>
      </c>
    </row>
    <row r="176" spans="1:5" x14ac:dyDescent="0.15">
      <c r="A176" s="14">
        <f t="shared" si="13"/>
        <v>160</v>
      </c>
      <c r="B176" s="36">
        <f t="shared" si="10"/>
        <v>18.033341123634258</v>
      </c>
      <c r="C176" s="19">
        <f t="shared" si="11"/>
        <v>3886.7470765334119</v>
      </c>
      <c r="D176" s="18">
        <f t="shared" si="14"/>
        <v>47.800077714062766</v>
      </c>
      <c r="E176" s="19">
        <f t="shared" si="12"/>
        <v>65.833418837697025</v>
      </c>
    </row>
    <row r="177" spans="1:5" x14ac:dyDescent="0.15">
      <c r="A177" s="14">
        <f t="shared" si="13"/>
        <v>161</v>
      </c>
      <c r="B177" s="36">
        <f t="shared" si="10"/>
        <v>17.814257434111472</v>
      </c>
      <c r="C177" s="19">
        <f t="shared" si="11"/>
        <v>3838.7279151298262</v>
      </c>
      <c r="D177" s="18">
        <f t="shared" si="14"/>
        <v>48.019161403585557</v>
      </c>
      <c r="E177" s="19">
        <f t="shared" si="12"/>
        <v>65.833418837697025</v>
      </c>
    </row>
    <row r="178" spans="1:5" x14ac:dyDescent="0.15">
      <c r="A178" s="14">
        <f t="shared" si="13"/>
        <v>162</v>
      </c>
      <c r="B178" s="36">
        <f t="shared" si="10"/>
        <v>17.594169611011704</v>
      </c>
      <c r="C178" s="19">
        <f t="shared" si="11"/>
        <v>3790.4886659031408</v>
      </c>
      <c r="D178" s="18">
        <f t="shared" si="14"/>
        <v>48.239249226685317</v>
      </c>
      <c r="E178" s="19">
        <f t="shared" si="12"/>
        <v>65.833418837697025</v>
      </c>
    </row>
    <row r="179" spans="1:5" x14ac:dyDescent="0.15">
      <c r="A179" s="14">
        <f t="shared" si="13"/>
        <v>163</v>
      </c>
      <c r="B179" s="36">
        <f t="shared" si="10"/>
        <v>17.373073052056061</v>
      </c>
      <c r="C179" s="19">
        <f t="shared" si="11"/>
        <v>3742.0283201174998</v>
      </c>
      <c r="D179" s="18">
        <f t="shared" si="14"/>
        <v>48.460345785640968</v>
      </c>
      <c r="E179" s="19">
        <f t="shared" si="12"/>
        <v>65.833418837697025</v>
      </c>
    </row>
    <row r="180" spans="1:5" x14ac:dyDescent="0.15">
      <c r="A180" s="14">
        <f t="shared" si="13"/>
        <v>164</v>
      </c>
      <c r="B180" s="36">
        <f t="shared" si="10"/>
        <v>17.150963133871873</v>
      </c>
      <c r="C180" s="19">
        <f t="shared" si="11"/>
        <v>3693.3458644136745</v>
      </c>
      <c r="D180" s="18">
        <f t="shared" si="14"/>
        <v>48.682455703825156</v>
      </c>
      <c r="E180" s="19">
        <f t="shared" si="12"/>
        <v>65.833418837697025</v>
      </c>
    </row>
    <row r="181" spans="1:5" x14ac:dyDescent="0.15">
      <c r="A181" s="14">
        <f t="shared" si="13"/>
        <v>165</v>
      </c>
      <c r="B181" s="36">
        <f t="shared" si="10"/>
        <v>16.927835211896006</v>
      </c>
      <c r="C181" s="19">
        <f t="shared" si="11"/>
        <v>3644.4402807878732</v>
      </c>
      <c r="D181" s="18">
        <f t="shared" si="14"/>
        <v>48.905583625801015</v>
      </c>
      <c r="E181" s="19">
        <f t="shared" si="12"/>
        <v>65.833418837697025</v>
      </c>
    </row>
    <row r="182" spans="1:5" x14ac:dyDescent="0.15">
      <c r="A182" s="14">
        <f t="shared" si="13"/>
        <v>166</v>
      </c>
      <c r="B182" s="36">
        <f t="shared" si="10"/>
        <v>16.703684620277752</v>
      </c>
      <c r="C182" s="19">
        <f t="shared" si="11"/>
        <v>3595.3105465704539</v>
      </c>
      <c r="D182" s="18">
        <f t="shared" si="14"/>
        <v>49.129734217419269</v>
      </c>
      <c r="E182" s="19">
        <f t="shared" si="12"/>
        <v>65.833418837697025</v>
      </c>
    </row>
    <row r="183" spans="1:5" x14ac:dyDescent="0.15">
      <c r="A183" s="14">
        <f t="shared" si="13"/>
        <v>167</v>
      </c>
      <c r="B183" s="36">
        <f t="shared" si="10"/>
        <v>16.478506671781247</v>
      </c>
      <c r="C183" s="19">
        <f t="shared" si="11"/>
        <v>3545.9556344045382</v>
      </c>
      <c r="D183" s="18">
        <f t="shared" si="14"/>
        <v>49.354912165915778</v>
      </c>
      <c r="E183" s="19">
        <f t="shared" si="12"/>
        <v>65.833418837697025</v>
      </c>
    </row>
    <row r="184" spans="1:5" x14ac:dyDescent="0.15">
      <c r="A184" s="14">
        <f t="shared" si="13"/>
        <v>168</v>
      </c>
      <c r="B184" s="36">
        <f t="shared" si="10"/>
        <v>16.252296657687467</v>
      </c>
      <c r="C184" s="19">
        <f t="shared" si="11"/>
        <v>3496.3745122245286</v>
      </c>
      <c r="D184" s="18">
        <f t="shared" si="14"/>
        <v>49.581122180009558</v>
      </c>
      <c r="E184" s="19">
        <f t="shared" si="12"/>
        <v>65.833418837697025</v>
      </c>
    </row>
    <row r="185" spans="1:5" x14ac:dyDescent="0.15">
      <c r="A185" s="14">
        <f t="shared" si="13"/>
        <v>169</v>
      </c>
      <c r="B185" s="36">
        <f t="shared" si="10"/>
        <v>16.025049847695758</v>
      </c>
      <c r="C185" s="19">
        <f t="shared" si="11"/>
        <v>3446.5661432345273</v>
      </c>
      <c r="D185" s="18">
        <f t="shared" si="14"/>
        <v>49.80836899000127</v>
      </c>
      <c r="E185" s="19">
        <f t="shared" si="12"/>
        <v>65.833418837697025</v>
      </c>
    </row>
    <row r="186" spans="1:5" x14ac:dyDescent="0.15">
      <c r="A186" s="14">
        <f t="shared" si="13"/>
        <v>170</v>
      </c>
      <c r="B186" s="36">
        <f t="shared" si="10"/>
        <v>15.796761489824917</v>
      </c>
      <c r="C186" s="19">
        <f t="shared" si="11"/>
        <v>3396.529485886655</v>
      </c>
      <c r="D186" s="18">
        <f t="shared" si="14"/>
        <v>50.036657347872108</v>
      </c>
      <c r="E186" s="19">
        <f t="shared" si="12"/>
        <v>65.833418837697025</v>
      </c>
    </row>
    <row r="187" spans="1:5" x14ac:dyDescent="0.15">
      <c r="A187" s="14">
        <f t="shared" si="13"/>
        <v>171</v>
      </c>
      <c r="B187" s="36">
        <f t="shared" si="10"/>
        <v>15.567426810313835</v>
      </c>
      <c r="C187" s="19">
        <f t="shared" si="11"/>
        <v>3346.2634938592719</v>
      </c>
      <c r="D187" s="18">
        <f t="shared" si="14"/>
        <v>50.265992027383191</v>
      </c>
      <c r="E187" s="19">
        <f t="shared" si="12"/>
        <v>65.833418837697025</v>
      </c>
    </row>
    <row r="188" spans="1:5" x14ac:dyDescent="0.15">
      <c r="A188" s="14">
        <f t="shared" si="13"/>
        <v>172</v>
      </c>
      <c r="B188" s="36">
        <f t="shared" si="10"/>
        <v>15.337041013521663</v>
      </c>
      <c r="C188" s="19">
        <f t="shared" si="11"/>
        <v>3295.7671160350965</v>
      </c>
      <c r="D188" s="18">
        <f t="shared" si="14"/>
        <v>50.496377824175362</v>
      </c>
      <c r="E188" s="19">
        <f t="shared" si="12"/>
        <v>65.833418837697025</v>
      </c>
    </row>
    <row r="189" spans="1:5" x14ac:dyDescent="0.15">
      <c r="A189" s="14">
        <f t="shared" si="13"/>
        <v>173</v>
      </c>
      <c r="B189" s="36">
        <f t="shared" si="10"/>
        <v>15.105599281827525</v>
      </c>
      <c r="C189" s="19">
        <f t="shared" si="11"/>
        <v>3245.0392964792268</v>
      </c>
      <c r="D189" s="18">
        <f t="shared" si="14"/>
        <v>50.727819555869502</v>
      </c>
      <c r="E189" s="19">
        <f t="shared" si="12"/>
        <v>65.833418837697025</v>
      </c>
    </row>
    <row r="190" spans="1:5" x14ac:dyDescent="0.15">
      <c r="A190" s="14">
        <f t="shared" si="13"/>
        <v>174</v>
      </c>
      <c r="B190" s="36">
        <f t="shared" si="10"/>
        <v>14.87309677552979</v>
      </c>
      <c r="C190" s="19">
        <f t="shared" si="11"/>
        <v>3194.0789744170597</v>
      </c>
      <c r="D190" s="18">
        <f t="shared" si="14"/>
        <v>50.960322062167236</v>
      </c>
      <c r="E190" s="19">
        <f t="shared" si="12"/>
        <v>65.833418837697025</v>
      </c>
    </row>
    <row r="191" spans="1:5" x14ac:dyDescent="0.15">
      <c r="A191" s="14">
        <f t="shared" si="13"/>
        <v>175</v>
      </c>
      <c r="B191" s="36">
        <f t="shared" si="10"/>
        <v>14.639528632744858</v>
      </c>
      <c r="C191" s="19">
        <f t="shared" si="11"/>
        <v>3142.8850842121074</v>
      </c>
      <c r="D191" s="18">
        <f t="shared" si="14"/>
        <v>51.193890204952169</v>
      </c>
      <c r="E191" s="19">
        <f t="shared" si="12"/>
        <v>65.833418837697025</v>
      </c>
    </row>
    <row r="192" spans="1:5" x14ac:dyDescent="0.15">
      <c r="A192" s="14">
        <f t="shared" si="13"/>
        <v>176</v>
      </c>
      <c r="B192" s="36">
        <f t="shared" si="10"/>
        <v>14.404889969305492</v>
      </c>
      <c r="C192" s="19">
        <f t="shared" si="11"/>
        <v>3091.456555343716</v>
      </c>
      <c r="D192" s="18">
        <f t="shared" si="14"/>
        <v>51.428528868391531</v>
      </c>
      <c r="E192" s="19">
        <f t="shared" si="12"/>
        <v>65.833418837697025</v>
      </c>
    </row>
    <row r="193" spans="1:5" x14ac:dyDescent="0.15">
      <c r="A193" s="14">
        <f t="shared" si="13"/>
        <v>177</v>
      </c>
      <c r="B193" s="36">
        <f t="shared" si="10"/>
        <v>14.169175878658699</v>
      </c>
      <c r="C193" s="19">
        <f t="shared" si="11"/>
        <v>3039.7923123846776</v>
      </c>
      <c r="D193" s="18">
        <f t="shared" si="14"/>
        <v>51.664242959038326</v>
      </c>
      <c r="E193" s="19">
        <f t="shared" si="12"/>
        <v>65.833418837697025</v>
      </c>
    </row>
    <row r="194" spans="1:5" x14ac:dyDescent="0.15">
      <c r="A194" s="14">
        <f t="shared" si="13"/>
        <v>178</v>
      </c>
      <c r="B194" s="36">
        <f t="shared" si="10"/>
        <v>13.932381431763107</v>
      </c>
      <c r="C194" s="19">
        <f t="shared" si="11"/>
        <v>2987.8912749787437</v>
      </c>
      <c r="D194" s="18">
        <f t="shared" si="14"/>
        <v>51.90103740593392</v>
      </c>
      <c r="E194" s="19">
        <f t="shared" si="12"/>
        <v>65.833418837697025</v>
      </c>
    </row>
    <row r="195" spans="1:5" x14ac:dyDescent="0.15">
      <c r="A195" s="14">
        <f t="shared" si="13"/>
        <v>179</v>
      </c>
      <c r="B195" s="36">
        <f t="shared" si="10"/>
        <v>13.694501676985908</v>
      </c>
      <c r="C195" s="19">
        <f t="shared" si="11"/>
        <v>2935.7523578180326</v>
      </c>
      <c r="D195" s="18">
        <f t="shared" si="14"/>
        <v>52.138917160711117</v>
      </c>
      <c r="E195" s="19">
        <f t="shared" si="12"/>
        <v>65.833418837697025</v>
      </c>
    </row>
    <row r="196" spans="1:5" x14ac:dyDescent="0.15">
      <c r="A196" s="14">
        <f t="shared" si="13"/>
        <v>180</v>
      </c>
      <c r="B196" s="36">
        <f t="shared" si="10"/>
        <v>13.455531639999316</v>
      </c>
      <c r="C196" s="19">
        <f t="shared" si="11"/>
        <v>2883.3744706203347</v>
      </c>
      <c r="D196" s="18">
        <f t="shared" si="14"/>
        <v>52.37788719769771</v>
      </c>
      <c r="E196" s="19">
        <f t="shared" si="12"/>
        <v>65.833418837697025</v>
      </c>
    </row>
    <row r="197" spans="1:5" x14ac:dyDescent="0.15">
      <c r="A197" s="14">
        <f t="shared" si="13"/>
        <v>181</v>
      </c>
      <c r="B197" s="36">
        <f t="shared" si="10"/>
        <v>13.215466323676536</v>
      </c>
      <c r="C197" s="19">
        <f t="shared" si="11"/>
        <v>2830.7565181063142</v>
      </c>
      <c r="D197" s="18">
        <f t="shared" si="14"/>
        <v>52.617952514020487</v>
      </c>
      <c r="E197" s="19">
        <f t="shared" si="12"/>
        <v>65.833418837697025</v>
      </c>
    </row>
    <row r="198" spans="1:5" x14ac:dyDescent="0.15">
      <c r="A198" s="14">
        <f t="shared" si="13"/>
        <v>182</v>
      </c>
      <c r="B198" s="36">
        <f t="shared" si="10"/>
        <v>12.974300707987274</v>
      </c>
      <c r="C198" s="19">
        <f t="shared" si="11"/>
        <v>2777.8973999766044</v>
      </c>
      <c r="D198" s="18">
        <f t="shared" si="14"/>
        <v>52.859118129709749</v>
      </c>
      <c r="E198" s="19">
        <f t="shared" si="12"/>
        <v>65.833418837697025</v>
      </c>
    </row>
    <row r="199" spans="1:5" x14ac:dyDescent="0.15">
      <c r="A199" s="14">
        <f t="shared" si="13"/>
        <v>183</v>
      </c>
      <c r="B199" s="36">
        <f t="shared" si="10"/>
        <v>12.732029749892769</v>
      </c>
      <c r="C199" s="19">
        <f t="shared" si="11"/>
        <v>2724.7960108888001</v>
      </c>
      <c r="D199" s="18">
        <f t="shared" si="14"/>
        <v>53.101389087804257</v>
      </c>
      <c r="E199" s="19">
        <f t="shared" si="12"/>
        <v>65.833418837697025</v>
      </c>
    </row>
    <row r="200" spans="1:5" x14ac:dyDescent="0.15">
      <c r="A200" s="14">
        <f t="shared" si="13"/>
        <v>184</v>
      </c>
      <c r="B200" s="36">
        <f t="shared" si="10"/>
        <v>12.488648383240333</v>
      </c>
      <c r="C200" s="19">
        <f t="shared" si="11"/>
        <v>2671.4512404343432</v>
      </c>
      <c r="D200" s="18">
        <f t="shared" si="14"/>
        <v>53.344770454456693</v>
      </c>
      <c r="E200" s="19">
        <f t="shared" si="12"/>
        <v>65.833418837697025</v>
      </c>
    </row>
    <row r="201" spans="1:5" x14ac:dyDescent="0.15">
      <c r="A201" s="14">
        <f t="shared" si="13"/>
        <v>185</v>
      </c>
      <c r="B201" s="36">
        <f t="shared" si="10"/>
        <v>12.244151518657405</v>
      </c>
      <c r="C201" s="19">
        <f t="shared" si="11"/>
        <v>2617.8619731153035</v>
      </c>
      <c r="D201" s="18">
        <f t="shared" si="14"/>
        <v>53.589267319039621</v>
      </c>
      <c r="E201" s="19">
        <f t="shared" si="12"/>
        <v>65.833418837697025</v>
      </c>
    </row>
    <row r="202" spans="1:5" x14ac:dyDescent="0.15">
      <c r="A202" s="14">
        <f t="shared" si="13"/>
        <v>186</v>
      </c>
      <c r="B202" s="36">
        <f t="shared" si="10"/>
        <v>11.99853404344514</v>
      </c>
      <c r="C202" s="19">
        <f t="shared" si="11"/>
        <v>2564.0270883210515</v>
      </c>
      <c r="D202" s="18">
        <f t="shared" si="14"/>
        <v>53.834884794251884</v>
      </c>
      <c r="E202" s="19">
        <f t="shared" si="12"/>
        <v>65.833418837697025</v>
      </c>
    </row>
    <row r="203" spans="1:5" x14ac:dyDescent="0.15">
      <c r="A203" s="14">
        <f t="shared" si="13"/>
        <v>187</v>
      </c>
      <c r="B203" s="36">
        <f t="shared" si="10"/>
        <v>11.751790821471486</v>
      </c>
      <c r="C203" s="19">
        <f t="shared" si="11"/>
        <v>2509.9454603048257</v>
      </c>
      <c r="D203" s="18">
        <f t="shared" si="14"/>
        <v>54.081628016225537</v>
      </c>
      <c r="E203" s="19">
        <f t="shared" si="12"/>
        <v>65.833418837697025</v>
      </c>
    </row>
    <row r="204" spans="1:5" x14ac:dyDescent="0.15">
      <c r="A204" s="14">
        <f t="shared" si="13"/>
        <v>188</v>
      </c>
      <c r="B204" s="36">
        <f t="shared" si="10"/>
        <v>11.503916693063784</v>
      </c>
      <c r="C204" s="19">
        <f t="shared" si="11"/>
        <v>2455.6159581601923</v>
      </c>
      <c r="D204" s="18">
        <f t="shared" si="14"/>
        <v>54.329502144633238</v>
      </c>
      <c r="E204" s="19">
        <f t="shared" si="12"/>
        <v>65.833418837697025</v>
      </c>
    </row>
    <row r="205" spans="1:5" x14ac:dyDescent="0.15">
      <c r="A205" s="14">
        <f t="shared" si="13"/>
        <v>189</v>
      </c>
      <c r="B205" s="36">
        <f t="shared" si="10"/>
        <v>11.254906474900883</v>
      </c>
      <c r="C205" s="19">
        <f t="shared" si="11"/>
        <v>2401.0374457973962</v>
      </c>
      <c r="D205" s="18">
        <f t="shared" si="14"/>
        <v>54.57851236279614</v>
      </c>
      <c r="E205" s="19">
        <f t="shared" si="12"/>
        <v>65.833418837697025</v>
      </c>
    </row>
    <row r="206" spans="1:5" x14ac:dyDescent="0.15">
      <c r="A206" s="14">
        <f t="shared" si="13"/>
        <v>190</v>
      </c>
      <c r="B206" s="36">
        <f t="shared" si="10"/>
        <v>11.004754959904732</v>
      </c>
      <c r="C206" s="19">
        <f t="shared" si="11"/>
        <v>2346.208781919604</v>
      </c>
      <c r="D206" s="18">
        <f t="shared" si="14"/>
        <v>54.828663877792295</v>
      </c>
      <c r="E206" s="19">
        <f t="shared" si="12"/>
        <v>65.833418837697025</v>
      </c>
    </row>
    <row r="207" spans="1:5" x14ac:dyDescent="0.15">
      <c r="A207" s="14">
        <f t="shared" si="13"/>
        <v>191</v>
      </c>
      <c r="B207" s="36">
        <f t="shared" si="10"/>
        <v>10.753456917131517</v>
      </c>
      <c r="C207" s="19">
        <f t="shared" si="11"/>
        <v>2291.1288199990386</v>
      </c>
      <c r="D207" s="18">
        <f t="shared" si="14"/>
        <v>55.079961920565509</v>
      </c>
      <c r="E207" s="19">
        <f t="shared" si="12"/>
        <v>65.833418837697025</v>
      </c>
    </row>
    <row r="208" spans="1:5" x14ac:dyDescent="0.15">
      <c r="A208" s="14">
        <f t="shared" si="13"/>
        <v>192</v>
      </c>
      <c r="B208" s="36">
        <f t="shared" si="10"/>
        <v>10.501007091662261</v>
      </c>
      <c r="C208" s="19">
        <f t="shared" si="11"/>
        <v>2235.7964082530038</v>
      </c>
      <c r="D208" s="18">
        <f t="shared" si="14"/>
        <v>55.332411746034765</v>
      </c>
      <c r="E208" s="19">
        <f t="shared" si="12"/>
        <v>65.833418837697025</v>
      </c>
    </row>
    <row r="209" spans="1:5" x14ac:dyDescent="0.15">
      <c r="A209" s="14">
        <f t="shared" si="13"/>
        <v>193</v>
      </c>
      <c r="B209" s="36">
        <f t="shared" si="10"/>
        <v>10.247400204492935</v>
      </c>
      <c r="C209" s="19">
        <f t="shared" si="11"/>
        <v>2180.2103896197996</v>
      </c>
      <c r="D209" s="18">
        <f t="shared" si="14"/>
        <v>55.586018633204091</v>
      </c>
      <c r="E209" s="19">
        <f t="shared" si="12"/>
        <v>65.833418837697025</v>
      </c>
    </row>
    <row r="210" spans="1:5" x14ac:dyDescent="0.15">
      <c r="A210" s="14">
        <f t="shared" si="13"/>
        <v>194</v>
      </c>
      <c r="B210" s="36">
        <f t="shared" ref="B210:B273" si="15">B$3*C209/12</f>
        <v>9.9926309524240811</v>
      </c>
      <c r="C210" s="19">
        <f t="shared" ref="C210:C256" si="16">C209-D210</f>
        <v>2124.3696017345264</v>
      </c>
      <c r="D210" s="18">
        <f t="shared" si="14"/>
        <v>55.840787885272945</v>
      </c>
      <c r="E210" s="19">
        <f t="shared" ref="E210:E273" si="17">B210+D210</f>
        <v>65.833418837697025</v>
      </c>
    </row>
    <row r="211" spans="1:5" x14ac:dyDescent="0.15">
      <c r="A211" s="14">
        <f t="shared" ref="A211:A274" si="18">A210+1</f>
        <v>195</v>
      </c>
      <c r="B211" s="36">
        <f t="shared" si="15"/>
        <v>9.7366940079499127</v>
      </c>
      <c r="C211" s="19">
        <f t="shared" si="16"/>
        <v>2068.2728769047794</v>
      </c>
      <c r="D211" s="18">
        <f t="shared" ref="D211:D256" si="19">$B$7-B211</f>
        <v>56.09672482974711</v>
      </c>
      <c r="E211" s="19">
        <f t="shared" si="17"/>
        <v>65.833418837697025</v>
      </c>
    </row>
    <row r="212" spans="1:5" x14ac:dyDescent="0.15">
      <c r="A212" s="14">
        <f t="shared" si="18"/>
        <v>196</v>
      </c>
      <c r="B212" s="36">
        <f t="shared" si="15"/>
        <v>9.4795840191469054</v>
      </c>
      <c r="C212" s="19">
        <f t="shared" si="16"/>
        <v>2011.9190420862294</v>
      </c>
      <c r="D212" s="18">
        <f t="shared" si="19"/>
        <v>56.353834818550119</v>
      </c>
      <c r="E212" s="19">
        <f t="shared" si="17"/>
        <v>65.833418837697025</v>
      </c>
    </row>
    <row r="213" spans="1:5" x14ac:dyDescent="0.15">
      <c r="A213" s="14">
        <f t="shared" si="18"/>
        <v>197</v>
      </c>
      <c r="B213" s="36">
        <f t="shared" si="15"/>
        <v>9.221295609561885</v>
      </c>
      <c r="C213" s="19">
        <f t="shared" si="16"/>
        <v>1955.3069188580944</v>
      </c>
      <c r="D213" s="18">
        <f t="shared" si="19"/>
        <v>56.61212322813514</v>
      </c>
      <c r="E213" s="19">
        <f t="shared" si="17"/>
        <v>65.833418837697025</v>
      </c>
    </row>
    <row r="214" spans="1:5" x14ac:dyDescent="0.15">
      <c r="A214" s="14">
        <f t="shared" si="18"/>
        <v>198</v>
      </c>
      <c r="B214" s="36">
        <f t="shared" si="15"/>
        <v>8.9618233780996004</v>
      </c>
      <c r="C214" s="19">
        <f t="shared" si="16"/>
        <v>1898.4353233984968</v>
      </c>
      <c r="D214" s="18">
        <f t="shared" si="19"/>
        <v>56.871595459597422</v>
      </c>
      <c r="E214" s="19">
        <f t="shared" si="17"/>
        <v>65.833418837697025</v>
      </c>
    </row>
    <row r="215" spans="1:5" x14ac:dyDescent="0.15">
      <c r="A215" s="14">
        <f t="shared" si="18"/>
        <v>199</v>
      </c>
      <c r="B215" s="36">
        <f t="shared" si="15"/>
        <v>8.7011618989097776</v>
      </c>
      <c r="C215" s="19">
        <f t="shared" si="16"/>
        <v>1841.3030664597095</v>
      </c>
      <c r="D215" s="18">
        <f t="shared" si="19"/>
        <v>57.132256938787251</v>
      </c>
      <c r="E215" s="19">
        <f t="shared" si="17"/>
        <v>65.833418837697025</v>
      </c>
    </row>
    <row r="216" spans="1:5" x14ac:dyDescent="0.15">
      <c r="A216" s="14">
        <f t="shared" si="18"/>
        <v>200</v>
      </c>
      <c r="B216" s="36">
        <f t="shared" si="15"/>
        <v>8.4393057212736675</v>
      </c>
      <c r="C216" s="19">
        <f t="shared" si="16"/>
        <v>1783.9089533432862</v>
      </c>
      <c r="D216" s="18">
        <f t="shared" si="19"/>
        <v>57.394113116423355</v>
      </c>
      <c r="E216" s="19">
        <f t="shared" si="17"/>
        <v>65.833418837697025</v>
      </c>
    </row>
    <row r="217" spans="1:5" x14ac:dyDescent="0.15">
      <c r="A217" s="14">
        <f t="shared" si="18"/>
        <v>201</v>
      </c>
      <c r="B217" s="36">
        <f t="shared" si="15"/>
        <v>8.176249369490062</v>
      </c>
      <c r="C217" s="19">
        <f t="shared" si="16"/>
        <v>1726.2517838750791</v>
      </c>
      <c r="D217" s="18">
        <f t="shared" si="19"/>
        <v>57.657169468206959</v>
      </c>
      <c r="E217" s="19">
        <f t="shared" si="17"/>
        <v>65.833418837697025</v>
      </c>
    </row>
    <row r="218" spans="1:5" x14ac:dyDescent="0.15">
      <c r="A218" s="14">
        <f t="shared" si="18"/>
        <v>202</v>
      </c>
      <c r="B218" s="36">
        <f t="shared" si="15"/>
        <v>7.9119873427607788</v>
      </c>
      <c r="C218" s="19">
        <f t="shared" si="16"/>
        <v>1668.3303523801428</v>
      </c>
      <c r="D218" s="18">
        <f t="shared" si="19"/>
        <v>57.921431494936243</v>
      </c>
      <c r="E218" s="19">
        <f t="shared" si="17"/>
        <v>65.833418837697025</v>
      </c>
    </row>
    <row r="219" spans="1:5" x14ac:dyDescent="0.15">
      <c r="A219" s="14">
        <f t="shared" si="18"/>
        <v>203</v>
      </c>
      <c r="B219" s="36">
        <f t="shared" si="15"/>
        <v>7.6465141150756546</v>
      </c>
      <c r="C219" s="19">
        <f t="shared" si="16"/>
        <v>1610.1434476575214</v>
      </c>
      <c r="D219" s="18">
        <f t="shared" si="19"/>
        <v>58.186904722621371</v>
      </c>
      <c r="E219" s="19">
        <f t="shared" si="17"/>
        <v>65.833418837697025</v>
      </c>
    </row>
    <row r="220" spans="1:5" x14ac:dyDescent="0.15">
      <c r="A220" s="14">
        <f t="shared" si="18"/>
        <v>204</v>
      </c>
      <c r="B220" s="36">
        <f t="shared" si="15"/>
        <v>7.3798241350969738</v>
      </c>
      <c r="C220" s="19">
        <f t="shared" si="16"/>
        <v>1551.6898529549214</v>
      </c>
      <c r="D220" s="18">
        <f t="shared" si="19"/>
        <v>58.45359470260005</v>
      </c>
      <c r="E220" s="19">
        <f t="shared" si="17"/>
        <v>65.833418837697025</v>
      </c>
    </row>
    <row r="221" spans="1:5" x14ac:dyDescent="0.15">
      <c r="A221" s="14">
        <f t="shared" si="18"/>
        <v>205</v>
      </c>
      <c r="B221" s="36">
        <f t="shared" si="15"/>
        <v>7.1119118260433902</v>
      </c>
      <c r="C221" s="19">
        <f t="shared" si="16"/>
        <v>1492.9683459432679</v>
      </c>
      <c r="D221" s="18">
        <f t="shared" si="19"/>
        <v>58.721507011653635</v>
      </c>
      <c r="E221" s="19">
        <f t="shared" si="17"/>
        <v>65.833418837697025</v>
      </c>
    </row>
    <row r="222" spans="1:5" x14ac:dyDescent="0.15">
      <c r="A222" s="14">
        <f t="shared" si="18"/>
        <v>206</v>
      </c>
      <c r="B222" s="36">
        <f t="shared" si="15"/>
        <v>6.8427715855733107</v>
      </c>
      <c r="C222" s="19">
        <f t="shared" si="16"/>
        <v>1433.9776986911443</v>
      </c>
      <c r="D222" s="18">
        <f t="shared" si="19"/>
        <v>58.990647252123715</v>
      </c>
      <c r="E222" s="19">
        <f t="shared" si="17"/>
        <v>65.833418837697025</v>
      </c>
    </row>
    <row r="223" spans="1:5" x14ac:dyDescent="0.15">
      <c r="A223" s="14">
        <f t="shared" si="18"/>
        <v>207</v>
      </c>
      <c r="B223" s="36">
        <f t="shared" si="15"/>
        <v>6.5723977856677438</v>
      </c>
      <c r="C223" s="19">
        <f t="shared" si="16"/>
        <v>1374.716677639115</v>
      </c>
      <c r="D223" s="18">
        <f t="shared" si="19"/>
        <v>59.261021052029278</v>
      </c>
      <c r="E223" s="19">
        <f t="shared" si="17"/>
        <v>65.833418837697025</v>
      </c>
    </row>
    <row r="224" spans="1:5" x14ac:dyDescent="0.15">
      <c r="A224" s="14">
        <f t="shared" si="18"/>
        <v>208</v>
      </c>
      <c r="B224" s="36">
        <f t="shared" si="15"/>
        <v>6.3007847725126105</v>
      </c>
      <c r="C224" s="19">
        <f t="shared" si="16"/>
        <v>1315.1840435739307</v>
      </c>
      <c r="D224" s="18">
        <f t="shared" si="19"/>
        <v>59.532634065184411</v>
      </c>
      <c r="E224" s="19">
        <f t="shared" si="17"/>
        <v>65.833418837697025</v>
      </c>
    </row>
    <row r="225" spans="1:5" x14ac:dyDescent="0.15">
      <c r="A225" s="14">
        <f t="shared" si="18"/>
        <v>209</v>
      </c>
      <c r="B225" s="36">
        <f t="shared" si="15"/>
        <v>6.0279268663805157</v>
      </c>
      <c r="C225" s="19">
        <f t="shared" si="16"/>
        <v>1255.3785516026142</v>
      </c>
      <c r="D225" s="18">
        <f t="shared" si="19"/>
        <v>59.805491971316506</v>
      </c>
      <c r="E225" s="19">
        <f t="shared" si="17"/>
        <v>65.833418837697025</v>
      </c>
    </row>
    <row r="226" spans="1:5" x14ac:dyDescent="0.15">
      <c r="A226" s="14">
        <f t="shared" si="18"/>
        <v>210</v>
      </c>
      <c r="B226" s="36">
        <f t="shared" si="15"/>
        <v>5.753818361511982</v>
      </c>
      <c r="C226" s="19">
        <f t="shared" si="16"/>
        <v>1195.2989511264291</v>
      </c>
      <c r="D226" s="18">
        <f t="shared" si="19"/>
        <v>60.079600476185043</v>
      </c>
      <c r="E226" s="19">
        <f t="shared" si="17"/>
        <v>65.833418837697025</v>
      </c>
    </row>
    <row r="227" spans="1:5" x14ac:dyDescent="0.15">
      <c r="A227" s="14">
        <f t="shared" si="18"/>
        <v>211</v>
      </c>
      <c r="B227" s="36">
        <f t="shared" si="15"/>
        <v>5.4784535259961338</v>
      </c>
      <c r="C227" s="19">
        <f t="shared" si="16"/>
        <v>1134.9439858147282</v>
      </c>
      <c r="D227" s="18">
        <f t="shared" si="19"/>
        <v>60.354965311700894</v>
      </c>
      <c r="E227" s="19">
        <f t="shared" si="17"/>
        <v>65.833418837697025</v>
      </c>
    </row>
    <row r="228" spans="1:5" x14ac:dyDescent="0.15">
      <c r="A228" s="14">
        <f t="shared" si="18"/>
        <v>212</v>
      </c>
      <c r="B228" s="36">
        <f t="shared" si="15"/>
        <v>5.2018266016508372</v>
      </c>
      <c r="C228" s="19">
        <f t="shared" si="16"/>
        <v>1074.3123935786821</v>
      </c>
      <c r="D228" s="18">
        <f t="shared" si="19"/>
        <v>60.631592236046188</v>
      </c>
      <c r="E228" s="19">
        <f t="shared" si="17"/>
        <v>65.833418837697025</v>
      </c>
    </row>
    <row r="229" spans="1:5" x14ac:dyDescent="0.15">
      <c r="A229" s="14">
        <f t="shared" si="18"/>
        <v>213</v>
      </c>
      <c r="B229" s="36">
        <f t="shared" si="15"/>
        <v>4.9239318039022928</v>
      </c>
      <c r="C229" s="19">
        <f t="shared" si="16"/>
        <v>1013.4029065448874</v>
      </c>
      <c r="D229" s="18">
        <f t="shared" si="19"/>
        <v>60.909487033794733</v>
      </c>
      <c r="E229" s="19">
        <f t="shared" si="17"/>
        <v>65.833418837697025</v>
      </c>
    </row>
    <row r="230" spans="1:5" x14ac:dyDescent="0.15">
      <c r="A230" s="14">
        <f t="shared" si="18"/>
        <v>214</v>
      </c>
      <c r="B230" s="36">
        <f t="shared" si="15"/>
        <v>4.6447633216640671</v>
      </c>
      <c r="C230" s="19">
        <f t="shared" si="16"/>
        <v>952.21425102885439</v>
      </c>
      <c r="D230" s="18">
        <f t="shared" si="19"/>
        <v>61.188655516032959</v>
      </c>
      <c r="E230" s="19">
        <f t="shared" si="17"/>
        <v>65.833418837697025</v>
      </c>
    </row>
    <row r="231" spans="1:5" x14ac:dyDescent="0.15">
      <c r="A231" s="14">
        <f t="shared" si="18"/>
        <v>215</v>
      </c>
      <c r="B231" s="36">
        <f t="shared" si="15"/>
        <v>4.3643153172155822</v>
      </c>
      <c r="C231" s="19">
        <f t="shared" si="16"/>
        <v>890.74514750837295</v>
      </c>
      <c r="D231" s="18">
        <f t="shared" si="19"/>
        <v>61.46910352048144</v>
      </c>
      <c r="E231" s="19">
        <f t="shared" si="17"/>
        <v>65.833418837697025</v>
      </c>
    </row>
    <row r="232" spans="1:5" x14ac:dyDescent="0.15">
      <c r="A232" s="14">
        <f t="shared" si="18"/>
        <v>216</v>
      </c>
      <c r="B232" s="36">
        <f t="shared" si="15"/>
        <v>4.0825819260800431</v>
      </c>
      <c r="C232" s="19">
        <f t="shared" si="16"/>
        <v>828.99431059675601</v>
      </c>
      <c r="D232" s="18">
        <f t="shared" si="19"/>
        <v>61.750836911616979</v>
      </c>
      <c r="E232" s="19">
        <f t="shared" si="17"/>
        <v>65.833418837697025</v>
      </c>
    </row>
    <row r="233" spans="1:5" x14ac:dyDescent="0.15">
      <c r="A233" s="14">
        <f t="shared" si="18"/>
        <v>217</v>
      </c>
      <c r="B233" s="36">
        <f t="shared" si="15"/>
        <v>3.7995572569017981</v>
      </c>
      <c r="C233" s="19">
        <f t="shared" si="16"/>
        <v>766.96044901596076</v>
      </c>
      <c r="D233" s="18">
        <f t="shared" si="19"/>
        <v>62.033861580795225</v>
      </c>
      <c r="E233" s="19">
        <f t="shared" si="17"/>
        <v>65.833418837697025</v>
      </c>
    </row>
    <row r="234" spans="1:5" x14ac:dyDescent="0.15">
      <c r="A234" s="14">
        <f t="shared" si="18"/>
        <v>218</v>
      </c>
      <c r="B234" s="36">
        <f t="shared" si="15"/>
        <v>3.5152353913231535</v>
      </c>
      <c r="C234" s="19">
        <f t="shared" si="16"/>
        <v>704.64226556958693</v>
      </c>
      <c r="D234" s="18">
        <f t="shared" si="19"/>
        <v>62.318183446373872</v>
      </c>
      <c r="E234" s="19">
        <f t="shared" si="17"/>
        <v>65.833418837697025</v>
      </c>
    </row>
    <row r="235" spans="1:5" x14ac:dyDescent="0.15">
      <c r="A235" s="14">
        <f t="shared" si="18"/>
        <v>219</v>
      </c>
      <c r="B235" s="36">
        <f t="shared" si="15"/>
        <v>3.2296103838606065</v>
      </c>
      <c r="C235" s="19">
        <f t="shared" si="16"/>
        <v>642.03845711575048</v>
      </c>
      <c r="D235" s="18">
        <f t="shared" si="19"/>
        <v>62.603808453836422</v>
      </c>
      <c r="E235" s="19">
        <f t="shared" si="17"/>
        <v>65.833418837697025</v>
      </c>
    </row>
    <row r="236" spans="1:5" x14ac:dyDescent="0.15">
      <c r="A236" s="14">
        <f t="shared" si="18"/>
        <v>220</v>
      </c>
      <c r="B236" s="36">
        <f t="shared" si="15"/>
        <v>2.9426762617805231</v>
      </c>
      <c r="C236" s="19">
        <f t="shared" si="16"/>
        <v>579.14771453983394</v>
      </c>
      <c r="D236" s="18">
        <f t="shared" si="19"/>
        <v>62.890742575916505</v>
      </c>
      <c r="E236" s="19">
        <f t="shared" si="17"/>
        <v>65.833418837697025</v>
      </c>
    </row>
    <row r="237" spans="1:5" x14ac:dyDescent="0.15">
      <c r="A237" s="14">
        <f t="shared" si="18"/>
        <v>221</v>
      </c>
      <c r="B237" s="36">
        <f t="shared" si="15"/>
        <v>2.6544270249742388</v>
      </c>
      <c r="C237" s="19">
        <f t="shared" si="16"/>
        <v>515.96872272711119</v>
      </c>
      <c r="D237" s="18">
        <f t="shared" si="19"/>
        <v>63.178991812722785</v>
      </c>
      <c r="E237" s="19">
        <f t="shared" si="17"/>
        <v>65.833418837697025</v>
      </c>
    </row>
    <row r="238" spans="1:5" x14ac:dyDescent="0.15">
      <c r="A238" s="14">
        <f t="shared" si="18"/>
        <v>222</v>
      </c>
      <c r="B238" s="36">
        <f t="shared" si="15"/>
        <v>2.3648566458325928</v>
      </c>
      <c r="C238" s="19">
        <f t="shared" si="16"/>
        <v>452.50016053524678</v>
      </c>
      <c r="D238" s="18">
        <f t="shared" si="19"/>
        <v>63.468562191864429</v>
      </c>
      <c r="E238" s="19">
        <f t="shared" si="17"/>
        <v>65.833418837697025</v>
      </c>
    </row>
    <row r="239" spans="1:5" x14ac:dyDescent="0.15">
      <c r="A239" s="14">
        <f t="shared" si="18"/>
        <v>223</v>
      </c>
      <c r="B239" s="36">
        <f t="shared" si="15"/>
        <v>2.0739590691198813</v>
      </c>
      <c r="C239" s="19">
        <f t="shared" si="16"/>
        <v>388.74070076666965</v>
      </c>
      <c r="D239" s="18">
        <f t="shared" si="19"/>
        <v>63.759459768577145</v>
      </c>
      <c r="E239" s="19">
        <f t="shared" si="17"/>
        <v>65.833418837697025</v>
      </c>
    </row>
    <row r="240" spans="1:5" x14ac:dyDescent="0.15">
      <c r="A240" s="14">
        <f t="shared" si="18"/>
        <v>224</v>
      </c>
      <c r="B240" s="36">
        <f t="shared" si="15"/>
        <v>1.781728211847236</v>
      </c>
      <c r="C240" s="19">
        <f t="shared" si="16"/>
        <v>324.68901014081985</v>
      </c>
      <c r="D240" s="18">
        <f t="shared" si="19"/>
        <v>64.051690625849787</v>
      </c>
      <c r="E240" s="19">
        <f t="shared" si="17"/>
        <v>65.833418837697025</v>
      </c>
    </row>
    <row r="241" spans="1:5" x14ac:dyDescent="0.15">
      <c r="A241" s="14">
        <f t="shared" si="18"/>
        <v>225</v>
      </c>
      <c r="B241" s="36">
        <f t="shared" si="15"/>
        <v>1.4881579631454243</v>
      </c>
      <c r="C241" s="19">
        <f t="shared" si="16"/>
        <v>260.34374926626822</v>
      </c>
      <c r="D241" s="18">
        <f t="shared" si="19"/>
        <v>64.345260874551599</v>
      </c>
      <c r="E241" s="19">
        <f t="shared" si="17"/>
        <v>65.833418837697025</v>
      </c>
    </row>
    <row r="242" spans="1:5" x14ac:dyDescent="0.15">
      <c r="A242" s="14">
        <f t="shared" si="18"/>
        <v>226</v>
      </c>
      <c r="B242" s="36">
        <f t="shared" si="15"/>
        <v>1.1932421841370626</v>
      </c>
      <c r="C242" s="19">
        <f t="shared" si="16"/>
        <v>195.70357261270826</v>
      </c>
      <c r="D242" s="18">
        <f t="shared" si="19"/>
        <v>64.640176653559962</v>
      </c>
      <c r="E242" s="19">
        <f t="shared" si="17"/>
        <v>65.833418837697025</v>
      </c>
    </row>
    <row r="243" spans="1:5" x14ac:dyDescent="0.15">
      <c r="A243" s="14">
        <f t="shared" si="18"/>
        <v>227</v>
      </c>
      <c r="B243" s="36">
        <f t="shared" si="15"/>
        <v>0.89697470780824629</v>
      </c>
      <c r="C243" s="19">
        <f t="shared" si="16"/>
        <v>130.76712848281949</v>
      </c>
      <c r="D243" s="18">
        <f t="shared" si="19"/>
        <v>64.936444129888784</v>
      </c>
      <c r="E243" s="19">
        <f t="shared" si="17"/>
        <v>65.833418837697025</v>
      </c>
    </row>
    <row r="244" spans="1:5" x14ac:dyDescent="0.15">
      <c r="A244" s="14">
        <f t="shared" si="18"/>
        <v>228</v>
      </c>
      <c r="B244" s="36">
        <f t="shared" si="15"/>
        <v>0.5993493388795893</v>
      </c>
      <c r="C244" s="19">
        <f t="shared" si="16"/>
        <v>65.533058984002054</v>
      </c>
      <c r="D244" s="18">
        <f t="shared" si="19"/>
        <v>65.234069498817433</v>
      </c>
      <c r="E244" s="19">
        <f t="shared" si="17"/>
        <v>65.833418837697025</v>
      </c>
    </row>
    <row r="245" spans="1:5" x14ac:dyDescent="0.15">
      <c r="A245" s="14">
        <f t="shared" si="18"/>
        <v>229</v>
      </c>
      <c r="B245" s="36">
        <f t="shared" si="15"/>
        <v>0.30035985367667611</v>
      </c>
      <c r="C245" s="19">
        <f t="shared" si="16"/>
        <v>-1.8289370018464979E-11</v>
      </c>
      <c r="D245" s="18">
        <f t="shared" si="19"/>
        <v>65.533058984020343</v>
      </c>
      <c r="E245" s="19">
        <f t="shared" si="17"/>
        <v>65.833418837697025</v>
      </c>
    </row>
    <row r="246" spans="1:5" x14ac:dyDescent="0.15">
      <c r="A246" s="14">
        <f t="shared" si="18"/>
        <v>230</v>
      </c>
      <c r="B246" s="36">
        <f t="shared" si="15"/>
        <v>-8.3826279251297815E-14</v>
      </c>
      <c r="C246" s="19">
        <f t="shared" si="16"/>
        <v>-65.833418837715399</v>
      </c>
      <c r="D246" s="18">
        <f t="shared" si="19"/>
        <v>65.83341883769711</v>
      </c>
      <c r="E246" s="19">
        <f t="shared" si="17"/>
        <v>65.833418837697025</v>
      </c>
    </row>
    <row r="247" spans="1:5" x14ac:dyDescent="0.15">
      <c r="A247" s="14">
        <f t="shared" si="18"/>
        <v>231</v>
      </c>
      <c r="B247" s="36">
        <f t="shared" si="15"/>
        <v>-0.30173650300619559</v>
      </c>
      <c r="C247" s="19">
        <f t="shared" si="16"/>
        <v>-131.96857417841863</v>
      </c>
      <c r="D247" s="18">
        <f t="shared" si="19"/>
        <v>66.135155340703221</v>
      </c>
      <c r="E247" s="19">
        <f t="shared" si="17"/>
        <v>65.833418837697025</v>
      </c>
    </row>
    <row r="248" spans="1:5" x14ac:dyDescent="0.15">
      <c r="A248" s="14">
        <f t="shared" si="18"/>
        <v>232</v>
      </c>
      <c r="B248" s="36">
        <f t="shared" si="15"/>
        <v>-0.60485596498441874</v>
      </c>
      <c r="C248" s="19">
        <f t="shared" si="16"/>
        <v>-198.4068489811001</v>
      </c>
      <c r="D248" s="18">
        <f t="shared" si="19"/>
        <v>66.438274802681448</v>
      </c>
      <c r="E248" s="19">
        <f t="shared" si="17"/>
        <v>65.833418837697025</v>
      </c>
    </row>
    <row r="249" spans="1:5" x14ac:dyDescent="0.15">
      <c r="A249" s="14">
        <f t="shared" si="18"/>
        <v>233</v>
      </c>
      <c r="B249" s="36">
        <f t="shared" si="15"/>
        <v>-0.9093647244967088</v>
      </c>
      <c r="C249" s="19">
        <f t="shared" si="16"/>
        <v>-265.14963254329382</v>
      </c>
      <c r="D249" s="18">
        <f t="shared" si="19"/>
        <v>66.742783562193736</v>
      </c>
      <c r="E249" s="19">
        <f t="shared" si="17"/>
        <v>65.833418837697025</v>
      </c>
    </row>
    <row r="250" spans="1:5" x14ac:dyDescent="0.15">
      <c r="A250" s="14">
        <f t="shared" si="18"/>
        <v>234</v>
      </c>
      <c r="B250" s="36">
        <f t="shared" si="15"/>
        <v>-1.2152691491567633</v>
      </c>
      <c r="C250" s="19">
        <f t="shared" si="16"/>
        <v>-332.19832053014761</v>
      </c>
      <c r="D250" s="18">
        <f t="shared" si="19"/>
        <v>67.048687986853793</v>
      </c>
      <c r="E250" s="19">
        <f t="shared" si="17"/>
        <v>65.833418837697025</v>
      </c>
    </row>
    <row r="251" spans="1:5" x14ac:dyDescent="0.15">
      <c r="A251" s="14">
        <f t="shared" si="18"/>
        <v>235</v>
      </c>
      <c r="B251" s="36">
        <f t="shared" si="15"/>
        <v>-1.5225756357631768</v>
      </c>
      <c r="C251" s="19">
        <f t="shared" si="16"/>
        <v>-399.55431500360783</v>
      </c>
      <c r="D251" s="18">
        <f t="shared" si="19"/>
        <v>67.3559944734602</v>
      </c>
      <c r="E251" s="19">
        <f t="shared" si="17"/>
        <v>65.833418837697025</v>
      </c>
    </row>
    <row r="252" spans="1:5" x14ac:dyDescent="0.15">
      <c r="A252" s="14">
        <f t="shared" si="18"/>
        <v>236</v>
      </c>
      <c r="B252" s="36">
        <f t="shared" si="15"/>
        <v>-1.8312906104332025</v>
      </c>
      <c r="C252" s="19">
        <f t="shared" si="16"/>
        <v>-467.21902445173805</v>
      </c>
      <c r="D252" s="18">
        <f t="shared" si="19"/>
        <v>67.664709448130225</v>
      </c>
      <c r="E252" s="19">
        <f t="shared" si="17"/>
        <v>65.833418837697025</v>
      </c>
    </row>
    <row r="253" spans="1:5" x14ac:dyDescent="0.15">
      <c r="A253" s="14">
        <f t="shared" si="18"/>
        <v>237</v>
      </c>
      <c r="B253" s="36">
        <f t="shared" si="15"/>
        <v>-2.1414205287371328</v>
      </c>
      <c r="C253" s="19">
        <f t="shared" si="16"/>
        <v>-535.19386381817219</v>
      </c>
      <c r="D253" s="18">
        <f t="shared" si="19"/>
        <v>67.974839366434153</v>
      </c>
      <c r="E253" s="19">
        <f t="shared" si="17"/>
        <v>65.833418837697025</v>
      </c>
    </row>
    <row r="254" spans="1:5" x14ac:dyDescent="0.15">
      <c r="A254" s="14">
        <f t="shared" si="18"/>
        <v>238</v>
      </c>
      <c r="B254" s="36">
        <f t="shared" si="15"/>
        <v>-2.4529718758332892</v>
      </c>
      <c r="C254" s="19">
        <f t="shared" si="16"/>
        <v>-603.48025453170249</v>
      </c>
      <c r="D254" s="18">
        <f t="shared" si="19"/>
        <v>68.286390713530309</v>
      </c>
      <c r="E254" s="19">
        <f t="shared" si="17"/>
        <v>65.833418837697025</v>
      </c>
    </row>
    <row r="255" spans="1:5" x14ac:dyDescent="0.15">
      <c r="A255" s="14">
        <f t="shared" si="18"/>
        <v>239</v>
      </c>
      <c r="B255" s="36">
        <f t="shared" si="15"/>
        <v>-2.7659511666036365</v>
      </c>
      <c r="C255" s="19">
        <f t="shared" si="16"/>
        <v>-672.07962453600317</v>
      </c>
      <c r="D255" s="18">
        <f t="shared" si="19"/>
        <v>68.599370004300667</v>
      </c>
      <c r="E255" s="19">
        <f t="shared" si="17"/>
        <v>65.833418837697025</v>
      </c>
    </row>
    <row r="256" spans="1:5" x14ac:dyDescent="0.15">
      <c r="A256" s="14">
        <f t="shared" si="18"/>
        <v>240</v>
      </c>
      <c r="B256" s="36">
        <f t="shared" si="15"/>
        <v>-3.0803649457900146</v>
      </c>
      <c r="C256" s="19">
        <f t="shared" si="16"/>
        <v>-740.99340831949019</v>
      </c>
      <c r="D256" s="18">
        <f t="shared" si="19"/>
        <v>68.913783783487034</v>
      </c>
      <c r="E256" s="19">
        <f t="shared" si="17"/>
        <v>65.833418837697025</v>
      </c>
    </row>
    <row r="257" spans="1:5" x14ac:dyDescent="0.15">
      <c r="A257" s="14">
        <f t="shared" si="18"/>
        <v>241</v>
      </c>
      <c r="B257" s="36">
        <f t="shared" si="15"/>
        <v>-3.3962197881309968</v>
      </c>
      <c r="C257" s="19">
        <f t="shared" ref="C257:C273" si="20">IF(B257&gt;0,C256-(B$7-B257),0)</f>
        <v>0</v>
      </c>
      <c r="E257" s="19">
        <f t="shared" si="17"/>
        <v>-3.3962197881309968</v>
      </c>
    </row>
    <row r="258" spans="1:5" x14ac:dyDescent="0.15">
      <c r="A258" s="14">
        <f t="shared" si="18"/>
        <v>242</v>
      </c>
      <c r="B258" s="36">
        <f t="shared" si="15"/>
        <v>0</v>
      </c>
      <c r="C258" s="19">
        <f t="shared" si="20"/>
        <v>0</v>
      </c>
      <c r="E258" s="19">
        <f t="shared" si="17"/>
        <v>0</v>
      </c>
    </row>
    <row r="259" spans="1:5" x14ac:dyDescent="0.15">
      <c r="A259" s="14">
        <f t="shared" si="18"/>
        <v>243</v>
      </c>
      <c r="B259" s="36">
        <f t="shared" si="15"/>
        <v>0</v>
      </c>
      <c r="C259" s="19">
        <f t="shared" si="20"/>
        <v>0</v>
      </c>
      <c r="E259" s="19">
        <f t="shared" si="17"/>
        <v>0</v>
      </c>
    </row>
    <row r="260" spans="1:5" x14ac:dyDescent="0.15">
      <c r="A260" s="14">
        <f t="shared" si="18"/>
        <v>244</v>
      </c>
      <c r="B260" s="36">
        <f t="shared" si="15"/>
        <v>0</v>
      </c>
      <c r="C260" s="19">
        <f t="shared" si="20"/>
        <v>0</v>
      </c>
      <c r="E260" s="19">
        <f t="shared" si="17"/>
        <v>0</v>
      </c>
    </row>
    <row r="261" spans="1:5" x14ac:dyDescent="0.15">
      <c r="A261" s="14">
        <f t="shared" si="18"/>
        <v>245</v>
      </c>
      <c r="B261" s="36">
        <f t="shared" si="15"/>
        <v>0</v>
      </c>
      <c r="C261" s="19">
        <f t="shared" si="20"/>
        <v>0</v>
      </c>
      <c r="E261" s="19">
        <f t="shared" si="17"/>
        <v>0</v>
      </c>
    </row>
    <row r="262" spans="1:5" x14ac:dyDescent="0.15">
      <c r="A262" s="14">
        <f t="shared" si="18"/>
        <v>246</v>
      </c>
      <c r="B262" s="36">
        <f t="shared" si="15"/>
        <v>0</v>
      </c>
      <c r="C262" s="19">
        <f t="shared" si="20"/>
        <v>0</v>
      </c>
      <c r="E262" s="19">
        <f t="shared" si="17"/>
        <v>0</v>
      </c>
    </row>
    <row r="263" spans="1:5" x14ac:dyDescent="0.15">
      <c r="A263" s="14">
        <f t="shared" si="18"/>
        <v>247</v>
      </c>
      <c r="B263" s="36">
        <f t="shared" si="15"/>
        <v>0</v>
      </c>
      <c r="C263" s="19">
        <f t="shared" si="20"/>
        <v>0</v>
      </c>
      <c r="E263" s="19">
        <f t="shared" si="17"/>
        <v>0</v>
      </c>
    </row>
    <row r="264" spans="1:5" x14ac:dyDescent="0.15">
      <c r="A264" s="14">
        <f t="shared" si="18"/>
        <v>248</v>
      </c>
      <c r="B264" s="36">
        <f t="shared" si="15"/>
        <v>0</v>
      </c>
      <c r="C264" s="19">
        <f t="shared" si="20"/>
        <v>0</v>
      </c>
      <c r="E264" s="19">
        <f t="shared" si="17"/>
        <v>0</v>
      </c>
    </row>
    <row r="265" spans="1:5" x14ac:dyDescent="0.15">
      <c r="A265" s="14">
        <f t="shared" si="18"/>
        <v>249</v>
      </c>
      <c r="B265" s="36">
        <f t="shared" si="15"/>
        <v>0</v>
      </c>
      <c r="C265" s="19">
        <f t="shared" si="20"/>
        <v>0</v>
      </c>
      <c r="E265" s="19">
        <f t="shared" si="17"/>
        <v>0</v>
      </c>
    </row>
    <row r="266" spans="1:5" x14ac:dyDescent="0.15">
      <c r="A266" s="14">
        <f t="shared" si="18"/>
        <v>250</v>
      </c>
      <c r="B266" s="36">
        <f t="shared" si="15"/>
        <v>0</v>
      </c>
      <c r="C266" s="19">
        <f t="shared" si="20"/>
        <v>0</v>
      </c>
      <c r="E266" s="19">
        <f t="shared" si="17"/>
        <v>0</v>
      </c>
    </row>
    <row r="267" spans="1:5" x14ac:dyDescent="0.15">
      <c r="A267" s="14">
        <f t="shared" si="18"/>
        <v>251</v>
      </c>
      <c r="B267" s="36">
        <f t="shared" si="15"/>
        <v>0</v>
      </c>
      <c r="C267" s="19">
        <f t="shared" si="20"/>
        <v>0</v>
      </c>
      <c r="E267" s="19">
        <f t="shared" si="17"/>
        <v>0</v>
      </c>
    </row>
    <row r="268" spans="1:5" x14ac:dyDescent="0.15">
      <c r="A268" s="14">
        <f t="shared" si="18"/>
        <v>252</v>
      </c>
      <c r="B268" s="36">
        <f t="shared" si="15"/>
        <v>0</v>
      </c>
      <c r="C268" s="19">
        <f t="shared" si="20"/>
        <v>0</v>
      </c>
      <c r="E268" s="19">
        <f t="shared" si="17"/>
        <v>0</v>
      </c>
    </row>
    <row r="269" spans="1:5" x14ac:dyDescent="0.15">
      <c r="A269" s="14">
        <f t="shared" si="18"/>
        <v>253</v>
      </c>
      <c r="B269" s="36">
        <f t="shared" si="15"/>
        <v>0</v>
      </c>
      <c r="C269" s="19">
        <f t="shared" si="20"/>
        <v>0</v>
      </c>
      <c r="E269" s="19">
        <f t="shared" si="17"/>
        <v>0</v>
      </c>
    </row>
    <row r="270" spans="1:5" x14ac:dyDescent="0.15">
      <c r="A270" s="14">
        <f t="shared" si="18"/>
        <v>254</v>
      </c>
      <c r="B270" s="36">
        <f t="shared" si="15"/>
        <v>0</v>
      </c>
      <c r="C270" s="19">
        <f t="shared" si="20"/>
        <v>0</v>
      </c>
      <c r="E270" s="19">
        <f t="shared" si="17"/>
        <v>0</v>
      </c>
    </row>
    <row r="271" spans="1:5" x14ac:dyDescent="0.15">
      <c r="A271" s="14">
        <f t="shared" si="18"/>
        <v>255</v>
      </c>
      <c r="B271" s="36">
        <f t="shared" si="15"/>
        <v>0</v>
      </c>
      <c r="C271" s="19">
        <f t="shared" si="20"/>
        <v>0</v>
      </c>
      <c r="E271" s="19">
        <f t="shared" si="17"/>
        <v>0</v>
      </c>
    </row>
    <row r="272" spans="1:5" x14ac:dyDescent="0.15">
      <c r="A272" s="14">
        <f t="shared" si="18"/>
        <v>256</v>
      </c>
      <c r="B272" s="36">
        <f t="shared" si="15"/>
        <v>0</v>
      </c>
      <c r="C272" s="19">
        <f t="shared" si="20"/>
        <v>0</v>
      </c>
      <c r="E272" s="19">
        <f t="shared" si="17"/>
        <v>0</v>
      </c>
    </row>
    <row r="273" spans="1:5" x14ac:dyDescent="0.15">
      <c r="A273" s="14">
        <f t="shared" si="18"/>
        <v>257</v>
      </c>
      <c r="B273" s="36">
        <f t="shared" si="15"/>
        <v>0</v>
      </c>
      <c r="C273" s="19">
        <f t="shared" si="20"/>
        <v>0</v>
      </c>
      <c r="E273" s="19">
        <f t="shared" si="17"/>
        <v>0</v>
      </c>
    </row>
    <row r="274" spans="1:5" x14ac:dyDescent="0.15">
      <c r="A274" s="14">
        <f t="shared" si="18"/>
        <v>258</v>
      </c>
      <c r="B274" s="36">
        <f t="shared" ref="B274:B337" si="21">B$3*C273/12</f>
        <v>0</v>
      </c>
      <c r="C274" s="19">
        <f t="shared" ref="C274:C337" si="22">IF(B274&gt;0,C273-(B$7-B274),0)</f>
        <v>0</v>
      </c>
    </row>
    <row r="275" spans="1:5" x14ac:dyDescent="0.15">
      <c r="A275" s="14">
        <f t="shared" ref="A275:A338" si="23">A274+1</f>
        <v>259</v>
      </c>
      <c r="B275" s="36">
        <f t="shared" si="21"/>
        <v>0</v>
      </c>
      <c r="C275" s="19">
        <f t="shared" si="22"/>
        <v>0</v>
      </c>
    </row>
    <row r="276" spans="1:5" x14ac:dyDescent="0.15">
      <c r="A276" s="14">
        <f t="shared" si="23"/>
        <v>260</v>
      </c>
      <c r="B276" s="36">
        <f t="shared" si="21"/>
        <v>0</v>
      </c>
      <c r="C276" s="19">
        <f t="shared" si="22"/>
        <v>0</v>
      </c>
    </row>
    <row r="277" spans="1:5" x14ac:dyDescent="0.15">
      <c r="A277" s="14">
        <f t="shared" si="23"/>
        <v>261</v>
      </c>
      <c r="B277" s="36">
        <f t="shared" si="21"/>
        <v>0</v>
      </c>
      <c r="C277" s="19">
        <f t="shared" si="22"/>
        <v>0</v>
      </c>
    </row>
    <row r="278" spans="1:5" x14ac:dyDescent="0.15">
      <c r="A278" s="14">
        <f t="shared" si="23"/>
        <v>262</v>
      </c>
      <c r="B278" s="36">
        <f t="shared" si="21"/>
        <v>0</v>
      </c>
      <c r="C278" s="19">
        <f t="shared" si="22"/>
        <v>0</v>
      </c>
    </row>
    <row r="279" spans="1:5" x14ac:dyDescent="0.15">
      <c r="A279" s="14">
        <f t="shared" si="23"/>
        <v>263</v>
      </c>
      <c r="B279" s="36">
        <f t="shared" si="21"/>
        <v>0</v>
      </c>
      <c r="C279" s="19">
        <f t="shared" si="22"/>
        <v>0</v>
      </c>
    </row>
    <row r="280" spans="1:5" x14ac:dyDescent="0.15">
      <c r="A280" s="14">
        <f t="shared" si="23"/>
        <v>264</v>
      </c>
      <c r="B280" s="36">
        <f t="shared" si="21"/>
        <v>0</v>
      </c>
      <c r="C280" s="19">
        <f t="shared" si="22"/>
        <v>0</v>
      </c>
    </row>
    <row r="281" spans="1:5" x14ac:dyDescent="0.15">
      <c r="A281" s="14">
        <f t="shared" si="23"/>
        <v>265</v>
      </c>
      <c r="B281" s="36">
        <f t="shared" si="21"/>
        <v>0</v>
      </c>
      <c r="C281" s="19">
        <f t="shared" si="22"/>
        <v>0</v>
      </c>
    </row>
    <row r="282" spans="1:5" x14ac:dyDescent="0.15">
      <c r="A282" s="14">
        <f t="shared" si="23"/>
        <v>266</v>
      </c>
      <c r="B282" s="36">
        <f t="shared" si="21"/>
        <v>0</v>
      </c>
      <c r="C282" s="19">
        <f t="shared" si="22"/>
        <v>0</v>
      </c>
    </row>
    <row r="283" spans="1:5" x14ac:dyDescent="0.15">
      <c r="A283" s="14">
        <f t="shared" si="23"/>
        <v>267</v>
      </c>
      <c r="B283" s="36">
        <f t="shared" si="21"/>
        <v>0</v>
      </c>
      <c r="C283" s="19">
        <f t="shared" si="22"/>
        <v>0</v>
      </c>
    </row>
    <row r="284" spans="1:5" x14ac:dyDescent="0.15">
      <c r="A284" s="14">
        <f t="shared" si="23"/>
        <v>268</v>
      </c>
      <c r="B284" s="36">
        <f t="shared" si="21"/>
        <v>0</v>
      </c>
      <c r="C284" s="19">
        <f t="shared" si="22"/>
        <v>0</v>
      </c>
    </row>
    <row r="285" spans="1:5" x14ac:dyDescent="0.15">
      <c r="A285" s="14">
        <f t="shared" si="23"/>
        <v>269</v>
      </c>
      <c r="B285" s="36">
        <f t="shared" si="21"/>
        <v>0</v>
      </c>
      <c r="C285" s="19">
        <f t="shared" si="22"/>
        <v>0</v>
      </c>
    </row>
    <row r="286" spans="1:5" x14ac:dyDescent="0.15">
      <c r="A286" s="14">
        <f t="shared" si="23"/>
        <v>270</v>
      </c>
      <c r="B286" s="36">
        <f t="shared" si="21"/>
        <v>0</v>
      </c>
      <c r="C286" s="19">
        <f t="shared" si="22"/>
        <v>0</v>
      </c>
    </row>
    <row r="287" spans="1:5" x14ac:dyDescent="0.15">
      <c r="A287" s="14">
        <f t="shared" si="23"/>
        <v>271</v>
      </c>
      <c r="B287" s="36">
        <f t="shared" si="21"/>
        <v>0</v>
      </c>
      <c r="C287" s="19">
        <f t="shared" si="22"/>
        <v>0</v>
      </c>
    </row>
    <row r="288" spans="1:5" x14ac:dyDescent="0.15">
      <c r="A288" s="14">
        <f t="shared" si="23"/>
        <v>272</v>
      </c>
      <c r="B288" s="36">
        <f t="shared" si="21"/>
        <v>0</v>
      </c>
      <c r="C288" s="19">
        <f t="shared" si="22"/>
        <v>0</v>
      </c>
    </row>
    <row r="289" spans="1:3" x14ac:dyDescent="0.15">
      <c r="A289" s="14">
        <f t="shared" si="23"/>
        <v>273</v>
      </c>
      <c r="B289" s="36">
        <f t="shared" si="21"/>
        <v>0</v>
      </c>
      <c r="C289" s="19">
        <f t="shared" si="22"/>
        <v>0</v>
      </c>
    </row>
    <row r="290" spans="1:3" x14ac:dyDescent="0.15">
      <c r="A290" s="14">
        <f t="shared" si="23"/>
        <v>274</v>
      </c>
      <c r="B290" s="36">
        <f t="shared" si="21"/>
        <v>0</v>
      </c>
      <c r="C290" s="19">
        <f t="shared" si="22"/>
        <v>0</v>
      </c>
    </row>
    <row r="291" spans="1:3" x14ac:dyDescent="0.15">
      <c r="A291" s="14">
        <f t="shared" si="23"/>
        <v>275</v>
      </c>
      <c r="B291" s="36">
        <f t="shared" si="21"/>
        <v>0</v>
      </c>
      <c r="C291" s="19">
        <f t="shared" si="22"/>
        <v>0</v>
      </c>
    </row>
    <row r="292" spans="1:3" x14ac:dyDescent="0.15">
      <c r="A292" s="14">
        <f t="shared" si="23"/>
        <v>276</v>
      </c>
      <c r="B292" s="36">
        <f t="shared" si="21"/>
        <v>0</v>
      </c>
      <c r="C292" s="19">
        <f t="shared" si="22"/>
        <v>0</v>
      </c>
    </row>
    <row r="293" spans="1:3" x14ac:dyDescent="0.15">
      <c r="A293" s="14">
        <f t="shared" si="23"/>
        <v>277</v>
      </c>
      <c r="B293" s="36">
        <f t="shared" si="21"/>
        <v>0</v>
      </c>
      <c r="C293" s="19">
        <f t="shared" si="22"/>
        <v>0</v>
      </c>
    </row>
    <row r="294" spans="1:3" x14ac:dyDescent="0.15">
      <c r="A294" s="14">
        <f t="shared" si="23"/>
        <v>278</v>
      </c>
      <c r="B294" s="36">
        <f t="shared" si="21"/>
        <v>0</v>
      </c>
      <c r="C294" s="19">
        <f t="shared" si="22"/>
        <v>0</v>
      </c>
    </row>
    <row r="295" spans="1:3" x14ac:dyDescent="0.15">
      <c r="A295" s="14">
        <f t="shared" si="23"/>
        <v>279</v>
      </c>
      <c r="B295" s="36">
        <f t="shared" si="21"/>
        <v>0</v>
      </c>
      <c r="C295" s="19">
        <f t="shared" si="22"/>
        <v>0</v>
      </c>
    </row>
    <row r="296" spans="1:3" x14ac:dyDescent="0.15">
      <c r="A296" s="14">
        <f t="shared" si="23"/>
        <v>280</v>
      </c>
      <c r="B296" s="36">
        <f t="shared" si="21"/>
        <v>0</v>
      </c>
      <c r="C296" s="19">
        <f t="shared" si="22"/>
        <v>0</v>
      </c>
    </row>
    <row r="297" spans="1:3" x14ac:dyDescent="0.15">
      <c r="A297" s="14">
        <f t="shared" si="23"/>
        <v>281</v>
      </c>
      <c r="B297" s="36">
        <f t="shared" si="21"/>
        <v>0</v>
      </c>
      <c r="C297" s="19">
        <f t="shared" si="22"/>
        <v>0</v>
      </c>
    </row>
    <row r="298" spans="1:3" x14ac:dyDescent="0.15">
      <c r="A298" s="14">
        <f t="shared" si="23"/>
        <v>282</v>
      </c>
      <c r="B298" s="36">
        <f t="shared" si="21"/>
        <v>0</v>
      </c>
      <c r="C298" s="19">
        <f t="shared" si="22"/>
        <v>0</v>
      </c>
    </row>
    <row r="299" spans="1:3" x14ac:dyDescent="0.15">
      <c r="A299" s="14">
        <f t="shared" si="23"/>
        <v>283</v>
      </c>
      <c r="B299" s="36">
        <f t="shared" si="21"/>
        <v>0</v>
      </c>
      <c r="C299" s="19">
        <f t="shared" si="22"/>
        <v>0</v>
      </c>
    </row>
    <row r="300" spans="1:3" x14ac:dyDescent="0.15">
      <c r="A300" s="14">
        <f t="shared" si="23"/>
        <v>284</v>
      </c>
      <c r="B300" s="36">
        <f t="shared" si="21"/>
        <v>0</v>
      </c>
      <c r="C300" s="19">
        <f t="shared" si="22"/>
        <v>0</v>
      </c>
    </row>
    <row r="301" spans="1:3" x14ac:dyDescent="0.15">
      <c r="A301" s="14">
        <f t="shared" si="23"/>
        <v>285</v>
      </c>
      <c r="B301" s="36">
        <f t="shared" si="21"/>
        <v>0</v>
      </c>
      <c r="C301" s="19">
        <f t="shared" si="22"/>
        <v>0</v>
      </c>
    </row>
    <row r="302" spans="1:3" x14ac:dyDescent="0.15">
      <c r="A302" s="14">
        <f t="shared" si="23"/>
        <v>286</v>
      </c>
      <c r="B302" s="36">
        <f t="shared" si="21"/>
        <v>0</v>
      </c>
      <c r="C302" s="19">
        <f t="shared" si="22"/>
        <v>0</v>
      </c>
    </row>
    <row r="303" spans="1:3" x14ac:dyDescent="0.15">
      <c r="A303" s="14">
        <f t="shared" si="23"/>
        <v>287</v>
      </c>
      <c r="B303" s="36">
        <f t="shared" si="21"/>
        <v>0</v>
      </c>
      <c r="C303" s="19">
        <f t="shared" si="22"/>
        <v>0</v>
      </c>
    </row>
    <row r="304" spans="1:3" x14ac:dyDescent="0.15">
      <c r="A304" s="14">
        <f t="shared" si="23"/>
        <v>288</v>
      </c>
      <c r="B304" s="36">
        <f t="shared" si="21"/>
        <v>0</v>
      </c>
      <c r="C304" s="19">
        <f t="shared" si="22"/>
        <v>0</v>
      </c>
    </row>
    <row r="305" spans="1:3" x14ac:dyDescent="0.15">
      <c r="A305" s="14">
        <f t="shared" si="23"/>
        <v>289</v>
      </c>
      <c r="B305" s="36">
        <f t="shared" si="21"/>
        <v>0</v>
      </c>
      <c r="C305" s="19">
        <f t="shared" si="22"/>
        <v>0</v>
      </c>
    </row>
    <row r="306" spans="1:3" x14ac:dyDescent="0.15">
      <c r="A306" s="14">
        <f t="shared" si="23"/>
        <v>290</v>
      </c>
      <c r="B306" s="36">
        <f t="shared" si="21"/>
        <v>0</v>
      </c>
      <c r="C306" s="19">
        <f t="shared" si="22"/>
        <v>0</v>
      </c>
    </row>
    <row r="307" spans="1:3" x14ac:dyDescent="0.15">
      <c r="A307" s="14">
        <f t="shared" si="23"/>
        <v>291</v>
      </c>
      <c r="B307" s="36">
        <f t="shared" si="21"/>
        <v>0</v>
      </c>
      <c r="C307" s="19">
        <f t="shared" si="22"/>
        <v>0</v>
      </c>
    </row>
    <row r="308" spans="1:3" x14ac:dyDescent="0.15">
      <c r="A308" s="14">
        <f t="shared" si="23"/>
        <v>292</v>
      </c>
      <c r="B308" s="36">
        <f t="shared" si="21"/>
        <v>0</v>
      </c>
      <c r="C308" s="19">
        <f t="shared" si="22"/>
        <v>0</v>
      </c>
    </row>
    <row r="309" spans="1:3" x14ac:dyDescent="0.15">
      <c r="A309" s="14">
        <f t="shared" si="23"/>
        <v>293</v>
      </c>
      <c r="B309" s="36">
        <f t="shared" si="21"/>
        <v>0</v>
      </c>
      <c r="C309" s="19">
        <f t="shared" si="22"/>
        <v>0</v>
      </c>
    </row>
    <row r="310" spans="1:3" x14ac:dyDescent="0.15">
      <c r="A310" s="14">
        <f t="shared" si="23"/>
        <v>294</v>
      </c>
      <c r="B310" s="36">
        <f t="shared" si="21"/>
        <v>0</v>
      </c>
      <c r="C310" s="19">
        <f t="shared" si="22"/>
        <v>0</v>
      </c>
    </row>
    <row r="311" spans="1:3" x14ac:dyDescent="0.15">
      <c r="A311" s="14">
        <f t="shared" si="23"/>
        <v>295</v>
      </c>
      <c r="B311" s="36">
        <f t="shared" si="21"/>
        <v>0</v>
      </c>
      <c r="C311" s="19">
        <f t="shared" si="22"/>
        <v>0</v>
      </c>
    </row>
    <row r="312" spans="1:3" x14ac:dyDescent="0.15">
      <c r="A312" s="14">
        <f t="shared" si="23"/>
        <v>296</v>
      </c>
      <c r="B312" s="36">
        <f t="shared" si="21"/>
        <v>0</v>
      </c>
      <c r="C312" s="19">
        <f t="shared" si="22"/>
        <v>0</v>
      </c>
    </row>
    <row r="313" spans="1:3" x14ac:dyDescent="0.15">
      <c r="A313" s="14">
        <f t="shared" si="23"/>
        <v>297</v>
      </c>
      <c r="B313" s="36">
        <f t="shared" si="21"/>
        <v>0</v>
      </c>
      <c r="C313" s="19">
        <f t="shared" si="22"/>
        <v>0</v>
      </c>
    </row>
    <row r="314" spans="1:3" x14ac:dyDescent="0.15">
      <c r="A314" s="14">
        <f t="shared" si="23"/>
        <v>298</v>
      </c>
      <c r="B314" s="36">
        <f t="shared" si="21"/>
        <v>0</v>
      </c>
      <c r="C314" s="19">
        <f t="shared" si="22"/>
        <v>0</v>
      </c>
    </row>
    <row r="315" spans="1:3" x14ac:dyDescent="0.15">
      <c r="A315" s="14">
        <f t="shared" si="23"/>
        <v>299</v>
      </c>
      <c r="B315" s="36">
        <f t="shared" si="21"/>
        <v>0</v>
      </c>
      <c r="C315" s="19">
        <f t="shared" si="22"/>
        <v>0</v>
      </c>
    </row>
    <row r="316" spans="1:3" x14ac:dyDescent="0.15">
      <c r="A316" s="14">
        <f t="shared" si="23"/>
        <v>300</v>
      </c>
      <c r="B316" s="36">
        <f t="shared" si="21"/>
        <v>0</v>
      </c>
      <c r="C316" s="19">
        <f t="shared" si="22"/>
        <v>0</v>
      </c>
    </row>
    <row r="317" spans="1:3" x14ac:dyDescent="0.15">
      <c r="A317" s="14">
        <f t="shared" si="23"/>
        <v>301</v>
      </c>
      <c r="B317" s="36">
        <f t="shared" si="21"/>
        <v>0</v>
      </c>
      <c r="C317" s="19">
        <f t="shared" si="22"/>
        <v>0</v>
      </c>
    </row>
    <row r="318" spans="1:3" x14ac:dyDescent="0.15">
      <c r="A318" s="14">
        <f t="shared" si="23"/>
        <v>302</v>
      </c>
      <c r="B318" s="36">
        <f t="shared" si="21"/>
        <v>0</v>
      </c>
      <c r="C318" s="19">
        <f t="shared" si="22"/>
        <v>0</v>
      </c>
    </row>
    <row r="319" spans="1:3" x14ac:dyDescent="0.15">
      <c r="A319" s="14">
        <f t="shared" si="23"/>
        <v>303</v>
      </c>
      <c r="B319" s="36">
        <f t="shared" si="21"/>
        <v>0</v>
      </c>
      <c r="C319" s="19">
        <f t="shared" si="22"/>
        <v>0</v>
      </c>
    </row>
    <row r="320" spans="1:3" x14ac:dyDescent="0.15">
      <c r="A320" s="14">
        <f t="shared" si="23"/>
        <v>304</v>
      </c>
      <c r="B320" s="36">
        <f t="shared" si="21"/>
        <v>0</v>
      </c>
      <c r="C320" s="19">
        <f t="shared" si="22"/>
        <v>0</v>
      </c>
    </row>
    <row r="321" spans="1:3" x14ac:dyDescent="0.15">
      <c r="A321" s="14">
        <f t="shared" si="23"/>
        <v>305</v>
      </c>
      <c r="B321" s="36">
        <f t="shared" si="21"/>
        <v>0</v>
      </c>
      <c r="C321" s="19">
        <f t="shared" si="22"/>
        <v>0</v>
      </c>
    </row>
    <row r="322" spans="1:3" x14ac:dyDescent="0.15">
      <c r="A322" s="14">
        <f t="shared" si="23"/>
        <v>306</v>
      </c>
      <c r="B322" s="36">
        <f t="shared" si="21"/>
        <v>0</v>
      </c>
      <c r="C322" s="19">
        <f t="shared" si="22"/>
        <v>0</v>
      </c>
    </row>
    <row r="323" spans="1:3" x14ac:dyDescent="0.15">
      <c r="A323" s="14">
        <f t="shared" si="23"/>
        <v>307</v>
      </c>
      <c r="B323" s="36">
        <f t="shared" si="21"/>
        <v>0</v>
      </c>
      <c r="C323" s="19">
        <f t="shared" si="22"/>
        <v>0</v>
      </c>
    </row>
    <row r="324" spans="1:3" x14ac:dyDescent="0.15">
      <c r="A324" s="14">
        <f t="shared" si="23"/>
        <v>308</v>
      </c>
      <c r="B324" s="36">
        <f t="shared" si="21"/>
        <v>0</v>
      </c>
      <c r="C324" s="19">
        <f t="shared" si="22"/>
        <v>0</v>
      </c>
    </row>
    <row r="325" spans="1:3" x14ac:dyDescent="0.15">
      <c r="A325" s="14">
        <f t="shared" si="23"/>
        <v>309</v>
      </c>
      <c r="B325" s="36">
        <f t="shared" si="21"/>
        <v>0</v>
      </c>
      <c r="C325" s="19">
        <f t="shared" si="22"/>
        <v>0</v>
      </c>
    </row>
    <row r="326" spans="1:3" x14ac:dyDescent="0.15">
      <c r="A326" s="14">
        <f t="shared" si="23"/>
        <v>310</v>
      </c>
      <c r="B326" s="36">
        <f t="shared" si="21"/>
        <v>0</v>
      </c>
      <c r="C326" s="19">
        <f t="shared" si="22"/>
        <v>0</v>
      </c>
    </row>
    <row r="327" spans="1:3" x14ac:dyDescent="0.15">
      <c r="A327" s="14">
        <f t="shared" si="23"/>
        <v>311</v>
      </c>
      <c r="B327" s="36">
        <f t="shared" si="21"/>
        <v>0</v>
      </c>
      <c r="C327" s="19">
        <f t="shared" si="22"/>
        <v>0</v>
      </c>
    </row>
    <row r="328" spans="1:3" x14ac:dyDescent="0.15">
      <c r="A328" s="14">
        <f t="shared" si="23"/>
        <v>312</v>
      </c>
      <c r="B328" s="36">
        <f t="shared" si="21"/>
        <v>0</v>
      </c>
      <c r="C328" s="19">
        <f t="shared" si="22"/>
        <v>0</v>
      </c>
    </row>
    <row r="329" spans="1:3" x14ac:dyDescent="0.15">
      <c r="A329" s="14">
        <f t="shared" si="23"/>
        <v>313</v>
      </c>
      <c r="B329" s="36">
        <f t="shared" si="21"/>
        <v>0</v>
      </c>
      <c r="C329" s="19">
        <f t="shared" si="22"/>
        <v>0</v>
      </c>
    </row>
    <row r="330" spans="1:3" x14ac:dyDescent="0.15">
      <c r="A330" s="14">
        <f t="shared" si="23"/>
        <v>314</v>
      </c>
      <c r="B330" s="36">
        <f t="shared" si="21"/>
        <v>0</v>
      </c>
      <c r="C330" s="19">
        <f t="shared" si="22"/>
        <v>0</v>
      </c>
    </row>
    <row r="331" spans="1:3" x14ac:dyDescent="0.15">
      <c r="A331" s="14">
        <f t="shared" si="23"/>
        <v>315</v>
      </c>
      <c r="B331" s="36">
        <f t="shared" si="21"/>
        <v>0</v>
      </c>
      <c r="C331" s="19">
        <f t="shared" si="22"/>
        <v>0</v>
      </c>
    </row>
    <row r="332" spans="1:3" x14ac:dyDescent="0.15">
      <c r="A332" s="14">
        <f t="shared" si="23"/>
        <v>316</v>
      </c>
      <c r="B332" s="36">
        <f t="shared" si="21"/>
        <v>0</v>
      </c>
      <c r="C332" s="19">
        <f t="shared" si="22"/>
        <v>0</v>
      </c>
    </row>
    <row r="333" spans="1:3" x14ac:dyDescent="0.15">
      <c r="A333" s="14">
        <f t="shared" si="23"/>
        <v>317</v>
      </c>
      <c r="B333" s="36">
        <f t="shared" si="21"/>
        <v>0</v>
      </c>
      <c r="C333" s="19">
        <f t="shared" si="22"/>
        <v>0</v>
      </c>
    </row>
    <row r="334" spans="1:3" x14ac:dyDescent="0.15">
      <c r="A334" s="14">
        <f t="shared" si="23"/>
        <v>318</v>
      </c>
      <c r="B334" s="36">
        <f t="shared" si="21"/>
        <v>0</v>
      </c>
      <c r="C334" s="19">
        <f t="shared" si="22"/>
        <v>0</v>
      </c>
    </row>
    <row r="335" spans="1:3" x14ac:dyDescent="0.15">
      <c r="A335" s="14">
        <f t="shared" si="23"/>
        <v>319</v>
      </c>
      <c r="B335" s="36">
        <f t="shared" si="21"/>
        <v>0</v>
      </c>
      <c r="C335" s="19">
        <f t="shared" si="22"/>
        <v>0</v>
      </c>
    </row>
    <row r="336" spans="1:3" x14ac:dyDescent="0.15">
      <c r="A336" s="14">
        <f t="shared" si="23"/>
        <v>320</v>
      </c>
      <c r="B336" s="36">
        <f t="shared" si="21"/>
        <v>0</v>
      </c>
      <c r="C336" s="19">
        <f t="shared" si="22"/>
        <v>0</v>
      </c>
    </row>
    <row r="337" spans="1:3" x14ac:dyDescent="0.15">
      <c r="A337" s="14">
        <f t="shared" si="23"/>
        <v>321</v>
      </c>
      <c r="B337" s="36">
        <f t="shared" si="21"/>
        <v>0</v>
      </c>
      <c r="C337" s="19">
        <f t="shared" si="22"/>
        <v>0</v>
      </c>
    </row>
    <row r="338" spans="1:3" x14ac:dyDescent="0.15">
      <c r="A338" s="14">
        <f t="shared" si="23"/>
        <v>322</v>
      </c>
      <c r="B338" s="36">
        <f t="shared" ref="B338:B376" si="24">B$3*C337/12</f>
        <v>0</v>
      </c>
      <c r="C338" s="19">
        <f t="shared" ref="C338:C376" si="25">IF(B338&gt;0,C337-(B$7-B338),0)</f>
        <v>0</v>
      </c>
    </row>
    <row r="339" spans="1:3" x14ac:dyDescent="0.15">
      <c r="A339" s="14">
        <f t="shared" ref="A339:A376" si="26">A338+1</f>
        <v>323</v>
      </c>
      <c r="B339" s="36">
        <f t="shared" si="24"/>
        <v>0</v>
      </c>
      <c r="C339" s="19">
        <f t="shared" si="25"/>
        <v>0</v>
      </c>
    </row>
    <row r="340" spans="1:3" x14ac:dyDescent="0.15">
      <c r="A340" s="14">
        <f t="shared" si="26"/>
        <v>324</v>
      </c>
      <c r="B340" s="36">
        <f t="shared" si="24"/>
        <v>0</v>
      </c>
      <c r="C340" s="19">
        <f t="shared" si="25"/>
        <v>0</v>
      </c>
    </row>
    <row r="341" spans="1:3" x14ac:dyDescent="0.15">
      <c r="A341" s="14">
        <f t="shared" si="26"/>
        <v>325</v>
      </c>
      <c r="B341" s="36">
        <f t="shared" si="24"/>
        <v>0</v>
      </c>
      <c r="C341" s="19">
        <f t="shared" si="25"/>
        <v>0</v>
      </c>
    </row>
    <row r="342" spans="1:3" x14ac:dyDescent="0.15">
      <c r="A342" s="14">
        <f t="shared" si="26"/>
        <v>326</v>
      </c>
      <c r="B342" s="36">
        <f t="shared" si="24"/>
        <v>0</v>
      </c>
      <c r="C342" s="19">
        <f t="shared" si="25"/>
        <v>0</v>
      </c>
    </row>
    <row r="343" spans="1:3" x14ac:dyDescent="0.15">
      <c r="A343" s="14">
        <f t="shared" si="26"/>
        <v>327</v>
      </c>
      <c r="B343" s="36">
        <f t="shared" si="24"/>
        <v>0</v>
      </c>
      <c r="C343" s="19">
        <f t="shared" si="25"/>
        <v>0</v>
      </c>
    </row>
    <row r="344" spans="1:3" x14ac:dyDescent="0.15">
      <c r="A344" s="14">
        <f t="shared" si="26"/>
        <v>328</v>
      </c>
      <c r="B344" s="36">
        <f t="shared" si="24"/>
        <v>0</v>
      </c>
      <c r="C344" s="19">
        <f t="shared" si="25"/>
        <v>0</v>
      </c>
    </row>
    <row r="345" spans="1:3" x14ac:dyDescent="0.15">
      <c r="A345" s="14">
        <f t="shared" si="26"/>
        <v>329</v>
      </c>
      <c r="B345" s="36">
        <f t="shared" si="24"/>
        <v>0</v>
      </c>
      <c r="C345" s="19">
        <f t="shared" si="25"/>
        <v>0</v>
      </c>
    </row>
    <row r="346" spans="1:3" x14ac:dyDescent="0.15">
      <c r="A346" s="14">
        <f t="shared" si="26"/>
        <v>330</v>
      </c>
      <c r="B346" s="36">
        <f t="shared" si="24"/>
        <v>0</v>
      </c>
      <c r="C346" s="19">
        <f t="shared" si="25"/>
        <v>0</v>
      </c>
    </row>
    <row r="347" spans="1:3" x14ac:dyDescent="0.15">
      <c r="A347" s="14">
        <f t="shared" si="26"/>
        <v>331</v>
      </c>
      <c r="B347" s="36">
        <f t="shared" si="24"/>
        <v>0</v>
      </c>
      <c r="C347" s="19">
        <f t="shared" si="25"/>
        <v>0</v>
      </c>
    </row>
    <row r="348" spans="1:3" x14ac:dyDescent="0.15">
      <c r="A348" s="14">
        <f t="shared" si="26"/>
        <v>332</v>
      </c>
      <c r="B348" s="36">
        <f t="shared" si="24"/>
        <v>0</v>
      </c>
      <c r="C348" s="19">
        <f t="shared" si="25"/>
        <v>0</v>
      </c>
    </row>
    <row r="349" spans="1:3" x14ac:dyDescent="0.15">
      <c r="A349" s="14">
        <f t="shared" si="26"/>
        <v>333</v>
      </c>
      <c r="B349" s="36">
        <f t="shared" si="24"/>
        <v>0</v>
      </c>
      <c r="C349" s="19">
        <f t="shared" si="25"/>
        <v>0</v>
      </c>
    </row>
    <row r="350" spans="1:3" x14ac:dyDescent="0.15">
      <c r="A350" s="14">
        <f t="shared" si="26"/>
        <v>334</v>
      </c>
      <c r="B350" s="36">
        <f t="shared" si="24"/>
        <v>0</v>
      </c>
      <c r="C350" s="19">
        <f t="shared" si="25"/>
        <v>0</v>
      </c>
    </row>
    <row r="351" spans="1:3" x14ac:dyDescent="0.15">
      <c r="A351" s="14">
        <f t="shared" si="26"/>
        <v>335</v>
      </c>
      <c r="B351" s="36">
        <f t="shared" si="24"/>
        <v>0</v>
      </c>
      <c r="C351" s="19">
        <f t="shared" si="25"/>
        <v>0</v>
      </c>
    </row>
    <row r="352" spans="1:3" x14ac:dyDescent="0.15">
      <c r="A352" s="14">
        <f t="shared" si="26"/>
        <v>336</v>
      </c>
      <c r="B352" s="36">
        <f t="shared" si="24"/>
        <v>0</v>
      </c>
      <c r="C352" s="19">
        <f t="shared" si="25"/>
        <v>0</v>
      </c>
    </row>
    <row r="353" spans="1:3" x14ac:dyDescent="0.15">
      <c r="A353" s="14">
        <f t="shared" si="26"/>
        <v>337</v>
      </c>
      <c r="B353" s="36">
        <f t="shared" si="24"/>
        <v>0</v>
      </c>
      <c r="C353" s="19">
        <f t="shared" si="25"/>
        <v>0</v>
      </c>
    </row>
    <row r="354" spans="1:3" x14ac:dyDescent="0.15">
      <c r="A354" s="14">
        <f t="shared" si="26"/>
        <v>338</v>
      </c>
      <c r="B354" s="36">
        <f t="shared" si="24"/>
        <v>0</v>
      </c>
      <c r="C354" s="19">
        <f t="shared" si="25"/>
        <v>0</v>
      </c>
    </row>
    <row r="355" spans="1:3" x14ac:dyDescent="0.15">
      <c r="A355" s="14">
        <f t="shared" si="26"/>
        <v>339</v>
      </c>
      <c r="B355" s="36">
        <f t="shared" si="24"/>
        <v>0</v>
      </c>
      <c r="C355" s="19">
        <f t="shared" si="25"/>
        <v>0</v>
      </c>
    </row>
    <row r="356" spans="1:3" x14ac:dyDescent="0.15">
      <c r="A356" s="14">
        <f t="shared" si="26"/>
        <v>340</v>
      </c>
      <c r="B356" s="36">
        <f t="shared" si="24"/>
        <v>0</v>
      </c>
      <c r="C356" s="19">
        <f t="shared" si="25"/>
        <v>0</v>
      </c>
    </row>
    <row r="357" spans="1:3" x14ac:dyDescent="0.15">
      <c r="A357" s="14">
        <f t="shared" si="26"/>
        <v>341</v>
      </c>
      <c r="B357" s="36">
        <f t="shared" si="24"/>
        <v>0</v>
      </c>
      <c r="C357" s="19">
        <f t="shared" si="25"/>
        <v>0</v>
      </c>
    </row>
    <row r="358" spans="1:3" x14ac:dyDescent="0.15">
      <c r="A358" s="14">
        <f t="shared" si="26"/>
        <v>342</v>
      </c>
      <c r="B358" s="36">
        <f t="shared" si="24"/>
        <v>0</v>
      </c>
      <c r="C358" s="19">
        <f t="shared" si="25"/>
        <v>0</v>
      </c>
    </row>
    <row r="359" spans="1:3" x14ac:dyDescent="0.15">
      <c r="A359" s="14">
        <f t="shared" si="26"/>
        <v>343</v>
      </c>
      <c r="B359" s="36">
        <f t="shared" si="24"/>
        <v>0</v>
      </c>
      <c r="C359" s="19">
        <f t="shared" si="25"/>
        <v>0</v>
      </c>
    </row>
    <row r="360" spans="1:3" x14ac:dyDescent="0.15">
      <c r="A360" s="14">
        <f t="shared" si="26"/>
        <v>344</v>
      </c>
      <c r="B360" s="36">
        <f t="shared" si="24"/>
        <v>0</v>
      </c>
      <c r="C360" s="19">
        <f t="shared" si="25"/>
        <v>0</v>
      </c>
    </row>
    <row r="361" spans="1:3" x14ac:dyDescent="0.15">
      <c r="A361" s="14">
        <f t="shared" si="26"/>
        <v>345</v>
      </c>
      <c r="B361" s="36">
        <f t="shared" si="24"/>
        <v>0</v>
      </c>
      <c r="C361" s="19">
        <f t="shared" si="25"/>
        <v>0</v>
      </c>
    </row>
    <row r="362" spans="1:3" x14ac:dyDescent="0.15">
      <c r="A362" s="14">
        <f t="shared" si="26"/>
        <v>346</v>
      </c>
      <c r="B362" s="36">
        <f t="shared" si="24"/>
        <v>0</v>
      </c>
      <c r="C362" s="19">
        <f t="shared" si="25"/>
        <v>0</v>
      </c>
    </row>
    <row r="363" spans="1:3" x14ac:dyDescent="0.15">
      <c r="A363" s="14">
        <f t="shared" si="26"/>
        <v>347</v>
      </c>
      <c r="B363" s="36">
        <f t="shared" si="24"/>
        <v>0</v>
      </c>
      <c r="C363" s="19">
        <f t="shared" si="25"/>
        <v>0</v>
      </c>
    </row>
    <row r="364" spans="1:3" x14ac:dyDescent="0.15">
      <c r="A364" s="14">
        <f t="shared" si="26"/>
        <v>348</v>
      </c>
      <c r="B364" s="36">
        <f t="shared" si="24"/>
        <v>0</v>
      </c>
      <c r="C364" s="19">
        <f t="shared" si="25"/>
        <v>0</v>
      </c>
    </row>
    <row r="365" spans="1:3" x14ac:dyDescent="0.15">
      <c r="A365" s="14">
        <f t="shared" si="26"/>
        <v>349</v>
      </c>
      <c r="B365" s="36">
        <f t="shared" si="24"/>
        <v>0</v>
      </c>
      <c r="C365" s="19">
        <f t="shared" si="25"/>
        <v>0</v>
      </c>
    </row>
    <row r="366" spans="1:3" x14ac:dyDescent="0.15">
      <c r="A366" s="14">
        <f t="shared" si="26"/>
        <v>350</v>
      </c>
      <c r="B366" s="36">
        <f t="shared" si="24"/>
        <v>0</v>
      </c>
      <c r="C366" s="19">
        <f t="shared" si="25"/>
        <v>0</v>
      </c>
    </row>
    <row r="367" spans="1:3" x14ac:dyDescent="0.15">
      <c r="A367" s="14">
        <f t="shared" si="26"/>
        <v>351</v>
      </c>
      <c r="B367" s="36">
        <f t="shared" si="24"/>
        <v>0</v>
      </c>
      <c r="C367" s="19">
        <f t="shared" si="25"/>
        <v>0</v>
      </c>
    </row>
    <row r="368" spans="1:3" x14ac:dyDescent="0.15">
      <c r="A368" s="14">
        <f t="shared" si="26"/>
        <v>352</v>
      </c>
      <c r="B368" s="36">
        <f t="shared" si="24"/>
        <v>0</v>
      </c>
      <c r="C368" s="19">
        <f t="shared" si="25"/>
        <v>0</v>
      </c>
    </row>
    <row r="369" spans="1:3" x14ac:dyDescent="0.15">
      <c r="A369" s="14">
        <f t="shared" si="26"/>
        <v>353</v>
      </c>
      <c r="B369" s="36">
        <f t="shared" si="24"/>
        <v>0</v>
      </c>
      <c r="C369" s="19">
        <f t="shared" si="25"/>
        <v>0</v>
      </c>
    </row>
    <row r="370" spans="1:3" x14ac:dyDescent="0.15">
      <c r="A370" s="14">
        <f t="shared" si="26"/>
        <v>354</v>
      </c>
      <c r="B370" s="36">
        <f t="shared" si="24"/>
        <v>0</v>
      </c>
      <c r="C370" s="19">
        <f t="shared" si="25"/>
        <v>0</v>
      </c>
    </row>
    <row r="371" spans="1:3" x14ac:dyDescent="0.15">
      <c r="A371" s="14">
        <f t="shared" si="26"/>
        <v>355</v>
      </c>
      <c r="B371" s="36">
        <f t="shared" si="24"/>
        <v>0</v>
      </c>
      <c r="C371" s="19">
        <f t="shared" si="25"/>
        <v>0</v>
      </c>
    </row>
    <row r="372" spans="1:3" x14ac:dyDescent="0.15">
      <c r="A372" s="14">
        <f t="shared" si="26"/>
        <v>356</v>
      </c>
      <c r="B372" s="36">
        <f t="shared" si="24"/>
        <v>0</v>
      </c>
      <c r="C372" s="19">
        <f t="shared" si="25"/>
        <v>0</v>
      </c>
    </row>
    <row r="373" spans="1:3" x14ac:dyDescent="0.15">
      <c r="A373" s="14">
        <f t="shared" si="26"/>
        <v>357</v>
      </c>
      <c r="B373" s="36">
        <f t="shared" si="24"/>
        <v>0</v>
      </c>
      <c r="C373" s="19">
        <f t="shared" si="25"/>
        <v>0</v>
      </c>
    </row>
    <row r="374" spans="1:3" x14ac:dyDescent="0.15">
      <c r="A374" s="14">
        <f t="shared" si="26"/>
        <v>358</v>
      </c>
      <c r="B374" s="36">
        <f t="shared" si="24"/>
        <v>0</v>
      </c>
      <c r="C374" s="19">
        <f t="shared" si="25"/>
        <v>0</v>
      </c>
    </row>
    <row r="375" spans="1:3" x14ac:dyDescent="0.15">
      <c r="A375" s="14">
        <f t="shared" si="26"/>
        <v>359</v>
      </c>
      <c r="B375" s="36">
        <f t="shared" si="24"/>
        <v>0</v>
      </c>
      <c r="C375" s="19">
        <f t="shared" si="25"/>
        <v>0</v>
      </c>
    </row>
    <row r="376" spans="1:3" x14ac:dyDescent="0.15">
      <c r="A376" s="14">
        <f t="shared" si="26"/>
        <v>360</v>
      </c>
      <c r="B376" s="36">
        <f t="shared" si="24"/>
        <v>0</v>
      </c>
      <c r="C376" s="19">
        <f t="shared" si="2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selection activeCell="I26" sqref="I26"/>
    </sheetView>
  </sheetViews>
  <sheetFormatPr baseColWidth="10" defaultColWidth="8.83203125" defaultRowHeight="15" x14ac:dyDescent="0.2"/>
  <cols>
    <col min="1" max="1" width="5.5" style="1" customWidth="1"/>
    <col min="2" max="2" width="6" style="1" customWidth="1"/>
    <col min="3" max="5" width="8.83203125" style="1"/>
    <col min="6" max="6" width="6.5" style="1" customWidth="1"/>
    <col min="7" max="7" width="11.5" style="1" customWidth="1"/>
    <col min="8" max="9" width="8.83203125" style="1"/>
    <col min="10" max="10" width="12.5" style="1" customWidth="1"/>
    <col min="11" max="11" width="15.5" customWidth="1"/>
  </cols>
  <sheetData>
    <row r="1" spans="1:11" x14ac:dyDescent="0.2">
      <c r="G1" s="44"/>
      <c r="H1" s="44"/>
      <c r="I1" s="44"/>
      <c r="J1" s="44"/>
    </row>
    <row r="2" spans="1:11" x14ac:dyDescent="0.2">
      <c r="G2" s="44"/>
      <c r="H2" s="44"/>
      <c r="I2" s="44"/>
      <c r="J2" s="46" t="s">
        <v>92</v>
      </c>
    </row>
    <row r="3" spans="1:11" x14ac:dyDescent="0.2">
      <c r="J3" s="46" t="s">
        <v>93</v>
      </c>
    </row>
    <row r="4" spans="1:11" ht="16" x14ac:dyDescent="0.2">
      <c r="A4" s="48" t="s">
        <v>91</v>
      </c>
      <c r="J4" s="46" t="s">
        <v>94</v>
      </c>
    </row>
    <row r="5" spans="1:11" ht="16" x14ac:dyDescent="0.2">
      <c r="A5" s="48"/>
      <c r="J5" s="46"/>
    </row>
    <row r="6" spans="1:11" ht="16" x14ac:dyDescent="0.2">
      <c r="A6" s="48"/>
      <c r="J6" s="46"/>
    </row>
    <row r="7" spans="1:11" ht="16" x14ac:dyDescent="0.2">
      <c r="A7" s="48"/>
    </row>
    <row r="8" spans="1:11" x14ac:dyDescent="0.2">
      <c r="A8" s="539">
        <f>Eligibility!E16</f>
        <v>43757</v>
      </c>
      <c r="B8" s="539"/>
      <c r="C8" s="539"/>
      <c r="D8" s="539"/>
      <c r="E8" s="539"/>
      <c r="F8" s="539"/>
      <c r="G8" s="539"/>
      <c r="H8" s="539"/>
      <c r="I8" s="539"/>
      <c r="J8" s="539"/>
      <c r="K8" s="96"/>
    </row>
    <row r="9" spans="1:11" x14ac:dyDescent="0.2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</row>
    <row r="10" spans="1:11" x14ac:dyDescent="0.2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</row>
    <row r="12" spans="1:11" x14ac:dyDescent="0.2">
      <c r="A12" s="1" t="str">
        <f>Eligibility!D23</f>
        <v>Mickey Mouse</v>
      </c>
    </row>
    <row r="13" spans="1:11" x14ac:dyDescent="0.2">
      <c r="A13" s="1" t="str">
        <f>Eligibility!N10</f>
        <v>Olani Street</v>
      </c>
    </row>
    <row r="14" spans="1:11" x14ac:dyDescent="0.2">
      <c r="A14" s="1" t="str">
        <f>Eligibility!N11</f>
        <v>Kapolei, HI 96707</v>
      </c>
    </row>
    <row r="17" spans="1:8" x14ac:dyDescent="0.2">
      <c r="A17" s="1" t="s">
        <v>42</v>
      </c>
    </row>
    <row r="19" spans="1:8" x14ac:dyDescent="0.2">
      <c r="A19" s="1" t="s">
        <v>264</v>
      </c>
    </row>
    <row r="20" spans="1:8" x14ac:dyDescent="0.2">
      <c r="A20" s="1" t="s">
        <v>265</v>
      </c>
    </row>
    <row r="21" spans="1:8" x14ac:dyDescent="0.2">
      <c r="A21" s="1" t="s">
        <v>266</v>
      </c>
    </row>
    <row r="22" spans="1:8" x14ac:dyDescent="0.2">
      <c r="A22" s="1" t="s">
        <v>263</v>
      </c>
    </row>
    <row r="24" spans="1:8" x14ac:dyDescent="0.2">
      <c r="B24" s="5" t="s">
        <v>145</v>
      </c>
      <c r="C24" s="99" t="str">
        <f>Eligibility!N23</f>
        <v>Valid government ID</v>
      </c>
    </row>
    <row r="25" spans="1:8" x14ac:dyDescent="0.2">
      <c r="B25" s="5" t="s">
        <v>145</v>
      </c>
      <c r="C25" s="99" t="str">
        <f>Eligibility!N24</f>
        <v xml:space="preserve">- - - </v>
      </c>
    </row>
    <row r="26" spans="1:8" x14ac:dyDescent="0.2">
      <c r="B26" s="5" t="s">
        <v>145</v>
      </c>
      <c r="C26" s="100" t="str">
        <f>Eligibility!N25</f>
        <v xml:space="preserve">- - - </v>
      </c>
    </row>
    <row r="27" spans="1:8" x14ac:dyDescent="0.2">
      <c r="B27" s="5" t="s">
        <v>145</v>
      </c>
      <c r="C27" s="99" t="str">
        <f>Eligibility!N26</f>
        <v xml:space="preserve">- - - </v>
      </c>
    </row>
    <row r="28" spans="1:8" x14ac:dyDescent="0.2">
      <c r="B28" s="45"/>
    </row>
    <row r="29" spans="1:8" s="1" customFormat="1" ht="14" x14ac:dyDescent="0.15">
      <c r="A29" s="1" t="s">
        <v>162</v>
      </c>
      <c r="B29" s="45"/>
      <c r="G29" s="102">
        <f>Eligibility!I16</f>
        <v>43788</v>
      </c>
      <c r="H29" s="1" t="s">
        <v>163</v>
      </c>
    </row>
    <row r="30" spans="1:8" s="1" customFormat="1" ht="14" x14ac:dyDescent="0.15">
      <c r="A30" s="1" t="s">
        <v>323</v>
      </c>
    </row>
    <row r="31" spans="1:8" x14ac:dyDescent="0.2">
      <c r="B31" s="5"/>
    </row>
    <row r="32" spans="1:8" x14ac:dyDescent="0.2">
      <c r="A32" s="1" t="s">
        <v>146</v>
      </c>
      <c r="B32" s="45"/>
    </row>
    <row r="33" spans="1:6" x14ac:dyDescent="0.2">
      <c r="A33" s="1" t="s">
        <v>147</v>
      </c>
      <c r="B33" s="45"/>
    </row>
    <row r="35" spans="1:6" x14ac:dyDescent="0.2">
      <c r="F35" s="1" t="s">
        <v>66</v>
      </c>
    </row>
    <row r="39" spans="1:6" x14ac:dyDescent="0.2">
      <c r="F39" s="1" t="str">
        <f>Eligibility!D43</f>
        <v>Cindy Nawilis</v>
      </c>
    </row>
    <row r="40" spans="1:6" x14ac:dyDescent="0.2">
      <c r="F40" s="1" t="str">
        <f>Eligibility!F43</f>
        <v>Loan Processor</v>
      </c>
    </row>
    <row r="41" spans="1:6" x14ac:dyDescent="0.2">
      <c r="F41" s="1" t="str">
        <f>Eligibility!I43</f>
        <v>slackme@email.com</v>
      </c>
    </row>
    <row r="43" spans="1:6" x14ac:dyDescent="0.2">
      <c r="A43" s="1" t="s">
        <v>90</v>
      </c>
      <c r="B43" s="1" t="str">
        <f>Eligibility!C49</f>
        <v>Disney Solar</v>
      </c>
    </row>
  </sheetData>
  <sheetProtection insertHyperlinks="0" selectLockedCells="1" selectUnlockedCells="1"/>
  <mergeCells count="1">
    <mergeCell ref="A8:J8"/>
  </mergeCells>
  <printOptions horizontalCentered="1"/>
  <pageMargins left="0.7" right="0.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topLeftCell="A22" workbookViewId="0">
      <selection activeCell="J48" sqref="J48"/>
    </sheetView>
  </sheetViews>
  <sheetFormatPr baseColWidth="10" defaultColWidth="8.83203125" defaultRowHeight="15" x14ac:dyDescent="0.2"/>
  <cols>
    <col min="1" max="2" width="3.5" style="1" customWidth="1"/>
    <col min="3" max="3" width="5.5" style="1" customWidth="1"/>
    <col min="4" max="10" width="8.5" style="1"/>
    <col min="11" max="11" width="21.5" customWidth="1"/>
  </cols>
  <sheetData>
    <row r="1" spans="1:11" x14ac:dyDescent="0.2">
      <c r="G1" s="44"/>
      <c r="H1" s="44"/>
      <c r="I1" s="44"/>
      <c r="J1" s="44"/>
    </row>
    <row r="2" spans="1:11" x14ac:dyDescent="0.2">
      <c r="G2" s="44"/>
      <c r="H2" s="44"/>
      <c r="I2" s="44"/>
      <c r="J2" s="44"/>
      <c r="K2" s="46" t="s">
        <v>92</v>
      </c>
    </row>
    <row r="3" spans="1:11" x14ac:dyDescent="0.2">
      <c r="K3" s="46" t="s">
        <v>93</v>
      </c>
    </row>
    <row r="4" spans="1:11" ht="16" x14ac:dyDescent="0.2">
      <c r="A4" s="48" t="s">
        <v>91</v>
      </c>
      <c r="K4" s="46" t="s">
        <v>94</v>
      </c>
    </row>
    <row r="5" spans="1:11" ht="16" x14ac:dyDescent="0.2">
      <c r="A5" s="48"/>
    </row>
    <row r="6" spans="1:11" x14ac:dyDescent="0.2">
      <c r="A6" s="540">
        <f>Eligibility!E45</f>
        <v>43760</v>
      </c>
      <c r="B6" s="540"/>
      <c r="C6" s="540"/>
      <c r="D6" s="540"/>
      <c r="E6" s="540"/>
      <c r="F6" s="540"/>
      <c r="G6" s="540"/>
      <c r="H6" s="540"/>
      <c r="I6" s="540"/>
      <c r="J6" s="540"/>
      <c r="K6" s="540"/>
    </row>
    <row r="7" spans="1:11" x14ac:dyDescent="0.2">
      <c r="A7" s="44"/>
      <c r="B7" s="44"/>
      <c r="C7" s="44"/>
      <c r="D7" s="44"/>
      <c r="E7" s="44"/>
      <c r="F7" s="44"/>
      <c r="G7" s="44"/>
      <c r="H7" s="44"/>
      <c r="I7" s="44"/>
      <c r="J7" s="44"/>
      <c r="K7" s="49"/>
    </row>
    <row r="8" spans="1:11" x14ac:dyDescent="0.2">
      <c r="A8" s="44" t="str">
        <f>Eligibility!D23</f>
        <v>Mickey Mouse</v>
      </c>
      <c r="B8" s="44"/>
      <c r="C8" s="44"/>
      <c r="D8" s="44"/>
      <c r="E8" s="44"/>
      <c r="F8" s="44"/>
      <c r="G8" s="44"/>
      <c r="H8" s="44"/>
      <c r="I8" s="44"/>
      <c r="J8" s="44"/>
      <c r="K8" s="49"/>
    </row>
    <row r="9" spans="1:11" x14ac:dyDescent="0.2">
      <c r="A9" s="44" t="str">
        <f>Eligibility!N10</f>
        <v>Olani Street</v>
      </c>
      <c r="B9" s="44"/>
      <c r="C9" s="44"/>
      <c r="D9" s="44"/>
      <c r="E9" s="44"/>
      <c r="F9" s="44"/>
      <c r="G9" s="44"/>
      <c r="H9" s="44"/>
      <c r="I9" s="44"/>
      <c r="J9" s="44"/>
      <c r="K9" s="49"/>
    </row>
    <row r="10" spans="1:11" x14ac:dyDescent="0.2">
      <c r="A10" s="44" t="str">
        <f>Eligibility!N11</f>
        <v>Kapolei, HI 96707</v>
      </c>
      <c r="B10" s="44"/>
      <c r="C10" s="44"/>
      <c r="D10" s="44"/>
      <c r="E10" s="44"/>
      <c r="F10" s="44"/>
      <c r="G10" s="44"/>
      <c r="H10" s="44"/>
      <c r="I10" s="44"/>
      <c r="J10" s="44"/>
      <c r="K10" s="49"/>
    </row>
    <row r="11" spans="1:11" x14ac:dyDescent="0.2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9"/>
    </row>
    <row r="12" spans="1:11" x14ac:dyDescent="0.2">
      <c r="A12" s="44" t="s">
        <v>42</v>
      </c>
      <c r="B12" s="44"/>
      <c r="C12" s="44"/>
      <c r="D12" s="44"/>
      <c r="E12" s="44"/>
      <c r="F12" s="44"/>
      <c r="G12" s="44"/>
      <c r="H12" s="44"/>
      <c r="I12" s="44"/>
      <c r="J12" s="44"/>
      <c r="K12" s="49"/>
    </row>
    <row r="13" spans="1:11" x14ac:dyDescent="0.2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9"/>
    </row>
    <row r="14" spans="1:11" x14ac:dyDescent="0.2">
      <c r="A14" s="44" t="s">
        <v>287</v>
      </c>
      <c r="B14" s="44"/>
      <c r="C14" s="44"/>
      <c r="D14" s="44"/>
      <c r="E14" s="44"/>
      <c r="F14" s="44"/>
      <c r="G14" s="44"/>
      <c r="H14" s="44"/>
      <c r="I14" s="44"/>
      <c r="J14" s="44"/>
      <c r="K14" s="49"/>
    </row>
    <row r="15" spans="1:11" x14ac:dyDescent="0.2">
      <c r="A15" s="44" t="s">
        <v>288</v>
      </c>
      <c r="B15" s="44"/>
      <c r="C15" s="44"/>
      <c r="D15" s="44"/>
      <c r="E15" s="44"/>
      <c r="F15" s="44"/>
      <c r="G15" s="44"/>
      <c r="H15" s="44"/>
      <c r="I15" s="44"/>
      <c r="J15" s="44"/>
      <c r="K15" s="49"/>
    </row>
    <row r="16" spans="1:11" x14ac:dyDescent="0.2">
      <c r="A16" s="44" t="s">
        <v>289</v>
      </c>
      <c r="B16" s="44"/>
      <c r="C16" s="44"/>
      <c r="D16" s="44"/>
      <c r="E16" s="44"/>
      <c r="F16" s="44"/>
      <c r="G16" s="44"/>
      <c r="H16" s="44"/>
      <c r="I16" s="44"/>
      <c r="J16" s="44"/>
      <c r="K16" s="49"/>
    </row>
    <row r="17" spans="1:11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9"/>
    </row>
    <row r="18" spans="1:11" x14ac:dyDescent="0.2">
      <c r="A18" s="44" t="s">
        <v>290</v>
      </c>
      <c r="B18" s="44"/>
      <c r="C18" s="44"/>
      <c r="D18" s="44"/>
      <c r="E18" s="44"/>
      <c r="F18" s="44"/>
      <c r="G18" s="44"/>
      <c r="H18" s="44"/>
      <c r="I18" s="44"/>
      <c r="J18" s="44"/>
      <c r="K18" s="49"/>
    </row>
    <row r="19" spans="1:11" x14ac:dyDescent="0.2">
      <c r="A19" s="44" t="s">
        <v>291</v>
      </c>
      <c r="B19" s="44"/>
      <c r="C19" s="44"/>
      <c r="D19" s="44"/>
      <c r="E19" s="44"/>
      <c r="F19" s="44"/>
      <c r="G19" s="44"/>
      <c r="H19" s="44"/>
      <c r="I19" s="44"/>
      <c r="J19" s="44"/>
      <c r="K19" s="49"/>
    </row>
    <row r="20" spans="1:11" x14ac:dyDescent="0.2">
      <c r="A20" s="44"/>
      <c r="B20" s="53" t="s">
        <v>7</v>
      </c>
      <c r="C20" s="44" t="s">
        <v>63</v>
      </c>
      <c r="D20" s="44"/>
      <c r="E20" s="44"/>
      <c r="F20" s="44"/>
      <c r="G20" s="44"/>
      <c r="H20" s="44"/>
      <c r="I20" s="44"/>
      <c r="J20" s="44"/>
      <c r="K20" s="49"/>
    </row>
    <row r="21" spans="1:11" x14ac:dyDescent="0.2">
      <c r="A21" s="44"/>
      <c r="B21" s="345" t="s">
        <v>9</v>
      </c>
      <c r="C21" s="44" t="s">
        <v>293</v>
      </c>
      <c r="D21" s="44"/>
      <c r="E21" s="44"/>
      <c r="F21" s="44"/>
      <c r="G21" s="44"/>
      <c r="H21" s="44"/>
      <c r="I21" s="44"/>
      <c r="J21" s="44"/>
      <c r="K21" s="49"/>
    </row>
    <row r="22" spans="1:11" x14ac:dyDescent="0.2">
      <c r="A22" s="44"/>
      <c r="B22" s="44"/>
      <c r="C22" s="44" t="s">
        <v>292</v>
      </c>
      <c r="D22" s="44"/>
      <c r="E22" s="44"/>
      <c r="F22" s="44"/>
      <c r="G22" s="44"/>
      <c r="H22" s="44"/>
      <c r="I22" s="44"/>
      <c r="J22" s="44"/>
      <c r="K22" s="49"/>
    </row>
    <row r="23" spans="1:11" x14ac:dyDescent="0.2">
      <c r="A23" s="44"/>
      <c r="B23" s="345" t="s">
        <v>11</v>
      </c>
      <c r="C23" s="44" t="s">
        <v>294</v>
      </c>
      <c r="D23" s="44"/>
      <c r="E23" s="44"/>
      <c r="F23" s="44"/>
      <c r="G23" s="44"/>
      <c r="H23" s="44"/>
      <c r="I23" s="44"/>
      <c r="J23" s="44"/>
      <c r="K23" s="49"/>
    </row>
    <row r="24" spans="1:11" x14ac:dyDescent="0.2">
      <c r="A24" s="44"/>
      <c r="B24" s="44"/>
      <c r="C24" s="44" t="s">
        <v>295</v>
      </c>
      <c r="D24" s="44"/>
      <c r="E24" s="44"/>
      <c r="F24" s="44"/>
      <c r="G24" s="44"/>
      <c r="H24" s="44"/>
      <c r="I24" s="44"/>
      <c r="J24" s="44"/>
      <c r="K24" s="49"/>
    </row>
    <row r="25" spans="1:11" x14ac:dyDescent="0.2">
      <c r="A25" s="44"/>
      <c r="B25" s="53" t="s">
        <v>64</v>
      </c>
      <c r="C25" s="44" t="s">
        <v>88</v>
      </c>
      <c r="D25" s="44"/>
      <c r="E25" s="44"/>
      <c r="F25" s="44"/>
      <c r="G25" s="44"/>
      <c r="H25" s="44"/>
      <c r="I25" s="44"/>
      <c r="J25" s="44"/>
      <c r="K25" s="49"/>
    </row>
    <row r="26" spans="1:11" x14ac:dyDescent="0.2">
      <c r="A26" s="44"/>
      <c r="B26" s="345" t="s">
        <v>65</v>
      </c>
      <c r="C26" s="346" t="s">
        <v>319</v>
      </c>
      <c r="D26" s="44"/>
      <c r="E26" s="44"/>
      <c r="F26" s="44"/>
      <c r="G26" s="44"/>
      <c r="H26" s="44"/>
      <c r="I26" s="44"/>
      <c r="J26" s="44"/>
      <c r="K26" s="49"/>
    </row>
    <row r="27" spans="1:11" x14ac:dyDescent="0.2">
      <c r="A27" s="44"/>
      <c r="B27" s="345"/>
      <c r="C27" s="346" t="s">
        <v>313</v>
      </c>
      <c r="D27" s="44"/>
      <c r="E27" s="44"/>
      <c r="F27" s="44"/>
      <c r="G27" s="44"/>
      <c r="H27" s="44"/>
      <c r="I27" s="44"/>
      <c r="J27" s="44"/>
      <c r="K27" s="49"/>
    </row>
    <row r="28" spans="1:11" x14ac:dyDescent="0.2">
      <c r="A28" s="44"/>
      <c r="B28" s="345"/>
      <c r="C28" s="346" t="s">
        <v>314</v>
      </c>
      <c r="D28" s="44"/>
      <c r="E28" s="44"/>
      <c r="F28" s="44"/>
      <c r="G28" s="44"/>
      <c r="H28" s="44"/>
      <c r="I28" s="44"/>
      <c r="J28" s="44"/>
      <c r="K28" s="49"/>
    </row>
    <row r="29" spans="1:11" x14ac:dyDescent="0.2">
      <c r="A29" s="44"/>
      <c r="B29" s="345"/>
      <c r="C29" s="346" t="s">
        <v>315</v>
      </c>
      <c r="D29" s="44"/>
      <c r="E29" s="44"/>
      <c r="F29" s="44"/>
      <c r="G29" s="44"/>
      <c r="H29" s="44"/>
      <c r="I29" s="44"/>
      <c r="J29" s="44"/>
      <c r="K29" s="49"/>
    </row>
    <row r="30" spans="1:11" x14ac:dyDescent="0.2">
      <c r="A30" s="44"/>
      <c r="B30" s="44"/>
      <c r="C30" s="346" t="s">
        <v>317</v>
      </c>
      <c r="D30" s="44"/>
      <c r="E30" s="44"/>
      <c r="F30" s="44"/>
      <c r="G30" s="44"/>
      <c r="H30" s="44"/>
      <c r="I30" s="44"/>
      <c r="J30" s="44"/>
      <c r="K30" s="49"/>
    </row>
    <row r="31" spans="1:11" x14ac:dyDescent="0.2">
      <c r="A31" s="44"/>
      <c r="B31" s="44"/>
      <c r="C31" s="346" t="s">
        <v>316</v>
      </c>
      <c r="D31" s="44"/>
      <c r="E31" s="44"/>
      <c r="F31" s="44"/>
      <c r="G31" s="44"/>
      <c r="H31" s="44"/>
      <c r="I31" s="44"/>
      <c r="J31" s="44"/>
      <c r="K31" s="49"/>
    </row>
    <row r="32" spans="1:11" x14ac:dyDescent="0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9"/>
    </row>
    <row r="33" spans="1:11" x14ac:dyDescent="0.2">
      <c r="A33" s="44" t="s">
        <v>428</v>
      </c>
      <c r="B33" s="44"/>
      <c r="C33" s="44"/>
      <c r="D33" s="44"/>
      <c r="E33" s="44"/>
      <c r="F33" s="44"/>
      <c r="G33" s="44"/>
      <c r="H33" s="44"/>
      <c r="I33" s="44"/>
      <c r="J33" s="44"/>
      <c r="K33" s="49"/>
    </row>
    <row r="34" spans="1:11" x14ac:dyDescent="0.2">
      <c r="A34" s="44" t="s">
        <v>296</v>
      </c>
      <c r="B34" s="44"/>
      <c r="C34" s="44"/>
      <c r="D34" s="44"/>
      <c r="E34" s="44"/>
      <c r="F34" s="44"/>
      <c r="G34" s="44"/>
      <c r="H34" s="44"/>
      <c r="I34" s="44"/>
      <c r="J34" s="44"/>
      <c r="K34" s="49"/>
    </row>
    <row r="35" spans="1:11" x14ac:dyDescent="0.2">
      <c r="A35" s="44" t="s">
        <v>297</v>
      </c>
      <c r="B35" s="44"/>
      <c r="C35" s="44"/>
      <c r="D35" s="44"/>
      <c r="E35" s="44"/>
      <c r="F35" s="44"/>
      <c r="G35" s="44"/>
      <c r="H35" s="44"/>
      <c r="I35" s="44"/>
      <c r="J35" s="44"/>
      <c r="K35" s="49"/>
    </row>
    <row r="36" spans="1:11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9"/>
    </row>
    <row r="37" spans="1:11" x14ac:dyDescent="0.2">
      <c r="A37" s="44" t="s">
        <v>298</v>
      </c>
      <c r="B37" s="44"/>
      <c r="C37" s="44"/>
      <c r="D37" s="44"/>
      <c r="E37" s="44"/>
      <c r="F37" s="44"/>
      <c r="G37" s="44"/>
      <c r="H37" s="44"/>
      <c r="I37" s="44"/>
      <c r="J37" s="44"/>
      <c r="K37" s="49"/>
    </row>
    <row r="38" spans="1:11" x14ac:dyDescent="0.2">
      <c r="A38" s="44" t="s">
        <v>299</v>
      </c>
      <c r="B38" s="44"/>
      <c r="C38" s="44"/>
      <c r="D38" s="44"/>
      <c r="E38" s="44"/>
      <c r="F38" s="44"/>
      <c r="G38" s="44"/>
      <c r="H38" s="44"/>
      <c r="I38" s="44"/>
      <c r="J38" s="44"/>
      <c r="K38" s="49"/>
    </row>
    <row r="39" spans="1:11" x14ac:dyDescent="0.2">
      <c r="A39" s="44" t="s">
        <v>300</v>
      </c>
      <c r="B39" s="44"/>
      <c r="C39" s="44"/>
      <c r="D39" s="44"/>
      <c r="E39" s="44"/>
      <c r="F39" s="44"/>
      <c r="G39" s="44"/>
      <c r="H39" s="44"/>
      <c r="I39" s="44"/>
      <c r="J39" s="44"/>
      <c r="K39" s="49"/>
    </row>
    <row r="40" spans="1:11" x14ac:dyDescent="0.2">
      <c r="A40" s="44" t="s">
        <v>301</v>
      </c>
      <c r="B40" s="44"/>
      <c r="C40" s="44"/>
      <c r="D40" s="44"/>
      <c r="E40" s="44"/>
      <c r="F40" s="44"/>
      <c r="G40" s="44"/>
      <c r="H40" s="44"/>
      <c r="I40" s="44"/>
      <c r="J40" s="44"/>
      <c r="K40" s="49"/>
    </row>
    <row r="41" spans="1:11" x14ac:dyDescent="0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9"/>
    </row>
    <row r="42" spans="1:11" x14ac:dyDescent="0.2">
      <c r="A42" s="44" t="s">
        <v>318</v>
      </c>
      <c r="B42" s="44"/>
      <c r="C42" s="44"/>
      <c r="D42" s="44"/>
      <c r="E42" s="44"/>
      <c r="F42" s="44"/>
      <c r="G42" s="44"/>
      <c r="H42" s="44"/>
      <c r="I42" s="44"/>
      <c r="J42" s="44"/>
      <c r="K42" s="49"/>
    </row>
    <row r="43" spans="1:11" x14ac:dyDescent="0.2">
      <c r="A43" s="44" t="s">
        <v>382</v>
      </c>
      <c r="B43" s="44"/>
      <c r="C43" s="44"/>
      <c r="D43" s="404">
        <f>Eligibility!G45</f>
        <v>43820</v>
      </c>
      <c r="E43" s="44" t="s">
        <v>383</v>
      </c>
      <c r="F43" s="44"/>
      <c r="G43" s="44"/>
      <c r="H43" s="44"/>
      <c r="I43" s="44"/>
      <c r="J43" s="44"/>
      <c r="K43" s="49"/>
    </row>
    <row r="44" spans="1:11" x14ac:dyDescent="0.2">
      <c r="A44" s="44" t="s">
        <v>376</v>
      </c>
      <c r="B44" s="44"/>
      <c r="C44" s="44"/>
      <c r="D44" s="44"/>
      <c r="E44" s="44"/>
      <c r="F44" s="44"/>
      <c r="G44" s="44"/>
      <c r="H44" s="44"/>
      <c r="I44" s="44"/>
      <c r="J44" s="44"/>
      <c r="K44" s="49"/>
    </row>
    <row r="45" spans="1:11" x14ac:dyDescent="0.2">
      <c r="A45" s="44" t="s">
        <v>302</v>
      </c>
      <c r="B45" s="44"/>
      <c r="C45" s="44"/>
      <c r="D45" s="44"/>
      <c r="E45" s="44"/>
      <c r="F45" s="44"/>
      <c r="G45" s="44"/>
      <c r="H45" s="44"/>
      <c r="I45" s="44"/>
      <c r="J45" s="44"/>
      <c r="K45" s="49"/>
    </row>
    <row r="46" spans="1:11" x14ac:dyDescent="0.2">
      <c r="A46" s="44"/>
      <c r="B46" s="44"/>
      <c r="C46" s="44"/>
      <c r="D46" s="44"/>
      <c r="E46" s="44" t="s">
        <v>380</v>
      </c>
      <c r="F46" s="44"/>
      <c r="G46" s="44" t="s">
        <v>66</v>
      </c>
      <c r="H46" s="44"/>
      <c r="I46" s="44"/>
      <c r="J46" s="44"/>
      <c r="K46" s="49"/>
    </row>
    <row r="47" spans="1:11" x14ac:dyDescent="0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9"/>
    </row>
    <row r="48" spans="1:11" x14ac:dyDescent="0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9"/>
    </row>
    <row r="49" spans="1:11" x14ac:dyDescent="0.2">
      <c r="A49" s="44"/>
      <c r="B49" s="44"/>
      <c r="C49" s="44"/>
      <c r="D49" s="44"/>
      <c r="E49" s="44"/>
      <c r="F49" s="44"/>
      <c r="G49" s="44" t="str">
        <f>Eligibility!D43</f>
        <v>Cindy Nawilis</v>
      </c>
      <c r="H49" s="44"/>
      <c r="I49" s="44"/>
      <c r="J49" s="44"/>
      <c r="K49" s="49"/>
    </row>
    <row r="50" spans="1:11" x14ac:dyDescent="0.2">
      <c r="A50" s="44"/>
      <c r="B50" s="44"/>
      <c r="C50" s="44"/>
      <c r="D50" s="44"/>
      <c r="E50" s="44"/>
      <c r="F50" s="44"/>
      <c r="G50" s="44" t="str">
        <f>Eligibility!F43</f>
        <v>Loan Processor</v>
      </c>
      <c r="H50" s="44"/>
      <c r="I50" s="44"/>
      <c r="J50" s="44"/>
      <c r="K50" s="49"/>
    </row>
    <row r="51" spans="1:11" x14ac:dyDescent="0.2">
      <c r="A51" s="44"/>
      <c r="B51" s="44"/>
      <c r="C51" s="44"/>
      <c r="D51" s="44"/>
      <c r="E51" s="44"/>
      <c r="F51" s="44"/>
      <c r="G51" s="44" t="str">
        <f>Eligibility!I43</f>
        <v>slackme@email.com</v>
      </c>
      <c r="H51" s="44"/>
      <c r="I51" s="44"/>
      <c r="J51" s="44"/>
      <c r="K51" s="49"/>
    </row>
    <row r="52" spans="1:11" x14ac:dyDescent="0.2">
      <c r="A52" s="44" t="s">
        <v>90</v>
      </c>
      <c r="B52" s="44" t="str">
        <f>Eligibility!C49</f>
        <v>Disney Solar</v>
      </c>
      <c r="C52" s="44"/>
      <c r="D52" s="44"/>
      <c r="E52" s="44"/>
      <c r="F52" s="44"/>
      <c r="G52" s="44"/>
      <c r="H52" s="44"/>
      <c r="I52" s="44"/>
      <c r="J52" s="44"/>
      <c r="K52" s="49"/>
    </row>
    <row r="53" spans="1:11" x14ac:dyDescent="0.2">
      <c r="D53" s="44"/>
      <c r="E53" s="44"/>
      <c r="F53" s="44"/>
      <c r="G53" s="44"/>
      <c r="H53" s="44"/>
      <c r="I53" s="44"/>
      <c r="J53" s="44"/>
      <c r="K53" s="49"/>
    </row>
  </sheetData>
  <sheetProtection insertHyperlinks="0" selectLockedCells="1" selectUnlockedCells="1"/>
  <mergeCells count="1">
    <mergeCell ref="A6:K6"/>
  </mergeCells>
  <printOptions horizontalCentered="1"/>
  <pageMargins left="0.25" right="0.15" top="0.25" bottom="0" header="0.3" footer="0.1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3"/>
  <sheetViews>
    <sheetView topLeftCell="A19" workbookViewId="0">
      <selection activeCell="D32" sqref="D32"/>
    </sheetView>
  </sheetViews>
  <sheetFormatPr baseColWidth="10" defaultColWidth="8.5" defaultRowHeight="13" x14ac:dyDescent="0.15"/>
  <cols>
    <col min="1" max="1" width="17.1640625" style="14" customWidth="1"/>
    <col min="2" max="3" width="10.1640625" style="14" customWidth="1"/>
    <col min="4" max="4" width="15.83203125" style="14" customWidth="1"/>
    <col min="5" max="5" width="12.5" style="14" bestFit="1" customWidth="1"/>
    <col min="6" max="6" width="12.5" style="14" customWidth="1"/>
    <col min="7" max="7" width="12.5" style="14" bestFit="1" customWidth="1"/>
    <col min="8" max="8" width="12.5" style="14" customWidth="1"/>
    <col min="9" max="9" width="12.5" style="14" bestFit="1" customWidth="1"/>
    <col min="10" max="10" width="14.83203125" style="40" customWidth="1"/>
    <col min="11" max="11" width="15.1640625" style="40" customWidth="1"/>
    <col min="12" max="22" width="12.5" style="14" bestFit="1" customWidth="1"/>
    <col min="23" max="24" width="14.1640625" style="14" bestFit="1" customWidth="1"/>
    <col min="25" max="25" width="15.1640625" style="14" bestFit="1" customWidth="1"/>
    <col min="26" max="26" width="8.5" style="14"/>
    <col min="27" max="27" width="11.1640625" style="14" bestFit="1" customWidth="1"/>
    <col min="28" max="16384" width="8.5" style="14"/>
  </cols>
  <sheetData>
    <row r="1" spans="1:25" x14ac:dyDescent="0.15">
      <c r="A1" s="14" t="s">
        <v>111</v>
      </c>
      <c r="D1" s="14" t="str">
        <f>Eligibility!D23</f>
        <v>Mickey Mouse</v>
      </c>
      <c r="F1" s="14" t="s">
        <v>84</v>
      </c>
      <c r="H1" s="15">
        <f>Eligibility!N31</f>
        <v>2100</v>
      </c>
    </row>
    <row r="2" spans="1:25" x14ac:dyDescent="0.15">
      <c r="A2" s="14" t="s">
        <v>79</v>
      </c>
      <c r="D2" s="14" t="str">
        <f>Eligibility!D11</f>
        <v>Olani Street</v>
      </c>
      <c r="F2" s="14" t="s">
        <v>85</v>
      </c>
      <c r="H2" s="142">
        <f>Eligibility!N32</f>
        <v>3255</v>
      </c>
    </row>
    <row r="3" spans="1:25" x14ac:dyDescent="0.15">
      <c r="D3" s="14" t="str">
        <f>Eligibility!D12</f>
        <v>Kapolei, HI 96707</v>
      </c>
    </row>
    <row r="4" spans="1:25" ht="15" x14ac:dyDescent="0.2">
      <c r="A4" s="14" t="s">
        <v>80</v>
      </c>
      <c r="D4" s="16">
        <f>Eligibility!J59</f>
        <v>7000</v>
      </c>
      <c r="F4" s="240" t="s">
        <v>224</v>
      </c>
      <c r="G4" s="240"/>
      <c r="H4" s="149">
        <f>Y45</f>
        <v>-4402.6192271088403</v>
      </c>
      <c r="I4" s="240"/>
      <c r="J4" s="231" t="s">
        <v>229</v>
      </c>
      <c r="K4" s="246">
        <f>IF(Eligibility!$J$12="HECO",'S2-SHW'!$H$1+'S2-SHW'!$H$2+'S2-SHW'!H4,0)</f>
        <v>952.38077289115972</v>
      </c>
    </row>
    <row r="5" spans="1:25" ht="15" x14ac:dyDescent="0.2">
      <c r="A5" s="14" t="s">
        <v>81</v>
      </c>
      <c r="D5" s="16">
        <f>Eligibility!J63</f>
        <v>0</v>
      </c>
      <c r="F5" s="241" t="s">
        <v>225</v>
      </c>
      <c r="G5" s="241"/>
      <c r="H5" s="235">
        <f>Y50</f>
        <v>0</v>
      </c>
      <c r="I5" s="241"/>
      <c r="J5" s="234" t="s">
        <v>230</v>
      </c>
      <c r="K5" s="247">
        <f>IF(Eligibility!$J$12="HELCO",'S2-SHW'!$H$1+'S2-SHW'!$H$2+'S2-SHW'!H5,0)</f>
        <v>0</v>
      </c>
      <c r="L5" s="230"/>
    </row>
    <row r="6" spans="1:25" ht="15" x14ac:dyDescent="0.2">
      <c r="A6" s="14" t="s">
        <v>114</v>
      </c>
      <c r="D6" s="16">
        <f>Eligibility!J66</f>
        <v>9300</v>
      </c>
      <c r="F6" s="242" t="s">
        <v>226</v>
      </c>
      <c r="G6" s="242"/>
      <c r="H6" s="233">
        <f>Y55</f>
        <v>0</v>
      </c>
      <c r="I6" s="242"/>
      <c r="J6" s="236" t="s">
        <v>231</v>
      </c>
      <c r="K6" s="248">
        <f>IF(Eligibility!$J$12="MECO -  Maui",'S2-SHW'!$H$1+'S2-SHW'!$H$2+'S2-SHW'!H6,0)</f>
        <v>0</v>
      </c>
    </row>
    <row r="7" spans="1:25" ht="15" x14ac:dyDescent="0.2">
      <c r="A7" s="14" t="s">
        <v>62</v>
      </c>
      <c r="D7" s="37">
        <f>Eligibility!J67</f>
        <v>5.5E-2</v>
      </c>
      <c r="F7" s="237" t="s">
        <v>227</v>
      </c>
      <c r="G7" s="243"/>
      <c r="H7" s="232">
        <f>Y60</f>
        <v>0</v>
      </c>
      <c r="I7" s="243"/>
      <c r="J7" s="238" t="s">
        <v>232</v>
      </c>
      <c r="K7" s="249">
        <f>IF(Eligibility!$J$12="MECO - Lanai",'S2-SHW'!$H$1+'S2-SHW'!$H$2+'S2-SHW'!H7,0)</f>
        <v>0</v>
      </c>
    </row>
    <row r="8" spans="1:25" ht="15" x14ac:dyDescent="0.2">
      <c r="A8" s="14" t="s">
        <v>82</v>
      </c>
      <c r="D8" s="38">
        <f>'Amort - Final'!B7</f>
        <v>65.833418837697025</v>
      </c>
      <c r="F8" s="244" t="s">
        <v>228</v>
      </c>
      <c r="G8" s="244"/>
      <c r="H8" s="245">
        <f>Y65</f>
        <v>0</v>
      </c>
      <c r="I8" s="244"/>
      <c r="J8" s="239" t="s">
        <v>233</v>
      </c>
      <c r="K8" s="250">
        <f>IF(Eligibility!$J$12="MECO - Molokai",'S2-SHW'!$H$1+'S2-SHW'!$H$2+'S2-SHW'!H8,0)</f>
        <v>0</v>
      </c>
    </row>
    <row r="9" spans="1:25" x14ac:dyDescent="0.15">
      <c r="A9" s="21" t="s">
        <v>244</v>
      </c>
      <c r="B9" s="21"/>
      <c r="D9" s="261">
        <f>-Eligibility!O29</f>
        <v>-1414</v>
      </c>
      <c r="F9" s="71"/>
      <c r="G9" s="71"/>
      <c r="H9" s="268"/>
      <c r="I9" s="71"/>
      <c r="J9" s="228"/>
      <c r="K9" s="269"/>
    </row>
    <row r="10" spans="1:25" x14ac:dyDescent="0.15">
      <c r="A10" s="21" t="s">
        <v>69</v>
      </c>
      <c r="B10" s="21"/>
      <c r="D10" s="261">
        <f>C27+D9</f>
        <v>12737</v>
      </c>
      <c r="F10" s="71"/>
      <c r="G10" s="71"/>
      <c r="H10" s="268"/>
      <c r="I10" s="71"/>
      <c r="J10" s="228"/>
      <c r="K10" s="269"/>
    </row>
    <row r="11" spans="1:25" ht="15" x14ac:dyDescent="0.2">
      <c r="D11" s="145"/>
      <c r="F11" s="16"/>
      <c r="K11" s="39"/>
    </row>
    <row r="12" spans="1:25" customFormat="1" ht="15" x14ac:dyDescent="0.2">
      <c r="A12" s="44" t="s">
        <v>103</v>
      </c>
      <c r="B12" s="44"/>
      <c r="C12" s="44"/>
      <c r="D12" s="44"/>
      <c r="E12" s="138">
        <v>1</v>
      </c>
      <c r="F12" s="125">
        <v>2</v>
      </c>
      <c r="G12" s="126">
        <v>3</v>
      </c>
      <c r="H12" s="126">
        <v>4</v>
      </c>
      <c r="I12" s="126">
        <v>5</v>
      </c>
      <c r="J12" s="126">
        <v>6</v>
      </c>
      <c r="K12" s="125">
        <v>7</v>
      </c>
      <c r="L12" s="125">
        <v>8</v>
      </c>
      <c r="M12" s="125">
        <v>9</v>
      </c>
      <c r="N12" s="125">
        <v>10</v>
      </c>
      <c r="O12" s="125">
        <v>11</v>
      </c>
      <c r="P12" s="125">
        <v>12</v>
      </c>
      <c r="Q12" s="125">
        <v>13</v>
      </c>
      <c r="R12" s="125">
        <v>14</v>
      </c>
      <c r="S12" s="125">
        <v>15</v>
      </c>
      <c r="T12" s="125">
        <v>16</v>
      </c>
      <c r="U12" s="125">
        <v>17</v>
      </c>
      <c r="V12" s="125">
        <v>18</v>
      </c>
      <c r="W12" s="125">
        <v>19</v>
      </c>
      <c r="X12" s="125">
        <v>20</v>
      </c>
      <c r="Y12" s="53"/>
    </row>
    <row r="13" spans="1:25" customFormat="1" ht="15" x14ac:dyDescent="0.2">
      <c r="A13" s="44" t="s">
        <v>178</v>
      </c>
      <c r="B13" s="44"/>
      <c r="C13" s="44"/>
      <c r="D13" s="44" t="s">
        <v>104</v>
      </c>
      <c r="E13" s="146">
        <f>-D9</f>
        <v>1414</v>
      </c>
      <c r="F13" s="127">
        <f>E13*0.995</f>
        <v>1406.93</v>
      </c>
      <c r="G13" s="127">
        <f t="shared" ref="G13:X13" si="0">F13*0.995</f>
        <v>1399.89535</v>
      </c>
      <c r="H13" s="127">
        <f t="shared" si="0"/>
        <v>1392.89587325</v>
      </c>
      <c r="I13" s="127">
        <f t="shared" si="0"/>
        <v>1385.9313938837499</v>
      </c>
      <c r="J13" s="127">
        <f t="shared" si="0"/>
        <v>1379.0017369143311</v>
      </c>
      <c r="K13" s="127">
        <f t="shared" si="0"/>
        <v>1372.1067282297595</v>
      </c>
      <c r="L13" s="127">
        <f t="shared" si="0"/>
        <v>1365.2461945886107</v>
      </c>
      <c r="M13" s="127">
        <f t="shared" si="0"/>
        <v>1358.4199636156677</v>
      </c>
      <c r="N13" s="127">
        <f t="shared" si="0"/>
        <v>1351.6278637975893</v>
      </c>
      <c r="O13" s="127">
        <f t="shared" si="0"/>
        <v>1344.8697244786013</v>
      </c>
      <c r="P13" s="127">
        <f t="shared" si="0"/>
        <v>1338.1453758562081</v>
      </c>
      <c r="Q13" s="127">
        <f t="shared" si="0"/>
        <v>1331.454648976927</v>
      </c>
      <c r="R13" s="127">
        <f t="shared" si="0"/>
        <v>1324.7973757320424</v>
      </c>
      <c r="S13" s="127">
        <f t="shared" si="0"/>
        <v>1318.1733888533822</v>
      </c>
      <c r="T13" s="127">
        <f t="shared" si="0"/>
        <v>1311.5825219091153</v>
      </c>
      <c r="U13" s="127">
        <f t="shared" si="0"/>
        <v>1305.0246092995696</v>
      </c>
      <c r="V13" s="127">
        <f t="shared" si="0"/>
        <v>1298.4994862530718</v>
      </c>
      <c r="W13" s="127">
        <f t="shared" si="0"/>
        <v>1292.0069888218065</v>
      </c>
      <c r="X13" s="127">
        <f t="shared" si="0"/>
        <v>1285.5469538776974</v>
      </c>
      <c r="Y13" s="117">
        <f>SUM(E13:X13)</f>
        <v>26976.156178338133</v>
      </c>
    </row>
    <row r="14" spans="1:25" customFormat="1" ht="15" x14ac:dyDescent="0.2">
      <c r="A14" s="44"/>
      <c r="B14" s="44"/>
      <c r="C14" s="44"/>
      <c r="D14" s="374" t="s">
        <v>361</v>
      </c>
      <c r="E14" s="136">
        <f>E15/12</f>
        <v>337.96411799999998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17"/>
    </row>
    <row r="15" spans="1:25" s="151" customFormat="1" ht="15" x14ac:dyDescent="0.2">
      <c r="A15" s="147" t="s">
        <v>180</v>
      </c>
      <c r="B15" s="147"/>
      <c r="C15" s="147"/>
      <c r="D15" s="375">
        <v>1.0385</v>
      </c>
      <c r="E15" s="148">
        <f>IF(Eligibility!$J$12="HECO",$D$32*12,0)</f>
        <v>4055.5694159999998</v>
      </c>
      <c r="F15" s="149">
        <f>E15*$D$15</f>
        <v>4211.7088385159996</v>
      </c>
      <c r="G15" s="149">
        <f t="shared" ref="G15:X15" si="1">F15*$D$15</f>
        <v>4373.8596287988657</v>
      </c>
      <c r="H15" s="149">
        <f t="shared" si="1"/>
        <v>4542.2532245076218</v>
      </c>
      <c r="I15" s="149">
        <f t="shared" si="1"/>
        <v>4717.1299736511655</v>
      </c>
      <c r="J15" s="149">
        <f t="shared" si="1"/>
        <v>4898.7394776367355</v>
      </c>
      <c r="K15" s="149">
        <f t="shared" si="1"/>
        <v>5087.3409475257495</v>
      </c>
      <c r="L15" s="149">
        <f t="shared" si="1"/>
        <v>5283.2035740054907</v>
      </c>
      <c r="M15" s="149">
        <f t="shared" si="1"/>
        <v>5486.606911604702</v>
      </c>
      <c r="N15" s="149">
        <f t="shared" si="1"/>
        <v>5697.8412777014828</v>
      </c>
      <c r="O15" s="149">
        <f t="shared" si="1"/>
        <v>5917.2081668929895</v>
      </c>
      <c r="P15" s="149">
        <f t="shared" si="1"/>
        <v>6145.0206813183695</v>
      </c>
      <c r="Q15" s="149">
        <f t="shared" si="1"/>
        <v>6381.6039775491263</v>
      </c>
      <c r="R15" s="149">
        <f t="shared" si="1"/>
        <v>6627.2957306847675</v>
      </c>
      <c r="S15" s="149">
        <f t="shared" si="1"/>
        <v>6882.4466163161305</v>
      </c>
      <c r="T15" s="149">
        <f t="shared" si="1"/>
        <v>7147.4208110443014</v>
      </c>
      <c r="U15" s="149">
        <f t="shared" si="1"/>
        <v>7422.596512269507</v>
      </c>
      <c r="V15" s="149">
        <f t="shared" si="1"/>
        <v>7708.3664779918827</v>
      </c>
      <c r="W15" s="149">
        <f t="shared" si="1"/>
        <v>8005.1385873945701</v>
      </c>
      <c r="X15" s="149">
        <f t="shared" si="1"/>
        <v>8313.3364230092611</v>
      </c>
      <c r="Y15" s="150">
        <f>SUM(E15:X15)</f>
        <v>118904.68725441869</v>
      </c>
    </row>
    <row r="16" spans="1:25" s="156" customFormat="1" ht="15" x14ac:dyDescent="0.2">
      <c r="A16" s="152" t="s">
        <v>181</v>
      </c>
      <c r="B16" s="152"/>
      <c r="C16" s="152"/>
      <c r="D16" s="376">
        <v>1.0111000000000001</v>
      </c>
      <c r="E16" s="153">
        <f>IF(Eligibility!$J$12="HELCO",$D$32*12,0)</f>
        <v>0</v>
      </c>
      <c r="F16" s="154">
        <f>E16*$D$16</f>
        <v>0</v>
      </c>
      <c r="G16" s="154">
        <f t="shared" ref="G16:X16" si="2">F16*$D$16</f>
        <v>0</v>
      </c>
      <c r="H16" s="154">
        <f t="shared" si="2"/>
        <v>0</v>
      </c>
      <c r="I16" s="154">
        <f t="shared" si="2"/>
        <v>0</v>
      </c>
      <c r="J16" s="154">
        <f t="shared" si="2"/>
        <v>0</v>
      </c>
      <c r="K16" s="154">
        <f t="shared" si="2"/>
        <v>0</v>
      </c>
      <c r="L16" s="154">
        <f t="shared" si="2"/>
        <v>0</v>
      </c>
      <c r="M16" s="154">
        <f t="shared" si="2"/>
        <v>0</v>
      </c>
      <c r="N16" s="154">
        <f t="shared" si="2"/>
        <v>0</v>
      </c>
      <c r="O16" s="154">
        <f t="shared" si="2"/>
        <v>0</v>
      </c>
      <c r="P16" s="154">
        <f t="shared" si="2"/>
        <v>0</v>
      </c>
      <c r="Q16" s="154">
        <f t="shared" si="2"/>
        <v>0</v>
      </c>
      <c r="R16" s="154">
        <f t="shared" si="2"/>
        <v>0</v>
      </c>
      <c r="S16" s="154">
        <f t="shared" si="2"/>
        <v>0</v>
      </c>
      <c r="T16" s="154">
        <f t="shared" si="2"/>
        <v>0</v>
      </c>
      <c r="U16" s="154">
        <f t="shared" si="2"/>
        <v>0</v>
      </c>
      <c r="V16" s="154">
        <f t="shared" si="2"/>
        <v>0</v>
      </c>
      <c r="W16" s="154">
        <f t="shared" si="2"/>
        <v>0</v>
      </c>
      <c r="X16" s="154">
        <f t="shared" si="2"/>
        <v>0</v>
      </c>
      <c r="Y16" s="155">
        <f t="shared" ref="Y16:Y37" si="3">SUM(E16:X16)</f>
        <v>0</v>
      </c>
    </row>
    <row r="17" spans="1:25" s="161" customFormat="1" ht="15" x14ac:dyDescent="0.2">
      <c r="A17" s="157" t="s">
        <v>182</v>
      </c>
      <c r="B17" s="157"/>
      <c r="C17" s="157"/>
      <c r="D17" s="377">
        <v>1.018</v>
      </c>
      <c r="E17" s="158">
        <f>IF(Eligibility!$J$12="MECO - Maui",$D$32*12,0)</f>
        <v>0</v>
      </c>
      <c r="F17" s="159">
        <f>E17*$D$17</f>
        <v>0</v>
      </c>
      <c r="G17" s="159">
        <f t="shared" ref="G17:X17" si="4">F17*$D$17</f>
        <v>0</v>
      </c>
      <c r="H17" s="159">
        <f t="shared" si="4"/>
        <v>0</v>
      </c>
      <c r="I17" s="159">
        <f t="shared" si="4"/>
        <v>0</v>
      </c>
      <c r="J17" s="159">
        <f t="shared" si="4"/>
        <v>0</v>
      </c>
      <c r="K17" s="159">
        <f t="shared" si="4"/>
        <v>0</v>
      </c>
      <c r="L17" s="159">
        <f t="shared" si="4"/>
        <v>0</v>
      </c>
      <c r="M17" s="159">
        <f t="shared" si="4"/>
        <v>0</v>
      </c>
      <c r="N17" s="159">
        <f t="shared" si="4"/>
        <v>0</v>
      </c>
      <c r="O17" s="159">
        <f t="shared" si="4"/>
        <v>0</v>
      </c>
      <c r="P17" s="159">
        <f t="shared" si="4"/>
        <v>0</v>
      </c>
      <c r="Q17" s="159">
        <f t="shared" si="4"/>
        <v>0</v>
      </c>
      <c r="R17" s="159">
        <f t="shared" si="4"/>
        <v>0</v>
      </c>
      <c r="S17" s="159">
        <f t="shared" si="4"/>
        <v>0</v>
      </c>
      <c r="T17" s="159">
        <f t="shared" si="4"/>
        <v>0</v>
      </c>
      <c r="U17" s="159">
        <f t="shared" si="4"/>
        <v>0</v>
      </c>
      <c r="V17" s="159">
        <f t="shared" si="4"/>
        <v>0</v>
      </c>
      <c r="W17" s="159">
        <f t="shared" si="4"/>
        <v>0</v>
      </c>
      <c r="X17" s="159">
        <f t="shared" si="4"/>
        <v>0</v>
      </c>
      <c r="Y17" s="160">
        <f t="shared" si="3"/>
        <v>0</v>
      </c>
    </row>
    <row r="18" spans="1:25" s="171" customFormat="1" ht="15" x14ac:dyDescent="0.2">
      <c r="A18" s="167" t="s">
        <v>183</v>
      </c>
      <c r="B18" s="167"/>
      <c r="C18" s="167"/>
      <c r="D18" s="378">
        <v>1.0183</v>
      </c>
      <c r="E18" s="168">
        <f>IF(Eligibility!$J$12="MECO - Lanai",$D$32*12,0)</f>
        <v>0</v>
      </c>
      <c r="F18" s="169">
        <f>E18*$D$18</f>
        <v>0</v>
      </c>
      <c r="G18" s="169">
        <f t="shared" ref="G18:X18" si="5">F18*$D$18</f>
        <v>0</v>
      </c>
      <c r="H18" s="169">
        <f t="shared" si="5"/>
        <v>0</v>
      </c>
      <c r="I18" s="169">
        <f t="shared" si="5"/>
        <v>0</v>
      </c>
      <c r="J18" s="169">
        <f t="shared" si="5"/>
        <v>0</v>
      </c>
      <c r="K18" s="169">
        <f t="shared" si="5"/>
        <v>0</v>
      </c>
      <c r="L18" s="169">
        <f t="shared" si="5"/>
        <v>0</v>
      </c>
      <c r="M18" s="169">
        <f t="shared" si="5"/>
        <v>0</v>
      </c>
      <c r="N18" s="169">
        <f t="shared" si="5"/>
        <v>0</v>
      </c>
      <c r="O18" s="169">
        <f t="shared" si="5"/>
        <v>0</v>
      </c>
      <c r="P18" s="169">
        <f t="shared" si="5"/>
        <v>0</v>
      </c>
      <c r="Q18" s="169">
        <f t="shared" si="5"/>
        <v>0</v>
      </c>
      <c r="R18" s="169">
        <f t="shared" si="5"/>
        <v>0</v>
      </c>
      <c r="S18" s="169">
        <f t="shared" si="5"/>
        <v>0</v>
      </c>
      <c r="T18" s="169">
        <f t="shared" si="5"/>
        <v>0</v>
      </c>
      <c r="U18" s="169">
        <f t="shared" si="5"/>
        <v>0</v>
      </c>
      <c r="V18" s="169">
        <f t="shared" si="5"/>
        <v>0</v>
      </c>
      <c r="W18" s="169">
        <f t="shared" si="5"/>
        <v>0</v>
      </c>
      <c r="X18" s="169">
        <f t="shared" si="5"/>
        <v>0</v>
      </c>
      <c r="Y18" s="170">
        <f t="shared" si="3"/>
        <v>0</v>
      </c>
    </row>
    <row r="19" spans="1:25" s="166" customFormat="1" ht="15" x14ac:dyDescent="0.2">
      <c r="A19" s="162" t="s">
        <v>184</v>
      </c>
      <c r="B19" s="162"/>
      <c r="C19" s="162"/>
      <c r="D19" s="379">
        <v>1.0143</v>
      </c>
      <c r="E19" s="153">
        <f>IF(Eligibility!$J$12="MECO - Molokai",$D$32*12,0)</f>
        <v>0</v>
      </c>
      <c r="F19" s="164">
        <f>E19*$D$19</f>
        <v>0</v>
      </c>
      <c r="G19" s="164">
        <f t="shared" ref="G19:X19" si="6">F19*$D$19</f>
        <v>0</v>
      </c>
      <c r="H19" s="164">
        <f t="shared" si="6"/>
        <v>0</v>
      </c>
      <c r="I19" s="164">
        <f t="shared" si="6"/>
        <v>0</v>
      </c>
      <c r="J19" s="164">
        <f t="shared" si="6"/>
        <v>0</v>
      </c>
      <c r="K19" s="164">
        <f t="shared" si="6"/>
        <v>0</v>
      </c>
      <c r="L19" s="164">
        <f t="shared" si="6"/>
        <v>0</v>
      </c>
      <c r="M19" s="164">
        <f t="shared" si="6"/>
        <v>0</v>
      </c>
      <c r="N19" s="164">
        <f t="shared" si="6"/>
        <v>0</v>
      </c>
      <c r="O19" s="164">
        <f t="shared" si="6"/>
        <v>0</v>
      </c>
      <c r="P19" s="164">
        <f t="shared" si="6"/>
        <v>0</v>
      </c>
      <c r="Q19" s="164">
        <f t="shared" si="6"/>
        <v>0</v>
      </c>
      <c r="R19" s="164">
        <f t="shared" si="6"/>
        <v>0</v>
      </c>
      <c r="S19" s="164">
        <f t="shared" si="6"/>
        <v>0</v>
      </c>
      <c r="T19" s="164">
        <f t="shared" si="6"/>
        <v>0</v>
      </c>
      <c r="U19" s="164">
        <f t="shared" si="6"/>
        <v>0</v>
      </c>
      <c r="V19" s="164">
        <f t="shared" si="6"/>
        <v>0</v>
      </c>
      <c r="W19" s="164">
        <f t="shared" si="6"/>
        <v>0</v>
      </c>
      <c r="X19" s="164">
        <f t="shared" si="6"/>
        <v>0</v>
      </c>
      <c r="Y19" s="165">
        <f t="shared" si="3"/>
        <v>0</v>
      </c>
    </row>
    <row r="20" spans="1:25" s="66" customFormat="1" ht="15" x14ac:dyDescent="0.2">
      <c r="A20" s="129"/>
      <c r="B20" s="129"/>
      <c r="C20" s="129"/>
      <c r="D20" s="129"/>
      <c r="E20" s="141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</row>
    <row r="21" spans="1:25" s="66" customFormat="1" ht="15" x14ac:dyDescent="0.2">
      <c r="A21" s="129" t="s">
        <v>215</v>
      </c>
      <c r="B21" s="129"/>
      <c r="C21" s="129"/>
      <c r="D21" s="132"/>
      <c r="E21" s="141">
        <f>D8*12</f>
        <v>790.0010260523643</v>
      </c>
      <c r="F21" s="130">
        <f>E21</f>
        <v>790.0010260523643</v>
      </c>
      <c r="G21" s="130">
        <f t="shared" ref="G21:V21" si="7">F21</f>
        <v>790.0010260523643</v>
      </c>
      <c r="H21" s="130">
        <f t="shared" si="7"/>
        <v>790.0010260523643</v>
      </c>
      <c r="I21" s="130">
        <f t="shared" si="7"/>
        <v>790.0010260523643</v>
      </c>
      <c r="J21" s="130">
        <f t="shared" si="7"/>
        <v>790.0010260523643</v>
      </c>
      <c r="K21" s="130">
        <f t="shared" si="7"/>
        <v>790.0010260523643</v>
      </c>
      <c r="L21" s="130">
        <f t="shared" si="7"/>
        <v>790.0010260523643</v>
      </c>
      <c r="M21" s="130">
        <f t="shared" si="7"/>
        <v>790.0010260523643</v>
      </c>
      <c r="N21" s="130">
        <f t="shared" si="7"/>
        <v>790.0010260523643</v>
      </c>
      <c r="O21" s="130">
        <f t="shared" si="7"/>
        <v>790.0010260523643</v>
      </c>
      <c r="P21" s="130">
        <f t="shared" si="7"/>
        <v>790.0010260523643</v>
      </c>
      <c r="Q21" s="130">
        <f t="shared" si="7"/>
        <v>790.0010260523643</v>
      </c>
      <c r="R21" s="130">
        <f t="shared" si="7"/>
        <v>790.0010260523643</v>
      </c>
      <c r="S21" s="130">
        <f t="shared" si="7"/>
        <v>790.0010260523643</v>
      </c>
      <c r="T21" s="130">
        <f t="shared" si="7"/>
        <v>790.0010260523643</v>
      </c>
      <c r="U21" s="130">
        <f t="shared" si="7"/>
        <v>790.0010260523643</v>
      </c>
      <c r="V21" s="130">
        <f t="shared" si="7"/>
        <v>790.0010260523643</v>
      </c>
      <c r="W21" s="130">
        <f t="shared" ref="W21:X21" si="8">V21</f>
        <v>790.0010260523643</v>
      </c>
      <c r="X21" s="130">
        <f t="shared" si="8"/>
        <v>790.0010260523643</v>
      </c>
      <c r="Y21" s="131">
        <f t="shared" si="3"/>
        <v>15800.02052104729</v>
      </c>
    </row>
    <row r="22" spans="1:25" s="66" customFormat="1" ht="15" x14ac:dyDescent="0.2">
      <c r="A22" s="21"/>
      <c r="B22" s="21"/>
      <c r="C22" s="21"/>
      <c r="D22" s="21"/>
      <c r="E22" s="141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1"/>
    </row>
    <row r="23" spans="1:25" s="66" customFormat="1" ht="15" hidden="1" x14ac:dyDescent="0.2">
      <c r="A23" s="21"/>
      <c r="B23" s="21"/>
      <c r="C23" s="21"/>
      <c r="D23" s="21"/>
      <c r="E23" s="141"/>
      <c r="F23" s="393">
        <f>IF(Eligibility!$J$12="HECO",'S2-SHW'!$C29*'S2-SHW'!$D$15,IF(Eligibility!$J$12="HELCO",'S2-SHW'!$C29*'S2-SHW'!$D$16,IF(Eligibility!$J$12="MECO - Maui",'S2-SHW'!$C29*'S2-SHW'!$D$17,IF(Eligibility!$J$12="MECO - Lanai",'S2-SHW'!$C29*'S2-SHW'!$D$18,IF(Eligibility!$J$12="MECO - Molokai",'S2-SHW'!$C29*'S2-SHW'!$D$19,0)))))</f>
        <v>0.28920251849999995</v>
      </c>
      <c r="G23" s="393">
        <f>IF(Eligibility!$J$12="HECO",'S2-SHW'!F23*'S2-SHW'!$D$15,IF(Eligibility!$J$12="HELCO",'S2-SHW'!F23*'S2-SHW'!$D$16,IF(Eligibility!$J$12="MECO - Maui",'S2-SHW'!F23*'S2-SHW'!$D$17,IF(Eligibility!$J$12="MECO - Lanai",'S2-SHW'!F23*'S2-SHW'!$D$18,IF(Eligibility!$J$12="MECO - Molokai",'S2-SHW'!F23*'S2-SHW'!$D$19,0)))))</f>
        <v>0.30033681546224994</v>
      </c>
      <c r="H23" s="393">
        <f>IF(Eligibility!$J$12="HECO",'S2-SHW'!G23*'S2-SHW'!$D$15,IF(Eligibility!$J$12="HELCO",'S2-SHW'!G23*'S2-SHW'!$D$16,IF(Eligibility!$J$12="MECO - Maui",'S2-SHW'!G23*'S2-SHW'!$D$17,IF(Eligibility!$J$12="MECO - Lanai",'S2-SHW'!G23*'S2-SHW'!$D$18,IF(Eligibility!$J$12="MECO - Molokai",'S2-SHW'!G23*'S2-SHW'!$D$19,0)))))</f>
        <v>0.31189978285754655</v>
      </c>
      <c r="I23" s="393">
        <f>IF(Eligibility!$J$12="HECO",'S2-SHW'!H23*'S2-SHW'!$D$15,IF(Eligibility!$J$12="HELCO",'S2-SHW'!H23*'S2-SHW'!$D$16,IF(Eligibility!$J$12="MECO - Maui",'S2-SHW'!H23*'S2-SHW'!$D$17,IF(Eligibility!$J$12="MECO - Lanai",'S2-SHW'!H23*'S2-SHW'!$D$18,IF(Eligibility!$J$12="MECO - Molokai",'S2-SHW'!H23*'S2-SHW'!$D$19,0)))))</f>
        <v>0.32390792449756206</v>
      </c>
      <c r="J23" s="393">
        <f>IF(Eligibility!$J$12="HECO",'S2-SHW'!I23*'S2-SHW'!$D$15,IF(Eligibility!$J$12="HELCO",'S2-SHW'!I23*'S2-SHW'!$D$16,IF(Eligibility!$J$12="MECO - Maui",'S2-SHW'!I23*'S2-SHW'!$D$17,IF(Eligibility!$J$12="MECO - Lanai",'S2-SHW'!I23*'S2-SHW'!$D$18,IF(Eligibility!$J$12="MECO - Molokai",'S2-SHW'!I23*'S2-SHW'!$D$19,0)))))</f>
        <v>0.3363783795907182</v>
      </c>
      <c r="K23" s="393">
        <f>IF(Eligibility!$J$12="HECO",'S2-SHW'!J23*'S2-SHW'!$D$15,IF(Eligibility!$J$12="HELCO",'S2-SHW'!J23*'S2-SHW'!$D$16,IF(Eligibility!$J$12="MECO - Maui",'S2-SHW'!J23*'S2-SHW'!$D$17,IF(Eligibility!$J$12="MECO - Lanai",'S2-SHW'!J23*'S2-SHW'!$D$18,IF(Eligibility!$J$12="MECO - Molokai",'S2-SHW'!J23*'S2-SHW'!$D$19,0)))))</f>
        <v>0.34932894720496083</v>
      </c>
      <c r="L23" s="393">
        <f>IF(Eligibility!$J$12="HECO",'S2-SHW'!K23*'S2-SHW'!$D$15,IF(Eligibility!$J$12="HELCO",'S2-SHW'!K23*'S2-SHW'!$D$16,IF(Eligibility!$J$12="MECO - Maui",'S2-SHW'!K23*'S2-SHW'!$D$17,IF(Eligibility!$J$12="MECO - Lanai",'S2-SHW'!K23*'S2-SHW'!$D$18,IF(Eligibility!$J$12="MECO - Molokai",'S2-SHW'!K23*'S2-SHW'!$D$19,0)))))</f>
        <v>0.3627781116723518</v>
      </c>
      <c r="M23" s="393">
        <f>IF(Eligibility!$J$12="HECO",'S2-SHW'!L23*'S2-SHW'!$D$15,IF(Eligibility!$J$12="HELCO",'S2-SHW'!L23*'S2-SHW'!$D$16,IF(Eligibility!$J$12="MECO - Maui",'S2-SHW'!L23*'S2-SHW'!$D$17,IF(Eligibility!$J$12="MECO - Lanai",'S2-SHW'!L23*'S2-SHW'!$D$18,IF(Eligibility!$J$12="MECO - Molokai",'S2-SHW'!L23*'S2-SHW'!$D$19,0)))))</f>
        <v>0.37674506897173732</v>
      </c>
      <c r="N23" s="393">
        <f>IF(Eligibility!$J$12="HECO",'S2-SHW'!M23*'S2-SHW'!$D$15,IF(Eligibility!$J$12="HELCO",'S2-SHW'!M23*'S2-SHW'!$D$16,IF(Eligibility!$J$12="MECO - Maui",'S2-SHW'!M23*'S2-SHW'!$D$17,IF(Eligibility!$J$12="MECO - Lanai",'S2-SHW'!M23*'S2-SHW'!$D$18,IF(Eligibility!$J$12="MECO - Molokai",'S2-SHW'!M23*'S2-SHW'!$D$19,0)))))</f>
        <v>0.39124975412714919</v>
      </c>
      <c r="O23" s="393">
        <f>IF(Eligibility!$J$12="HECO",'S2-SHW'!N23*'S2-SHW'!$D$15,IF(Eligibility!$J$12="HELCO",'S2-SHW'!N23*'S2-SHW'!$D$16,IF(Eligibility!$J$12="MECO - Maui",'S2-SHW'!N23*'S2-SHW'!$D$17,IF(Eligibility!$J$12="MECO - Lanai",'S2-SHW'!N23*'S2-SHW'!$D$18,IF(Eligibility!$J$12="MECO - Molokai",'S2-SHW'!N23*'S2-SHW'!$D$19,0)))))</f>
        <v>0.40631286966104441</v>
      </c>
      <c r="P23" s="393">
        <f>IF(Eligibility!$J$12="HECO",'S2-SHW'!O23*'S2-SHW'!$D$15,IF(Eligibility!$J$12="HELCO",'S2-SHW'!O23*'S2-SHW'!$D$16,IF(Eligibility!$J$12="MECO - Maui",'S2-SHW'!O23*'S2-SHW'!$D$17,IF(Eligibility!$J$12="MECO - Lanai",'S2-SHW'!O23*'S2-SHW'!$D$18,IF(Eligibility!$J$12="MECO - Molokai",'S2-SHW'!O23*'S2-SHW'!$D$19,0)))))</f>
        <v>0.42195591514299463</v>
      </c>
      <c r="Q23" s="393">
        <f>IF(Eligibility!$J$12="HECO",'S2-SHW'!P23*'S2-SHW'!$D$15,IF(Eligibility!$J$12="HELCO",'S2-SHW'!P23*'S2-SHW'!$D$16,IF(Eligibility!$J$12="MECO - Maui",'S2-SHW'!P23*'S2-SHW'!$D$17,IF(Eligibility!$J$12="MECO - Lanai",'S2-SHW'!P23*'S2-SHW'!$D$18,IF(Eligibility!$J$12="MECO - Molokai",'S2-SHW'!P23*'S2-SHW'!$D$19,0)))))</f>
        <v>0.43820121787599992</v>
      </c>
      <c r="R23" s="393">
        <f>IF(Eligibility!$J$12="HECO",'S2-SHW'!Q23*'S2-SHW'!$D$15,IF(Eligibility!$J$12="HELCO",'S2-SHW'!Q23*'S2-SHW'!$D$16,IF(Eligibility!$J$12="MECO - Maui",'S2-SHW'!Q23*'S2-SHW'!$D$17,IF(Eligibility!$J$12="MECO - Lanai",'S2-SHW'!Q23*'S2-SHW'!$D$18,IF(Eligibility!$J$12="MECO - Molokai",'S2-SHW'!Q23*'S2-SHW'!$D$19,0)))))</f>
        <v>0.4550719647642259</v>
      </c>
      <c r="S23" s="393">
        <f>IF(Eligibility!$J$12="HECO",'S2-SHW'!R23*'S2-SHW'!$D$15,IF(Eligibility!$J$12="HELCO",'S2-SHW'!R23*'S2-SHW'!$D$16,IF(Eligibility!$J$12="MECO - Maui",'S2-SHW'!R23*'S2-SHW'!$D$17,IF(Eligibility!$J$12="MECO - Lanai",'S2-SHW'!R23*'S2-SHW'!$D$18,IF(Eligibility!$J$12="MECO - Molokai",'S2-SHW'!R23*'S2-SHW'!$D$19,0)))))</f>
        <v>0.47259223540764861</v>
      </c>
      <c r="T23" s="393">
        <f>IF(Eligibility!$J$12="HECO",'S2-SHW'!S23*'S2-SHW'!$D$15,IF(Eligibility!$J$12="HELCO",'S2-SHW'!S23*'S2-SHW'!$D$16,IF(Eligibility!$J$12="MECO - Maui",'S2-SHW'!S23*'S2-SHW'!$D$17,IF(Eligibility!$J$12="MECO - Lanai",'S2-SHW'!S23*'S2-SHW'!$D$18,IF(Eligibility!$J$12="MECO - Molokai",'S2-SHW'!S23*'S2-SHW'!$D$19,0)))))</f>
        <v>0.4907870364708431</v>
      </c>
      <c r="U23" s="393">
        <f>IF(Eligibility!$J$12="HECO",'S2-SHW'!T23*'S2-SHW'!$D$15,IF(Eligibility!$J$12="HELCO",'S2-SHW'!T23*'S2-SHW'!$D$16,IF(Eligibility!$J$12="MECO - Maui",'S2-SHW'!T23*'S2-SHW'!$D$17,IF(Eligibility!$J$12="MECO - Lanai",'S2-SHW'!T23*'S2-SHW'!$D$18,IF(Eligibility!$J$12="MECO - Molokai",'S2-SHW'!T23*'S2-SHW'!$D$19,0)))))</f>
        <v>0.5096823373749706</v>
      </c>
      <c r="V23" s="393">
        <f>IF(Eligibility!$J$12="HECO",'S2-SHW'!U23*'S2-SHW'!$D$15,IF(Eligibility!$J$12="HELCO",'S2-SHW'!U23*'S2-SHW'!$D$16,IF(Eligibility!$J$12="MECO - Maui",'S2-SHW'!U23*'S2-SHW'!$D$17,IF(Eligibility!$J$12="MECO - Lanai",'S2-SHW'!U23*'S2-SHW'!$D$18,IF(Eligibility!$J$12="MECO - Molokai",'S2-SHW'!U23*'S2-SHW'!$D$19,0)))))</f>
        <v>0.5293051073639069</v>
      </c>
      <c r="W23" s="393">
        <f>IF(Eligibility!$J$12="HECO",'S2-SHW'!V23*'S2-SHW'!$D$15,IF(Eligibility!$J$12="HELCO",'S2-SHW'!V23*'S2-SHW'!$D$16,IF(Eligibility!$J$12="MECO - Maui",'S2-SHW'!V23*'S2-SHW'!$D$17,IF(Eligibility!$J$12="MECO - Lanai",'S2-SHW'!V23*'S2-SHW'!$D$18,IF(Eligibility!$J$12="MECO - Molokai",'S2-SHW'!V23*'S2-SHW'!$D$19,0)))))</f>
        <v>0.5496833539974173</v>
      </c>
      <c r="X23" s="393">
        <f>IF(Eligibility!$J$12="HECO",'S2-SHW'!W23*'S2-SHW'!$D$15,IF(Eligibility!$J$12="HELCO",'S2-SHW'!W23*'S2-SHW'!$D$16,IF(Eligibility!$J$12="MECO - Maui",'S2-SHW'!W23*'S2-SHW'!$D$17,IF(Eligibility!$J$12="MECO - Lanai",'S2-SHW'!W23*'S2-SHW'!$D$18,IF(Eligibility!$J$12="MECO - Molokai",'S2-SHW'!W23*'S2-SHW'!$D$19,0)))))</f>
        <v>0.57084616312631786</v>
      </c>
      <c r="Y23" s="131"/>
    </row>
    <row r="24" spans="1:25" s="66" customFormat="1" ht="15" hidden="1" x14ac:dyDescent="0.2">
      <c r="A24" s="21"/>
      <c r="B24" s="21"/>
      <c r="C24" s="21"/>
      <c r="D24" s="21"/>
      <c r="E24" s="141"/>
      <c r="F24" s="393">
        <f>IF(Eligibility!$J$12="HECO",'S2-SHW'!$C30*'S2-SHW'!$D$15,IF(Eligibility!$J$12="HELCO",'S2-SHW'!$C30*'S2-SHW'!$D$16,IF(Eligibility!$J$12="MECO - Maui",'S2-SHW'!$C30*'S2-SHW'!$D$17,IF(Eligibility!$J$12="MECO - Lanai",'S2-SHW'!$C30*'S2-SHW'!$D$18,IF(Eligibility!$J$12="MECO - Molokai",'S2-SHW'!$C30*'S2-SHW'!$D$19,0)))))</f>
        <v>0.30118161599999999</v>
      </c>
      <c r="G24" s="393">
        <f>IF(Eligibility!$J$12="HECO",'S2-SHW'!F24*'S2-SHW'!$D$15,IF(Eligibility!$J$12="HELCO",'S2-SHW'!F24*'S2-SHW'!$D$16,IF(Eligibility!$J$12="MECO - Maui",'S2-SHW'!F24*'S2-SHW'!$D$17,IF(Eligibility!$J$12="MECO - Lanai",'S2-SHW'!F24*'S2-SHW'!$D$18,IF(Eligibility!$J$12="MECO - Molokai",'S2-SHW'!F24*'S2-SHW'!$D$19,0)))))</f>
        <v>0.31277710821599997</v>
      </c>
      <c r="H24" s="393">
        <f>IF(Eligibility!$J$12="HECO",'S2-SHW'!G24*'S2-SHW'!$D$15,IF(Eligibility!$J$12="HELCO",'S2-SHW'!G24*'S2-SHW'!$D$16,IF(Eligibility!$J$12="MECO - Maui",'S2-SHW'!G24*'S2-SHW'!$D$17,IF(Eligibility!$J$12="MECO - Lanai",'S2-SHW'!G24*'S2-SHW'!$D$18,IF(Eligibility!$J$12="MECO - Molokai",'S2-SHW'!G24*'S2-SHW'!$D$19,0)))))</f>
        <v>0.32481902688231595</v>
      </c>
      <c r="I24" s="393">
        <f>IF(Eligibility!$J$12="HECO",'S2-SHW'!H24*'S2-SHW'!$D$15,IF(Eligibility!$J$12="HELCO",'S2-SHW'!H24*'S2-SHW'!$D$16,IF(Eligibility!$J$12="MECO - Maui",'S2-SHW'!H24*'S2-SHW'!$D$17,IF(Eligibility!$J$12="MECO - Lanai",'S2-SHW'!H24*'S2-SHW'!$D$18,IF(Eligibility!$J$12="MECO - Molokai",'S2-SHW'!H24*'S2-SHW'!$D$19,0)))))</f>
        <v>0.33732455941728512</v>
      </c>
      <c r="J24" s="393">
        <f>IF(Eligibility!$J$12="HECO",'S2-SHW'!I24*'S2-SHW'!$D$15,IF(Eligibility!$J$12="HELCO",'S2-SHW'!I24*'S2-SHW'!$D$16,IF(Eligibility!$J$12="MECO - Maui",'S2-SHW'!I24*'S2-SHW'!$D$17,IF(Eligibility!$J$12="MECO - Lanai",'S2-SHW'!I24*'S2-SHW'!$D$18,IF(Eligibility!$J$12="MECO - Molokai",'S2-SHW'!I24*'S2-SHW'!$D$19,0)))))</f>
        <v>0.35031155495485061</v>
      </c>
      <c r="K24" s="393">
        <f>IF(Eligibility!$J$12="HECO",'S2-SHW'!J24*'S2-SHW'!$D$15,IF(Eligibility!$J$12="HELCO",'S2-SHW'!J24*'S2-SHW'!$D$16,IF(Eligibility!$J$12="MECO - Maui",'S2-SHW'!J24*'S2-SHW'!$D$17,IF(Eligibility!$J$12="MECO - Lanai",'S2-SHW'!J24*'S2-SHW'!$D$18,IF(Eligibility!$J$12="MECO - Molokai",'S2-SHW'!J24*'S2-SHW'!$D$19,0)))))</f>
        <v>0.36379854982061233</v>
      </c>
      <c r="L24" s="393">
        <f>IF(Eligibility!$J$12="HECO",'S2-SHW'!K24*'S2-SHW'!$D$15,IF(Eligibility!$J$12="HELCO",'S2-SHW'!K24*'S2-SHW'!$D$16,IF(Eligibility!$J$12="MECO - Maui",'S2-SHW'!K24*'S2-SHW'!$D$17,IF(Eligibility!$J$12="MECO - Lanai",'S2-SHW'!K24*'S2-SHW'!$D$18,IF(Eligibility!$J$12="MECO - Molokai",'S2-SHW'!K24*'S2-SHW'!$D$19,0)))))</f>
        <v>0.37780479398870587</v>
      </c>
      <c r="M24" s="393">
        <f>IF(Eligibility!$J$12="HECO",'S2-SHW'!L24*'S2-SHW'!$D$15,IF(Eligibility!$J$12="HELCO",'S2-SHW'!L24*'S2-SHW'!$D$16,IF(Eligibility!$J$12="MECO - Maui",'S2-SHW'!L24*'S2-SHW'!$D$17,IF(Eligibility!$J$12="MECO - Lanai",'S2-SHW'!L24*'S2-SHW'!$D$18,IF(Eligibility!$J$12="MECO - Molokai",'S2-SHW'!L24*'S2-SHW'!$D$19,0)))))</f>
        <v>0.39235027855727106</v>
      </c>
      <c r="N24" s="393">
        <f>IF(Eligibility!$J$12="HECO",'S2-SHW'!M24*'S2-SHW'!$D$15,IF(Eligibility!$J$12="HELCO",'S2-SHW'!M24*'S2-SHW'!$D$16,IF(Eligibility!$J$12="MECO - Maui",'S2-SHW'!M24*'S2-SHW'!$D$17,IF(Eligibility!$J$12="MECO - Lanai",'S2-SHW'!M24*'S2-SHW'!$D$18,IF(Eligibility!$J$12="MECO - Molokai",'S2-SHW'!M24*'S2-SHW'!$D$19,0)))))</f>
        <v>0.40745576428172597</v>
      </c>
      <c r="O24" s="393">
        <f>IF(Eligibility!$J$12="HECO",'S2-SHW'!N24*'S2-SHW'!$D$15,IF(Eligibility!$J$12="HELCO",'S2-SHW'!N24*'S2-SHW'!$D$16,IF(Eligibility!$J$12="MECO - Maui",'S2-SHW'!N24*'S2-SHW'!$D$17,IF(Eligibility!$J$12="MECO - Lanai",'S2-SHW'!N24*'S2-SHW'!$D$18,IF(Eligibility!$J$12="MECO - Molokai",'S2-SHW'!N24*'S2-SHW'!$D$19,0)))))</f>
        <v>0.42314281120657243</v>
      </c>
      <c r="P24" s="393">
        <f>IF(Eligibility!$J$12="HECO",'S2-SHW'!O24*'S2-SHW'!$D$15,IF(Eligibility!$J$12="HELCO",'S2-SHW'!O24*'S2-SHW'!$D$16,IF(Eligibility!$J$12="MECO - Maui",'S2-SHW'!O24*'S2-SHW'!$D$17,IF(Eligibility!$J$12="MECO - Lanai",'S2-SHW'!O24*'S2-SHW'!$D$18,IF(Eligibility!$J$12="MECO - Molokai",'S2-SHW'!O24*'S2-SHW'!$D$19,0)))))</f>
        <v>0.43943380943802546</v>
      </c>
      <c r="Q24" s="393">
        <f>IF(Eligibility!$J$12="HECO",'S2-SHW'!P24*'S2-SHW'!$D$15,IF(Eligibility!$J$12="HELCO",'S2-SHW'!P24*'S2-SHW'!$D$16,IF(Eligibility!$J$12="MECO - Maui",'S2-SHW'!P24*'S2-SHW'!$D$17,IF(Eligibility!$J$12="MECO - Lanai",'S2-SHW'!P24*'S2-SHW'!$D$18,IF(Eligibility!$J$12="MECO - Molokai",'S2-SHW'!P24*'S2-SHW'!$D$19,0)))))</f>
        <v>0.45635201110138945</v>
      </c>
      <c r="R24" s="393">
        <f>IF(Eligibility!$J$12="HECO",'S2-SHW'!Q24*'S2-SHW'!$D$15,IF(Eligibility!$J$12="HELCO",'S2-SHW'!Q24*'S2-SHW'!$D$16,IF(Eligibility!$J$12="MECO - Maui",'S2-SHW'!Q24*'S2-SHW'!$D$17,IF(Eligibility!$J$12="MECO - Lanai",'S2-SHW'!Q24*'S2-SHW'!$D$18,IF(Eligibility!$J$12="MECO - Molokai",'S2-SHW'!Q24*'S2-SHW'!$D$19,0)))))</f>
        <v>0.47392156352879294</v>
      </c>
      <c r="S24" s="393">
        <f>IF(Eligibility!$J$12="HECO",'S2-SHW'!R24*'S2-SHW'!$D$15,IF(Eligibility!$J$12="HELCO",'S2-SHW'!R24*'S2-SHW'!$D$16,IF(Eligibility!$J$12="MECO - Maui",'S2-SHW'!R24*'S2-SHW'!$D$17,IF(Eligibility!$J$12="MECO - Lanai",'S2-SHW'!R24*'S2-SHW'!$D$18,IF(Eligibility!$J$12="MECO - Molokai",'S2-SHW'!R24*'S2-SHW'!$D$19,0)))))</f>
        <v>0.49216754372465144</v>
      </c>
      <c r="T24" s="393">
        <f>IF(Eligibility!$J$12="HECO",'S2-SHW'!S24*'S2-SHW'!$D$15,IF(Eligibility!$J$12="HELCO",'S2-SHW'!S24*'S2-SHW'!$D$16,IF(Eligibility!$J$12="MECO - Maui",'S2-SHW'!S24*'S2-SHW'!$D$17,IF(Eligibility!$J$12="MECO - Lanai",'S2-SHW'!S24*'S2-SHW'!$D$18,IF(Eligibility!$J$12="MECO - Molokai",'S2-SHW'!S24*'S2-SHW'!$D$19,0)))))</f>
        <v>0.51111599415805054</v>
      </c>
      <c r="U24" s="393">
        <f>IF(Eligibility!$J$12="HECO",'S2-SHW'!T24*'S2-SHW'!$D$15,IF(Eligibility!$J$12="HELCO",'S2-SHW'!T24*'S2-SHW'!$D$16,IF(Eligibility!$J$12="MECO - Maui",'S2-SHW'!T24*'S2-SHW'!$D$17,IF(Eligibility!$J$12="MECO - Lanai",'S2-SHW'!T24*'S2-SHW'!$D$18,IF(Eligibility!$J$12="MECO - Molokai",'S2-SHW'!T24*'S2-SHW'!$D$19,0)))))</f>
        <v>0.5307939599331355</v>
      </c>
      <c r="V24" s="393">
        <f>IF(Eligibility!$J$12="HECO",'S2-SHW'!U24*'S2-SHW'!$D$15,IF(Eligibility!$J$12="HELCO",'S2-SHW'!U24*'S2-SHW'!$D$16,IF(Eligibility!$J$12="MECO - Maui",'S2-SHW'!U24*'S2-SHW'!$D$17,IF(Eligibility!$J$12="MECO - Lanai",'S2-SHW'!U24*'S2-SHW'!$D$18,IF(Eligibility!$J$12="MECO - Molokai",'S2-SHW'!U24*'S2-SHW'!$D$19,0)))))</f>
        <v>0.55122952739056119</v>
      </c>
      <c r="W24" s="393">
        <f>IF(Eligibility!$J$12="HECO",'S2-SHW'!V24*'S2-SHW'!$D$15,IF(Eligibility!$J$12="HELCO",'S2-SHW'!V24*'S2-SHW'!$D$16,IF(Eligibility!$J$12="MECO - Maui",'S2-SHW'!V24*'S2-SHW'!$D$17,IF(Eligibility!$J$12="MECO - Lanai",'S2-SHW'!V24*'S2-SHW'!$D$18,IF(Eligibility!$J$12="MECO - Molokai",'S2-SHW'!V24*'S2-SHW'!$D$19,0)))))</f>
        <v>0.57245186419509775</v>
      </c>
      <c r="X24" s="393">
        <f>IF(Eligibility!$J$12="HECO",'S2-SHW'!W24*'S2-SHW'!$D$15,IF(Eligibility!$J$12="HELCO",'S2-SHW'!W24*'S2-SHW'!$D$16,IF(Eligibility!$J$12="MECO - Maui",'S2-SHW'!W24*'S2-SHW'!$D$17,IF(Eligibility!$J$12="MECO - Lanai",'S2-SHW'!W24*'S2-SHW'!$D$18,IF(Eligibility!$J$12="MECO - Molokai",'S2-SHW'!W24*'S2-SHW'!$D$19,0)))))</f>
        <v>0.59449126096660898</v>
      </c>
      <c r="Y24" s="131"/>
    </row>
    <row r="25" spans="1:25" s="66" customFormat="1" ht="15" hidden="1" x14ac:dyDescent="0.2">
      <c r="A25" s="21"/>
      <c r="B25" s="21"/>
      <c r="C25" s="21"/>
      <c r="D25" s="21"/>
      <c r="E25" s="141"/>
      <c r="F25" s="393">
        <f>IF(Eligibility!$J$12="HECO",'S2-SHW'!$C31*'S2-SHW'!$D$15,IF(Eligibility!$J$12="HELCO",'S2-SHW'!$C31*'S2-SHW'!$D$16,IF(Eligibility!$J$12="MECO - Maui",'S2-SHW'!$C31*'S2-SHW'!$D$17,IF(Eligibility!$J$12="MECO - Lanai",'S2-SHW'!$C31*'S2-SHW'!$D$18,IF(Eligibility!$J$12="MECO - Molokai",'S2-SHW'!$C31*'S2-SHW'!$D$19,0)))))</f>
        <v>0.32067841499999999</v>
      </c>
      <c r="G25" s="393">
        <f>IF(Eligibility!$J$12="HECO",'S2-SHW'!F25*'S2-SHW'!$D$15,IF(Eligibility!$J$12="HELCO",'S2-SHW'!F25*'S2-SHW'!$D$16,IF(Eligibility!$J$12="MECO - Maui",'S2-SHW'!F25*'S2-SHW'!$D$17,IF(Eligibility!$J$12="MECO - Lanai",'S2-SHW'!F25*'S2-SHW'!$D$18,IF(Eligibility!$J$12="MECO - Molokai",'S2-SHW'!F25*'S2-SHW'!$D$19,0)))))</f>
        <v>0.33302453397749998</v>
      </c>
      <c r="H25" s="393">
        <f>IF(Eligibility!$J$12="HECO",'S2-SHW'!G25*'S2-SHW'!$D$15,IF(Eligibility!$J$12="HELCO",'S2-SHW'!G25*'S2-SHW'!$D$16,IF(Eligibility!$J$12="MECO - Maui",'S2-SHW'!G25*'S2-SHW'!$D$17,IF(Eligibility!$J$12="MECO - Lanai",'S2-SHW'!G25*'S2-SHW'!$D$18,IF(Eligibility!$J$12="MECO - Molokai",'S2-SHW'!G25*'S2-SHW'!$D$19,0)))))</f>
        <v>0.3458459785356337</v>
      </c>
      <c r="I25" s="393">
        <f>IF(Eligibility!$J$12="HECO",'S2-SHW'!H25*'S2-SHW'!$D$15,IF(Eligibility!$J$12="HELCO",'S2-SHW'!H25*'S2-SHW'!$D$16,IF(Eligibility!$J$12="MECO - Maui",'S2-SHW'!H25*'S2-SHW'!$D$17,IF(Eligibility!$J$12="MECO - Lanai",'S2-SHW'!H25*'S2-SHW'!$D$18,IF(Eligibility!$J$12="MECO - Molokai",'S2-SHW'!H25*'S2-SHW'!$D$19,0)))))</f>
        <v>0.35916104870925558</v>
      </c>
      <c r="J25" s="393">
        <f>IF(Eligibility!$J$12="HECO",'S2-SHW'!I25*'S2-SHW'!$D$15,IF(Eligibility!$J$12="HELCO",'S2-SHW'!I25*'S2-SHW'!$D$16,IF(Eligibility!$J$12="MECO - Maui",'S2-SHW'!I25*'S2-SHW'!$D$17,IF(Eligibility!$J$12="MECO - Lanai",'S2-SHW'!I25*'S2-SHW'!$D$18,IF(Eligibility!$J$12="MECO - Molokai",'S2-SHW'!I25*'S2-SHW'!$D$19,0)))))</f>
        <v>0.37298874908456192</v>
      </c>
      <c r="K25" s="393">
        <f>IF(Eligibility!$J$12="HECO",'S2-SHW'!J25*'S2-SHW'!$D$15,IF(Eligibility!$J$12="HELCO",'S2-SHW'!J25*'S2-SHW'!$D$16,IF(Eligibility!$J$12="MECO - Maui",'S2-SHW'!J25*'S2-SHW'!$D$17,IF(Eligibility!$J$12="MECO - Lanai",'S2-SHW'!J25*'S2-SHW'!$D$18,IF(Eligibility!$J$12="MECO - Molokai",'S2-SHW'!J25*'S2-SHW'!$D$19,0)))))</f>
        <v>0.38734881592431752</v>
      </c>
      <c r="L25" s="393">
        <f>IF(Eligibility!$J$12="HECO",'S2-SHW'!K25*'S2-SHW'!$D$15,IF(Eligibility!$J$12="HELCO",'S2-SHW'!K25*'S2-SHW'!$D$16,IF(Eligibility!$J$12="MECO - Maui",'S2-SHW'!K25*'S2-SHW'!$D$17,IF(Eligibility!$J$12="MECO - Lanai",'S2-SHW'!K25*'S2-SHW'!$D$18,IF(Eligibility!$J$12="MECO - Molokai",'S2-SHW'!K25*'S2-SHW'!$D$19,0)))))</f>
        <v>0.40226174533740372</v>
      </c>
      <c r="M25" s="393">
        <f>IF(Eligibility!$J$12="HECO",'S2-SHW'!L25*'S2-SHW'!$D$15,IF(Eligibility!$J$12="HELCO",'S2-SHW'!L25*'S2-SHW'!$D$16,IF(Eligibility!$J$12="MECO - Maui",'S2-SHW'!L25*'S2-SHW'!$D$17,IF(Eligibility!$J$12="MECO - Lanai",'S2-SHW'!L25*'S2-SHW'!$D$18,IF(Eligibility!$J$12="MECO - Molokai",'S2-SHW'!L25*'S2-SHW'!$D$19,0)))))</f>
        <v>0.41774882253289375</v>
      </c>
      <c r="N25" s="393">
        <f>IF(Eligibility!$J$12="HECO",'S2-SHW'!M25*'S2-SHW'!$D$15,IF(Eligibility!$J$12="HELCO",'S2-SHW'!M25*'S2-SHW'!$D$16,IF(Eligibility!$J$12="MECO - Maui",'S2-SHW'!M25*'S2-SHW'!$D$17,IF(Eligibility!$J$12="MECO - Lanai",'S2-SHW'!M25*'S2-SHW'!$D$18,IF(Eligibility!$J$12="MECO - Molokai",'S2-SHW'!M25*'S2-SHW'!$D$19,0)))))</f>
        <v>0.43383215220041016</v>
      </c>
      <c r="O25" s="393">
        <f>IF(Eligibility!$J$12="HECO",'S2-SHW'!N25*'S2-SHW'!$D$15,IF(Eligibility!$J$12="HELCO",'S2-SHW'!N25*'S2-SHW'!$D$16,IF(Eligibility!$J$12="MECO - Maui",'S2-SHW'!N25*'S2-SHW'!$D$17,IF(Eligibility!$J$12="MECO - Lanai",'S2-SHW'!N25*'S2-SHW'!$D$18,IF(Eligibility!$J$12="MECO - Molokai",'S2-SHW'!N25*'S2-SHW'!$D$19,0)))))</f>
        <v>0.45053469006012592</v>
      </c>
      <c r="P25" s="393">
        <f>IF(Eligibility!$J$12="HECO",'S2-SHW'!O25*'S2-SHW'!$D$15,IF(Eligibility!$J$12="HELCO",'S2-SHW'!O25*'S2-SHW'!$D$16,IF(Eligibility!$J$12="MECO - Maui",'S2-SHW'!O25*'S2-SHW'!$D$17,IF(Eligibility!$J$12="MECO - Lanai",'S2-SHW'!O25*'S2-SHW'!$D$18,IF(Eligibility!$J$12="MECO - Molokai",'S2-SHW'!O25*'S2-SHW'!$D$19,0)))))</f>
        <v>0.46788027562744078</v>
      </c>
      <c r="Q25" s="393">
        <f>IF(Eligibility!$J$12="HECO",'S2-SHW'!P25*'S2-SHW'!$D$15,IF(Eligibility!$J$12="HELCO",'S2-SHW'!P25*'S2-SHW'!$D$16,IF(Eligibility!$J$12="MECO - Maui",'S2-SHW'!P25*'S2-SHW'!$D$17,IF(Eligibility!$J$12="MECO - Lanai",'S2-SHW'!P25*'S2-SHW'!$D$18,IF(Eligibility!$J$12="MECO - Molokai",'S2-SHW'!P25*'S2-SHW'!$D$19,0)))))</f>
        <v>0.48589366623909724</v>
      </c>
      <c r="R25" s="393">
        <f>IF(Eligibility!$J$12="HECO",'S2-SHW'!Q25*'S2-SHW'!$D$15,IF(Eligibility!$J$12="HELCO",'S2-SHW'!Q25*'S2-SHW'!$D$16,IF(Eligibility!$J$12="MECO - Maui",'S2-SHW'!Q25*'S2-SHW'!$D$17,IF(Eligibility!$J$12="MECO - Lanai",'S2-SHW'!Q25*'S2-SHW'!$D$18,IF(Eligibility!$J$12="MECO - Molokai",'S2-SHW'!Q25*'S2-SHW'!$D$19,0)))))</f>
        <v>0.50460057238930245</v>
      </c>
      <c r="S25" s="393">
        <f>IF(Eligibility!$J$12="HECO",'S2-SHW'!R25*'S2-SHW'!$D$15,IF(Eligibility!$J$12="HELCO",'S2-SHW'!R25*'S2-SHW'!$D$16,IF(Eligibility!$J$12="MECO - Maui",'S2-SHW'!R25*'S2-SHW'!$D$17,IF(Eligibility!$J$12="MECO - Lanai",'S2-SHW'!R25*'S2-SHW'!$D$18,IF(Eligibility!$J$12="MECO - Molokai",'S2-SHW'!R25*'S2-SHW'!$D$19,0)))))</f>
        <v>0.5240276944262906</v>
      </c>
      <c r="T25" s="393">
        <f>IF(Eligibility!$J$12="HECO",'S2-SHW'!S25*'S2-SHW'!$D$15,IF(Eligibility!$J$12="HELCO",'S2-SHW'!S25*'S2-SHW'!$D$16,IF(Eligibility!$J$12="MECO - Maui",'S2-SHW'!S25*'S2-SHW'!$D$17,IF(Eligibility!$J$12="MECO - Lanai",'S2-SHW'!S25*'S2-SHW'!$D$18,IF(Eligibility!$J$12="MECO - Molokai",'S2-SHW'!S25*'S2-SHW'!$D$19,0)))))</f>
        <v>0.54420276066170281</v>
      </c>
      <c r="U25" s="393">
        <f>IF(Eligibility!$J$12="HECO",'S2-SHW'!T25*'S2-SHW'!$D$15,IF(Eligibility!$J$12="HELCO",'S2-SHW'!T25*'S2-SHW'!$D$16,IF(Eligibility!$J$12="MECO - Maui",'S2-SHW'!T25*'S2-SHW'!$D$17,IF(Eligibility!$J$12="MECO - Lanai",'S2-SHW'!T25*'S2-SHW'!$D$18,IF(Eligibility!$J$12="MECO - Molokai",'S2-SHW'!T25*'S2-SHW'!$D$19,0)))))</f>
        <v>0.56515456694717836</v>
      </c>
      <c r="V25" s="393">
        <f>IF(Eligibility!$J$12="HECO",'S2-SHW'!U25*'S2-SHW'!$D$15,IF(Eligibility!$J$12="HELCO",'S2-SHW'!U25*'S2-SHW'!$D$16,IF(Eligibility!$J$12="MECO - Maui",'S2-SHW'!U25*'S2-SHW'!$D$17,IF(Eligibility!$J$12="MECO - Lanai",'S2-SHW'!U25*'S2-SHW'!$D$18,IF(Eligibility!$J$12="MECO - Molokai",'S2-SHW'!U25*'S2-SHW'!$D$19,0)))))</f>
        <v>0.58691301777464466</v>
      </c>
      <c r="W25" s="393">
        <f>IF(Eligibility!$J$12="HECO",'S2-SHW'!V25*'S2-SHW'!$D$15,IF(Eligibility!$J$12="HELCO",'S2-SHW'!V25*'S2-SHW'!$D$16,IF(Eligibility!$J$12="MECO - Maui",'S2-SHW'!V25*'S2-SHW'!$D$17,IF(Eligibility!$J$12="MECO - Lanai",'S2-SHW'!V25*'S2-SHW'!$D$18,IF(Eligibility!$J$12="MECO - Molokai",'S2-SHW'!V25*'S2-SHW'!$D$19,0)))))</f>
        <v>0.60950916895896845</v>
      </c>
      <c r="X25" s="393">
        <f>IF(Eligibility!$J$12="HECO",'S2-SHW'!W25*'S2-SHW'!$D$15,IF(Eligibility!$J$12="HELCO",'S2-SHW'!W25*'S2-SHW'!$D$16,IF(Eligibility!$J$12="MECO - Maui",'S2-SHW'!W25*'S2-SHW'!$D$17,IF(Eligibility!$J$12="MECO - Lanai",'S2-SHW'!W25*'S2-SHW'!$D$18,IF(Eligibility!$J$12="MECO - Molokai",'S2-SHW'!W25*'S2-SHW'!$D$19,0)))))</f>
        <v>0.6329752719638887</v>
      </c>
      <c r="Y25" s="131"/>
    </row>
    <row r="26" spans="1:25" s="129" customFormat="1" x14ac:dyDescent="0.15">
      <c r="A26" s="21"/>
      <c r="B26" s="259"/>
      <c r="C26" s="118" t="s">
        <v>67</v>
      </c>
      <c r="D26" s="264" t="s">
        <v>245</v>
      </c>
      <c r="E26" s="141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1"/>
    </row>
    <row r="27" spans="1:25" s="129" customFormat="1" x14ac:dyDescent="0.15">
      <c r="A27" s="21" t="s">
        <v>83</v>
      </c>
      <c r="B27" s="21"/>
      <c r="C27" s="265">
        <f>Eligibility!D66</f>
        <v>14151</v>
      </c>
      <c r="D27" s="266">
        <f>C27/12</f>
        <v>1179.25</v>
      </c>
      <c r="E27" s="263">
        <f>(C27-E13)/12</f>
        <v>1061.4166666666667</v>
      </c>
      <c r="F27" s="267">
        <f>(C27-F13)/12</f>
        <v>1062.0058333333334</v>
      </c>
      <c r="G27" s="267">
        <f>(C27-G13)/12</f>
        <v>1062.5920541666667</v>
      </c>
      <c r="H27" s="267">
        <f>(C27-H13)/12</f>
        <v>1063.1753438958333</v>
      </c>
      <c r="I27" s="267">
        <f>(C27-I13)/12</f>
        <v>1063.7557171763542</v>
      </c>
      <c r="J27" s="267">
        <f>(C27-J13)/12</f>
        <v>1064.3331885904724</v>
      </c>
      <c r="K27" s="267">
        <f>(C27-K13)/12</f>
        <v>1064.90777264752</v>
      </c>
      <c r="L27" s="267">
        <f>(C27-L13)/12</f>
        <v>1065.4794837842826</v>
      </c>
      <c r="M27" s="267">
        <f>(C27-M13)/12</f>
        <v>1066.0483363653609</v>
      </c>
      <c r="N27" s="267">
        <f>(C27-N13)/12</f>
        <v>1066.6143446835342</v>
      </c>
      <c r="O27" s="267">
        <f>(C27-O13)/12</f>
        <v>1067.1775229601164</v>
      </c>
      <c r="P27" s="267">
        <f>(C27-P13)/12</f>
        <v>1067.737885345316</v>
      </c>
      <c r="Q27" s="267">
        <f>(C27-Q13)/12</f>
        <v>1068.2954459185894</v>
      </c>
      <c r="R27" s="267">
        <f>(C27-R13)/12</f>
        <v>1068.8502186889964</v>
      </c>
      <c r="S27" s="267">
        <f>(C27-S13)/12</f>
        <v>1069.4022175955515</v>
      </c>
      <c r="T27" s="267">
        <f>(C27-T13)/12</f>
        <v>1069.9514565075738</v>
      </c>
      <c r="U27" s="267">
        <f>(C27-U13)/12</f>
        <v>1070.4979492250359</v>
      </c>
      <c r="V27" s="267">
        <f>(C27-V13)/12</f>
        <v>1071.0417094789107</v>
      </c>
      <c r="W27" s="267">
        <f>(C27-W13)/12</f>
        <v>1071.5827509315161</v>
      </c>
      <c r="X27" s="267">
        <f>(C27-X13)/12</f>
        <v>1072.1210871768585</v>
      </c>
      <c r="Y27" s="131"/>
    </row>
    <row r="28" spans="1:25" s="129" customFormat="1" x14ac:dyDescent="0.15">
      <c r="A28" s="21"/>
      <c r="B28" s="118" t="s">
        <v>29</v>
      </c>
      <c r="C28" s="118" t="s">
        <v>139</v>
      </c>
      <c r="D28" s="119"/>
      <c r="E28" s="141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1"/>
    </row>
    <row r="29" spans="1:25" s="129" customFormat="1" x14ac:dyDescent="0.15">
      <c r="A29" s="120" t="s">
        <v>136</v>
      </c>
      <c r="B29" s="260">
        <f>IF(Eligibility!$J$12="HECO",Eligibility!O14,IF(Eligibility!$J$12="HELCO",Eligibility!S14,IF(Eligibility!$J$12="MECO - Maui",Eligibility!W14,IF(Eligibility!$J$12="MECO - Lanai",Eligibility!AA14,IF(Eligibility!$J$12="MECO - Molokai",Eligibility!AE14,0)))))</f>
        <v>350</v>
      </c>
      <c r="C29" s="260">
        <f>IF(Eligibility!$J$12="HECO",Eligibility!P14,IF(Eligibility!$J$12="HELCO",Eligibility!T14,IF(Eligibility!$J$12="MECO - Maui",Eligibility!X14,IF(Eligibility!$J$12="MECO - Lanai",Eligibility!AB14,IF(Eligibility!$J$12="MECO - Molokai",Eligibility!AF14,0)))))</f>
        <v>0.27848099999999998</v>
      </c>
      <c r="D29" s="137">
        <f>IF(D27&lt;=$B$29,D27*$C$29,$B$29*$C$29)</f>
        <v>97.468349999999987</v>
      </c>
      <c r="E29" s="137">
        <f>IF(E27&lt;=$B$29,E27*$C$29,$B$29*$C$29)</f>
        <v>97.468349999999987</v>
      </c>
      <c r="F29" s="137">
        <f>IF(F27&lt;=$B$29,F27*F23,$B$29*F23)</f>
        <v>101.22088147499998</v>
      </c>
      <c r="G29" s="137">
        <f t="shared" ref="G29:X29" si="9">IF(G27&lt;=$B$29,G27*G23,$B$29*G23)</f>
        <v>105.11788541178748</v>
      </c>
      <c r="H29" s="137">
        <f t="shared" si="9"/>
        <v>109.1649240001413</v>
      </c>
      <c r="I29" s="137">
        <f t="shared" si="9"/>
        <v>113.36777357414672</v>
      </c>
      <c r="J29" s="137">
        <f t="shared" si="9"/>
        <v>117.73243285675137</v>
      </c>
      <c r="K29" s="137">
        <f t="shared" si="9"/>
        <v>122.26513152173629</v>
      </c>
      <c r="L29" s="137">
        <f t="shared" si="9"/>
        <v>126.97233908532313</v>
      </c>
      <c r="M29" s="137">
        <f t="shared" si="9"/>
        <v>131.86077414010805</v>
      </c>
      <c r="N29" s="137">
        <f t="shared" si="9"/>
        <v>136.93741394450223</v>
      </c>
      <c r="O29" s="137">
        <f t="shared" si="9"/>
        <v>142.20950438136555</v>
      </c>
      <c r="P29" s="137">
        <f t="shared" si="9"/>
        <v>147.68457030004811</v>
      </c>
      <c r="Q29" s="137">
        <f t="shared" si="9"/>
        <v>153.37042625659998</v>
      </c>
      <c r="R29" s="137">
        <f t="shared" si="9"/>
        <v>159.27518766747906</v>
      </c>
      <c r="S29" s="137">
        <f t="shared" si="9"/>
        <v>165.40728239267702</v>
      </c>
      <c r="T29" s="137">
        <f t="shared" si="9"/>
        <v>171.77546276479509</v>
      </c>
      <c r="U29" s="137">
        <f t="shared" si="9"/>
        <v>178.38881808123972</v>
      </c>
      <c r="V29" s="137">
        <f t="shared" si="9"/>
        <v>185.25678757736742</v>
      </c>
      <c r="W29" s="137">
        <f t="shared" si="9"/>
        <v>192.38917389909605</v>
      </c>
      <c r="X29" s="137">
        <f t="shared" si="9"/>
        <v>199.79615709421125</v>
      </c>
      <c r="Y29" s="131"/>
    </row>
    <row r="30" spans="1:25" s="129" customFormat="1" x14ac:dyDescent="0.15">
      <c r="A30" s="120" t="s">
        <v>137</v>
      </c>
      <c r="B30" s="260">
        <f>IF(Eligibility!$J$12="HECO",Eligibility!O15,IF(Eligibility!$J$12="HELCO",Eligibility!S15,IF(Eligibility!$J$12="MECO - Maui",Eligibility!W15,IF(Eligibility!$J$12="MECO - Lanai",Eligibility!AA15,IF(Eligibility!$J$12="MECO - Molokai",Eligibility!AE15,0)))))</f>
        <v>850</v>
      </c>
      <c r="C30" s="260">
        <f>IF(Eligibility!$J$12="HECO",Eligibility!P15,IF(Eligibility!$J$12="HELCO",Eligibility!T15,IF(Eligibility!$J$12="MECO - Maui",Eligibility!X15,IF(Eligibility!$J$12="MECO - Lanai",Eligibility!AB15,IF(Eligibility!$J$12="MECO - Molokai",Eligibility!AF15,0)))))</f>
        <v>0.290016</v>
      </c>
      <c r="D30" s="137">
        <f>IF(AND(D27&gt;$B$29,D27&lt;$B$31),(D27-$B$29)*$C$30,IF(D27&lt;$B$29,0,$B$30*$C$30))</f>
        <v>240.495768</v>
      </c>
      <c r="E30" s="137">
        <f>IF(AND(E27&gt;$B$29,E27&lt;$B$31),(E27-$B$29)*$C$30,IF(E27&lt;$B$29,0,$B$30*$C$30))</f>
        <v>206.32221600000003</v>
      </c>
      <c r="F30" s="137">
        <f>IF(AND(F27&gt;$B$29,F27&lt;$B$31),(F27-$B$29)*F24,IF(F27&lt;$B$29,0,$B$30*F24))</f>
        <v>214.44306748476001</v>
      </c>
      <c r="G30" s="137">
        <f t="shared" ref="G30:X30" si="10">IF(AND(G27&gt;$B$29,G27&lt;$B$31),(G27-$B$29)*G24,IF(G27&lt;$B$29,0,$B$30*G24))</f>
        <v>222.88248203994922</v>
      </c>
      <c r="H30" s="137">
        <f t="shared" si="10"/>
        <v>231.65292120070561</v>
      </c>
      <c r="I30" s="137">
        <f t="shared" si="10"/>
        <v>240.76733282808206</v>
      </c>
      <c r="J30" s="137">
        <f t="shared" si="10"/>
        <v>250.23917005098497</v>
      </c>
      <c r="K30" s="137">
        <f t="shared" si="10"/>
        <v>260.08241094465177</v>
      </c>
      <c r="L30" s="137">
        <f t="shared" si="10"/>
        <v>270.31157897426652</v>
      </c>
      <c r="M30" s="137">
        <f t="shared" si="10"/>
        <v>280.94176423341986</v>
      </c>
      <c r="N30" s="137">
        <f t="shared" si="10"/>
        <v>291.98864550827767</v>
      </c>
      <c r="O30" s="137">
        <f t="shared" si="10"/>
        <v>303.4685131995098</v>
      </c>
      <c r="P30" s="137">
        <f t="shared" si="10"/>
        <v>315.39829313528497</v>
      </c>
      <c r="Q30" s="137">
        <f t="shared" si="10"/>
        <v>327.79557130991759</v>
      </c>
      <c r="R30" s="137">
        <f t="shared" si="10"/>
        <v>340.6786195841039</v>
      </c>
      <c r="S30" s="137">
        <f t="shared" si="10"/>
        <v>354.06642238406982</v>
      </c>
      <c r="T30" s="137">
        <f t="shared" si="10"/>
        <v>367.97870443840503</v>
      </c>
      <c r="U30" s="137">
        <f t="shared" si="10"/>
        <v>382.43595959286</v>
      </c>
      <c r="V30" s="137">
        <f t="shared" si="10"/>
        <v>397.45948074494225</v>
      </c>
      <c r="W30" s="137">
        <f t="shared" si="10"/>
        <v>413.0713909417733</v>
      </c>
      <c r="X30" s="137">
        <f t="shared" si="10"/>
        <v>429.29467568634919</v>
      </c>
      <c r="Y30" s="131"/>
    </row>
    <row r="31" spans="1:25" s="129" customFormat="1" x14ac:dyDescent="0.15">
      <c r="A31" s="120" t="s">
        <v>138</v>
      </c>
      <c r="B31" s="260">
        <f>IF(Eligibility!$J$12="HECO",Eligibility!O16,IF(Eligibility!$J$12="HELCO",Eligibility!S16,IF(Eligibility!$J$12="MECO - Maui",Eligibility!W16,IF(Eligibility!$J$12="MECO - Lanai",Eligibility!AA16,IF(Eligibility!$J$12="MECO - Molokai",Eligibility!AE16,0)))))</f>
        <v>1200</v>
      </c>
      <c r="C31" s="260">
        <f>IF(Eligibility!$J$12="HECO",Eligibility!P16,IF(Eligibility!$J$12="HELCO",Eligibility!T16,IF(Eligibility!$J$12="MECO - Maui",Eligibility!X16,IF(Eligibility!$J$12="MECO - Lanai",Eligibility!AB16,IF(Eligibility!$J$12="MECO - Molokai",Eligibility!AF16,0)))))</f>
        <v>0.30879000000000001</v>
      </c>
      <c r="D31" s="137">
        <f>IF(D27&gt;=$B$31,(D27-$B$31)*$C$31,0)</f>
        <v>0</v>
      </c>
      <c r="E31" s="137">
        <f>IF(E27&gt;=$B$31,(E27-$B$31)*$C$31,0)</f>
        <v>0</v>
      </c>
      <c r="F31" s="137">
        <f>IF(F27&gt;=$B$31,(F27-$B$31)*F25,0)</f>
        <v>0</v>
      </c>
      <c r="G31" s="137">
        <f t="shared" ref="G31:X31" si="11">IF(G27&gt;=$B$31,(G27-$B$31)*G25,0)</f>
        <v>0</v>
      </c>
      <c r="H31" s="137">
        <f t="shared" si="11"/>
        <v>0</v>
      </c>
      <c r="I31" s="137">
        <f t="shared" si="11"/>
        <v>0</v>
      </c>
      <c r="J31" s="137">
        <f t="shared" si="11"/>
        <v>0</v>
      </c>
      <c r="K31" s="137">
        <f t="shared" si="11"/>
        <v>0</v>
      </c>
      <c r="L31" s="137">
        <f t="shared" si="11"/>
        <v>0</v>
      </c>
      <c r="M31" s="137">
        <f t="shared" si="11"/>
        <v>0</v>
      </c>
      <c r="N31" s="137">
        <f t="shared" si="11"/>
        <v>0</v>
      </c>
      <c r="O31" s="137">
        <f t="shared" si="11"/>
        <v>0</v>
      </c>
      <c r="P31" s="137">
        <f t="shared" si="11"/>
        <v>0</v>
      </c>
      <c r="Q31" s="137">
        <f t="shared" si="11"/>
        <v>0</v>
      </c>
      <c r="R31" s="137">
        <f t="shared" si="11"/>
        <v>0</v>
      </c>
      <c r="S31" s="137">
        <f t="shared" si="11"/>
        <v>0</v>
      </c>
      <c r="T31" s="137">
        <f t="shared" si="11"/>
        <v>0</v>
      </c>
      <c r="U31" s="137">
        <f t="shared" si="11"/>
        <v>0</v>
      </c>
      <c r="V31" s="137">
        <f t="shared" si="11"/>
        <v>0</v>
      </c>
      <c r="W31" s="137">
        <f t="shared" si="11"/>
        <v>0</v>
      </c>
      <c r="X31" s="137">
        <f t="shared" si="11"/>
        <v>0</v>
      </c>
      <c r="Y31" s="131"/>
    </row>
    <row r="32" spans="1:25" s="129" customFormat="1" x14ac:dyDescent="0.15">
      <c r="A32" s="21"/>
      <c r="B32" s="21"/>
      <c r="C32" s="262"/>
      <c r="D32" s="141">
        <f>SUM(D29:D31)</f>
        <v>337.96411799999998</v>
      </c>
      <c r="E32" s="141">
        <f>SUM(E29:E31)</f>
        <v>303.79056600000001</v>
      </c>
      <c r="F32" s="141">
        <f t="shared" ref="F32:X32" si="12">SUM(F29:F31)</f>
        <v>315.66394895975998</v>
      </c>
      <c r="G32" s="141">
        <f t="shared" si="12"/>
        <v>328.00036745173668</v>
      </c>
      <c r="H32" s="141">
        <f t="shared" si="12"/>
        <v>340.81784520084693</v>
      </c>
      <c r="I32" s="141">
        <f t="shared" si="12"/>
        <v>354.13510640222876</v>
      </c>
      <c r="J32" s="141">
        <f t="shared" si="12"/>
        <v>367.97160290773633</v>
      </c>
      <c r="K32" s="141">
        <f t="shared" si="12"/>
        <v>382.34754246638806</v>
      </c>
      <c r="L32" s="141">
        <f t="shared" si="12"/>
        <v>397.28391805958967</v>
      </c>
      <c r="M32" s="141">
        <f t="shared" si="12"/>
        <v>412.80253837352791</v>
      </c>
      <c r="N32" s="141">
        <f t="shared" si="12"/>
        <v>428.9260594527799</v>
      </c>
      <c r="O32" s="141">
        <f t="shared" si="12"/>
        <v>445.67801758087535</v>
      </c>
      <c r="P32" s="141">
        <f t="shared" si="12"/>
        <v>463.08286343533308</v>
      </c>
      <c r="Q32" s="141">
        <f t="shared" si="12"/>
        <v>481.1659975665176</v>
      </c>
      <c r="R32" s="141">
        <f t="shared" si="12"/>
        <v>499.95380725158293</v>
      </c>
      <c r="S32" s="141">
        <f t="shared" si="12"/>
        <v>519.4737047767469</v>
      </c>
      <c r="T32" s="141">
        <f t="shared" si="12"/>
        <v>539.75416720320015</v>
      </c>
      <c r="U32" s="141">
        <f t="shared" si="12"/>
        <v>560.82477767409978</v>
      </c>
      <c r="V32" s="141">
        <f t="shared" si="12"/>
        <v>582.7162683223097</v>
      </c>
      <c r="W32" s="141">
        <f t="shared" si="12"/>
        <v>605.46056484086932</v>
      </c>
      <c r="X32" s="141">
        <f t="shared" si="12"/>
        <v>629.0908327805605</v>
      </c>
      <c r="Y32" s="131"/>
    </row>
    <row r="33" spans="1:27" s="151" customFormat="1" ht="15" x14ac:dyDescent="0.2">
      <c r="A33" s="147" t="s">
        <v>246</v>
      </c>
      <c r="B33" s="147"/>
      <c r="C33" s="147"/>
      <c r="D33" s="178"/>
      <c r="E33" s="179">
        <f>IF(Eligibility!$J$12="HECO",E32*12,0)</f>
        <v>3645.4867920000002</v>
      </c>
      <c r="F33" s="179">
        <f>IF(Eligibility!$J$12="HECO",F32*12,0)</f>
        <v>3787.9673875171197</v>
      </c>
      <c r="G33" s="179">
        <f>IF(Eligibility!$J$12="HECO",G32*12,0)</f>
        <v>3936.0044094208401</v>
      </c>
      <c r="H33" s="179">
        <f>IF(Eligibility!$J$12="HECO",H32*12,0)</f>
        <v>4089.8141424101632</v>
      </c>
      <c r="I33" s="179">
        <f>IF(Eligibility!$J$12="HECO",I32*12,0)</f>
        <v>4249.6212768267451</v>
      </c>
      <c r="J33" s="179">
        <f>IF(Eligibility!$J$12="HECO",J32*12,0)</f>
        <v>4415.6592348928361</v>
      </c>
      <c r="K33" s="179">
        <f>IF(Eligibility!$J$12="HECO",K32*12,0)</f>
        <v>4588.1705095966572</v>
      </c>
      <c r="L33" s="179">
        <f>IF(Eligibility!$J$12="HECO",L32*12,0)</f>
        <v>4767.4070167150758</v>
      </c>
      <c r="M33" s="179">
        <f>IF(Eligibility!$J$12="HECO",M32*12,0)</f>
        <v>4953.6304604823345</v>
      </c>
      <c r="N33" s="179">
        <f>IF(Eligibility!$J$12="HECO",N32*12,0)</f>
        <v>5147.1127134333583</v>
      </c>
      <c r="O33" s="179">
        <f>IF(Eligibility!$J$12="HECO",O32*12,0)</f>
        <v>5348.1362109705042</v>
      </c>
      <c r="P33" s="179">
        <f>IF(Eligibility!$J$12="HECO",P32*12,0)</f>
        <v>5556.9943612239967</v>
      </c>
      <c r="Q33" s="179">
        <f>IF(Eligibility!$J$12="HECO",Q32*12,0)</f>
        <v>5773.9919707982117</v>
      </c>
      <c r="R33" s="179">
        <f>IF(Eligibility!$J$12="HECO",R32*12,0)</f>
        <v>5999.4456870189952</v>
      </c>
      <c r="S33" s="179">
        <f>IF(Eligibility!$J$12="HECO",S32*12,0)</f>
        <v>6233.6844573209628</v>
      </c>
      <c r="T33" s="179">
        <f>IF(Eligibility!$J$12="HECO",T32*12,0)</f>
        <v>6477.0500064384014</v>
      </c>
      <c r="U33" s="179">
        <f>IF(Eligibility!$J$12="HECO",U32*12,0)</f>
        <v>6729.8973320891973</v>
      </c>
      <c r="V33" s="179">
        <f>IF(Eligibility!$J$12="HECO",V32*12,0)</f>
        <v>6992.5952198677169</v>
      </c>
      <c r="W33" s="179">
        <f>IF(Eligibility!$J$12="HECO",W32*12,0)</f>
        <v>7265.5267780904323</v>
      </c>
      <c r="X33" s="179">
        <f>IF(Eligibility!$J$12="HECO",X32*12,0)</f>
        <v>7549.089993366726</v>
      </c>
      <c r="Y33" s="150">
        <f t="shared" si="3"/>
        <v>107507.28596048027</v>
      </c>
    </row>
    <row r="34" spans="1:27" s="156" customFormat="1" ht="15" x14ac:dyDescent="0.2">
      <c r="A34" s="152" t="s">
        <v>189</v>
      </c>
      <c r="B34" s="152"/>
      <c r="C34" s="152"/>
      <c r="D34" s="183"/>
      <c r="E34" s="184">
        <f>IF(Eligibility!$J$12="HELCO",$E$32*12,0)</f>
        <v>0</v>
      </c>
      <c r="F34" s="185">
        <f>(E34*$D$16)*1.005</f>
        <v>0</v>
      </c>
      <c r="G34" s="185">
        <f t="shared" ref="G34:X34" si="13">(F34*$D$16)*1.005</f>
        <v>0</v>
      </c>
      <c r="H34" s="185">
        <f t="shared" si="13"/>
        <v>0</v>
      </c>
      <c r="I34" s="185">
        <f t="shared" si="13"/>
        <v>0</v>
      </c>
      <c r="J34" s="185">
        <f t="shared" si="13"/>
        <v>0</v>
      </c>
      <c r="K34" s="185">
        <f t="shared" si="13"/>
        <v>0</v>
      </c>
      <c r="L34" s="185">
        <f t="shared" si="13"/>
        <v>0</v>
      </c>
      <c r="M34" s="185">
        <f t="shared" si="13"/>
        <v>0</v>
      </c>
      <c r="N34" s="185">
        <f t="shared" si="13"/>
        <v>0</v>
      </c>
      <c r="O34" s="185">
        <f t="shared" si="13"/>
        <v>0</v>
      </c>
      <c r="P34" s="185">
        <f t="shared" si="13"/>
        <v>0</v>
      </c>
      <c r="Q34" s="185">
        <f t="shared" si="13"/>
        <v>0</v>
      </c>
      <c r="R34" s="185">
        <f t="shared" si="13"/>
        <v>0</v>
      </c>
      <c r="S34" s="185">
        <f t="shared" si="13"/>
        <v>0</v>
      </c>
      <c r="T34" s="185">
        <f t="shared" si="13"/>
        <v>0</v>
      </c>
      <c r="U34" s="185">
        <f t="shared" si="13"/>
        <v>0</v>
      </c>
      <c r="V34" s="185">
        <f t="shared" si="13"/>
        <v>0</v>
      </c>
      <c r="W34" s="185">
        <f t="shared" si="13"/>
        <v>0</v>
      </c>
      <c r="X34" s="185">
        <f t="shared" si="13"/>
        <v>0</v>
      </c>
      <c r="Y34" s="155">
        <f t="shared" si="3"/>
        <v>0</v>
      </c>
    </row>
    <row r="35" spans="1:27" s="161" customFormat="1" ht="15" x14ac:dyDescent="0.2">
      <c r="A35" s="157" t="s">
        <v>190</v>
      </c>
      <c r="B35" s="157"/>
      <c r="C35" s="157"/>
      <c r="D35" s="180"/>
      <c r="E35" s="181">
        <f>IF(Eligibility!$J$12="MECO - Maui",$E$32*12,0)</f>
        <v>0</v>
      </c>
      <c r="F35" s="182">
        <f>(E35*$D$17)*1.005</f>
        <v>0</v>
      </c>
      <c r="G35" s="182">
        <f t="shared" ref="G35:X35" si="14">(F35*$D$17)*1.005</f>
        <v>0</v>
      </c>
      <c r="H35" s="182">
        <f t="shared" si="14"/>
        <v>0</v>
      </c>
      <c r="I35" s="182">
        <f t="shared" si="14"/>
        <v>0</v>
      </c>
      <c r="J35" s="182">
        <f t="shared" si="14"/>
        <v>0</v>
      </c>
      <c r="K35" s="182">
        <f t="shared" si="14"/>
        <v>0</v>
      </c>
      <c r="L35" s="182">
        <f t="shared" si="14"/>
        <v>0</v>
      </c>
      <c r="M35" s="182">
        <f t="shared" si="14"/>
        <v>0</v>
      </c>
      <c r="N35" s="182">
        <f t="shared" si="14"/>
        <v>0</v>
      </c>
      <c r="O35" s="182">
        <f t="shared" si="14"/>
        <v>0</v>
      </c>
      <c r="P35" s="182">
        <f t="shared" si="14"/>
        <v>0</v>
      </c>
      <c r="Q35" s="182">
        <f t="shared" si="14"/>
        <v>0</v>
      </c>
      <c r="R35" s="182">
        <f t="shared" si="14"/>
        <v>0</v>
      </c>
      <c r="S35" s="182">
        <f t="shared" si="14"/>
        <v>0</v>
      </c>
      <c r="T35" s="182">
        <f t="shared" si="14"/>
        <v>0</v>
      </c>
      <c r="U35" s="182">
        <f t="shared" si="14"/>
        <v>0</v>
      </c>
      <c r="V35" s="182">
        <f t="shared" si="14"/>
        <v>0</v>
      </c>
      <c r="W35" s="182">
        <f t="shared" si="14"/>
        <v>0</v>
      </c>
      <c r="X35" s="182">
        <f t="shared" si="14"/>
        <v>0</v>
      </c>
      <c r="Y35" s="160">
        <f t="shared" si="3"/>
        <v>0</v>
      </c>
    </row>
    <row r="36" spans="1:27" s="171" customFormat="1" ht="15" x14ac:dyDescent="0.2">
      <c r="A36" s="167" t="s">
        <v>191</v>
      </c>
      <c r="B36" s="167"/>
      <c r="C36" s="167"/>
      <c r="D36" s="186"/>
      <c r="E36" s="187">
        <f>IF(Eligibility!$J$12="MECO - Lanai",$E$32*12,0)</f>
        <v>0</v>
      </c>
      <c r="F36" s="188">
        <f>(E36*$D$18)*1.005</f>
        <v>0</v>
      </c>
      <c r="G36" s="188">
        <f t="shared" ref="G36:X36" si="15">(F36*$D$18)*1.005</f>
        <v>0</v>
      </c>
      <c r="H36" s="188">
        <f t="shared" si="15"/>
        <v>0</v>
      </c>
      <c r="I36" s="188">
        <f t="shared" si="15"/>
        <v>0</v>
      </c>
      <c r="J36" s="188">
        <f t="shared" si="15"/>
        <v>0</v>
      </c>
      <c r="K36" s="188">
        <f t="shared" si="15"/>
        <v>0</v>
      </c>
      <c r="L36" s="188">
        <f t="shared" si="15"/>
        <v>0</v>
      </c>
      <c r="M36" s="188">
        <f t="shared" si="15"/>
        <v>0</v>
      </c>
      <c r="N36" s="188">
        <f t="shared" si="15"/>
        <v>0</v>
      </c>
      <c r="O36" s="188">
        <f t="shared" si="15"/>
        <v>0</v>
      </c>
      <c r="P36" s="188">
        <f t="shared" si="15"/>
        <v>0</v>
      </c>
      <c r="Q36" s="188">
        <f t="shared" si="15"/>
        <v>0</v>
      </c>
      <c r="R36" s="188">
        <f t="shared" si="15"/>
        <v>0</v>
      </c>
      <c r="S36" s="188">
        <f t="shared" si="15"/>
        <v>0</v>
      </c>
      <c r="T36" s="188">
        <f t="shared" si="15"/>
        <v>0</v>
      </c>
      <c r="U36" s="188">
        <f t="shared" si="15"/>
        <v>0</v>
      </c>
      <c r="V36" s="188">
        <f t="shared" si="15"/>
        <v>0</v>
      </c>
      <c r="W36" s="188">
        <f t="shared" si="15"/>
        <v>0</v>
      </c>
      <c r="X36" s="188">
        <f t="shared" si="15"/>
        <v>0</v>
      </c>
      <c r="Y36" s="170">
        <f t="shared" si="3"/>
        <v>0</v>
      </c>
    </row>
    <row r="37" spans="1:27" s="166" customFormat="1" ht="15" x14ac:dyDescent="0.2">
      <c r="A37" s="162" t="s">
        <v>192</v>
      </c>
      <c r="B37" s="162"/>
      <c r="C37" s="162"/>
      <c r="D37" s="189"/>
      <c r="E37" s="190">
        <f>IF(Eligibility!$J$12="MECO - Molokai",$E$32*12,0)</f>
        <v>0</v>
      </c>
      <c r="F37" s="191">
        <f>(E37*$D$19)*1.005</f>
        <v>0</v>
      </c>
      <c r="G37" s="191">
        <f t="shared" ref="G37:X37" si="16">(F37*$D$19)*1.005</f>
        <v>0</v>
      </c>
      <c r="H37" s="191">
        <f t="shared" si="16"/>
        <v>0</v>
      </c>
      <c r="I37" s="191">
        <f t="shared" si="16"/>
        <v>0</v>
      </c>
      <c r="J37" s="191">
        <f t="shared" si="16"/>
        <v>0</v>
      </c>
      <c r="K37" s="191">
        <f t="shared" si="16"/>
        <v>0</v>
      </c>
      <c r="L37" s="191">
        <f t="shared" si="16"/>
        <v>0</v>
      </c>
      <c r="M37" s="191">
        <f t="shared" si="16"/>
        <v>0</v>
      </c>
      <c r="N37" s="191">
        <f t="shared" si="16"/>
        <v>0</v>
      </c>
      <c r="O37" s="191">
        <f t="shared" si="16"/>
        <v>0</v>
      </c>
      <c r="P37" s="191">
        <f t="shared" si="16"/>
        <v>0</v>
      </c>
      <c r="Q37" s="191">
        <f t="shared" si="16"/>
        <v>0</v>
      </c>
      <c r="R37" s="191">
        <f t="shared" si="16"/>
        <v>0</v>
      </c>
      <c r="S37" s="191">
        <f t="shared" si="16"/>
        <v>0</v>
      </c>
      <c r="T37" s="191">
        <f t="shared" si="16"/>
        <v>0</v>
      </c>
      <c r="U37" s="191">
        <f t="shared" si="16"/>
        <v>0</v>
      </c>
      <c r="V37" s="191">
        <f t="shared" si="16"/>
        <v>0</v>
      </c>
      <c r="W37" s="191">
        <f t="shared" si="16"/>
        <v>0</v>
      </c>
      <c r="X37" s="191">
        <f t="shared" si="16"/>
        <v>0</v>
      </c>
      <c r="Y37" s="165">
        <f t="shared" si="3"/>
        <v>0</v>
      </c>
    </row>
    <row r="38" spans="1:27" s="68" customFormat="1" ht="15" x14ac:dyDescent="0.2">
      <c r="A38" s="133"/>
      <c r="B38" s="133"/>
      <c r="C38" s="133"/>
      <c r="D38" s="144"/>
      <c r="E38" s="14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72"/>
    </row>
    <row r="39" spans="1:27" s="151" customFormat="1" ht="15" x14ac:dyDescent="0.2">
      <c r="A39" s="147" t="s">
        <v>193</v>
      </c>
      <c r="B39" s="147"/>
      <c r="C39" s="147"/>
      <c r="D39" s="193"/>
      <c r="E39" s="148">
        <f>IF(Eligibility!$J$12="HECO",E$21+E33,0)</f>
        <v>4435.4878180523647</v>
      </c>
      <c r="F39" s="148">
        <f>IF(Eligibility!$J$12="HECO",F$21+F33,0)</f>
        <v>4577.9684135694843</v>
      </c>
      <c r="G39" s="148">
        <f>IF(Eligibility!$J$12="HECO",G$21+G33,0)</f>
        <v>4726.0054354732047</v>
      </c>
      <c r="H39" s="148">
        <f>IF(Eligibility!$J$12="HECO",H$21+H33,0)</f>
        <v>4879.8151684625273</v>
      </c>
      <c r="I39" s="148">
        <f>IF(Eligibility!$J$12="HECO",I$21+I33,0)</f>
        <v>5039.6223028791092</v>
      </c>
      <c r="J39" s="148">
        <f>IF(Eligibility!$J$12="HECO",J$21+J33,0)</f>
        <v>5205.6602609452002</v>
      </c>
      <c r="K39" s="148">
        <f>IF(Eligibility!$J$12="HECO",K$21+K33,0)</f>
        <v>5378.1715356490213</v>
      </c>
      <c r="L39" s="148">
        <f>IF(Eligibility!$J$12="HECO",L$21+L33,0)</f>
        <v>5557.4080427674398</v>
      </c>
      <c r="M39" s="148">
        <f>IF(Eligibility!$J$12="HECO",M$21+M33,0)</f>
        <v>5743.6314865346985</v>
      </c>
      <c r="N39" s="148">
        <f>IF(Eligibility!$J$12="HECO",N$21+N33,0)</f>
        <v>5937.1137394857224</v>
      </c>
      <c r="O39" s="148">
        <f>IF(Eligibility!$J$12="HECO",O$21+O33,0)</f>
        <v>6138.1372370228682</v>
      </c>
      <c r="P39" s="148">
        <f>IF(Eligibility!$J$12="HECO",P$21+P33,0)</f>
        <v>6346.9953872763608</v>
      </c>
      <c r="Q39" s="148">
        <f>IF(Eligibility!$J$12="HECO",Q$21+Q33,0)</f>
        <v>6563.9929968505758</v>
      </c>
      <c r="R39" s="148">
        <f>IF(Eligibility!$J$12="HECO",R$21+R33,0)</f>
        <v>6789.4467130713592</v>
      </c>
      <c r="S39" s="148">
        <f>IF(Eligibility!$J$12="HECO",S$21+S33,0)</f>
        <v>7023.6854833733269</v>
      </c>
      <c r="T39" s="148">
        <f>IF(Eligibility!$J$12="HECO",T$21+T33,0)</f>
        <v>7267.0510324907655</v>
      </c>
      <c r="U39" s="148">
        <f>IF(Eligibility!$J$12="HECO",U$21+U33,0)</f>
        <v>7519.8983581415614</v>
      </c>
      <c r="V39" s="148">
        <f>IF(Eligibility!$J$12="HECO",V$21+V33,0)</f>
        <v>7782.5962459200809</v>
      </c>
      <c r="W39" s="148">
        <f>IF(Eligibility!$J$12="HECO",W$21+W33,0)</f>
        <v>8055.5278041427964</v>
      </c>
      <c r="X39" s="148">
        <f>IF(Eligibility!$J$12="HECO",X$21+X33,0)</f>
        <v>8339.091019419091</v>
      </c>
      <c r="Y39" s="150">
        <f>SUM(E39:X39)</f>
        <v>123307.30648152757</v>
      </c>
      <c r="AA39" s="227"/>
    </row>
    <row r="40" spans="1:27" s="156" customFormat="1" ht="15" x14ac:dyDescent="0.2">
      <c r="A40" s="152" t="s">
        <v>194</v>
      </c>
      <c r="B40" s="152"/>
      <c r="C40" s="152"/>
      <c r="D40" s="196"/>
      <c r="E40" s="153">
        <f>IF(Eligibility!$J$12="HELCO",E$21+E34,0)</f>
        <v>0</v>
      </c>
      <c r="F40" s="153">
        <f>IF(Eligibility!$J$12="HELCO",F$21+F34,0)</f>
        <v>0</v>
      </c>
      <c r="G40" s="153">
        <f>IF(Eligibility!$J$12="HELCO",G$21+G34,0)</f>
        <v>0</v>
      </c>
      <c r="H40" s="153">
        <f>IF(Eligibility!$J$12="HELCO",H$21+H34,0)</f>
        <v>0</v>
      </c>
      <c r="I40" s="153">
        <f>IF(Eligibility!$J$12="HELCO",I$21+I34,0)</f>
        <v>0</v>
      </c>
      <c r="J40" s="153">
        <f>IF(Eligibility!$J$12="HELCO",J$21+J34,0)</f>
        <v>0</v>
      </c>
      <c r="K40" s="153">
        <f>IF(Eligibility!$J$12="HELCO",K$21+K34,0)</f>
        <v>0</v>
      </c>
      <c r="L40" s="153">
        <f>IF(Eligibility!$J$12="HELCO",L$21+L34,0)</f>
        <v>0</v>
      </c>
      <c r="M40" s="153">
        <f>IF(Eligibility!$J$12="HELCO",M$21+M34,0)</f>
        <v>0</v>
      </c>
      <c r="N40" s="153">
        <f>IF(Eligibility!$J$12="HELCO",N$21+N34,0)</f>
        <v>0</v>
      </c>
      <c r="O40" s="153">
        <f>IF(Eligibility!$J$12="HELCO",O$21+O34,0)</f>
        <v>0</v>
      </c>
      <c r="P40" s="153">
        <f>IF(Eligibility!$J$12="HELCO",P$21+P34,0)</f>
        <v>0</v>
      </c>
      <c r="Q40" s="153">
        <f>IF(Eligibility!$J$12="HELCO",Q$21+Q34,0)</f>
        <v>0</v>
      </c>
      <c r="R40" s="153">
        <f>IF(Eligibility!$J$12="HELCO",R$21+R34,0)</f>
        <v>0</v>
      </c>
      <c r="S40" s="153">
        <f>IF(Eligibility!$J$12="HELCO",S$21+S34,0)</f>
        <v>0</v>
      </c>
      <c r="T40" s="153">
        <f>IF(Eligibility!$J$12="HELCO",T$21+T34,0)</f>
        <v>0</v>
      </c>
      <c r="U40" s="153">
        <f>IF(Eligibility!$J$12="HELCO",U$21+U34,0)</f>
        <v>0</v>
      </c>
      <c r="V40" s="153">
        <f>IF(Eligibility!$J$12="HELCO",V$21+V34,0)</f>
        <v>0</v>
      </c>
      <c r="W40" s="153">
        <f>IF(Eligibility!$J$12="HELCO",W$21+W34,0)</f>
        <v>0</v>
      </c>
      <c r="X40" s="153">
        <f>IF(Eligibility!$J$12="HELCO",X$21+X34,0)</f>
        <v>0</v>
      </c>
      <c r="Y40" s="155">
        <f t="shared" ref="Y40:Y43" si="17">SUM(E40:X40)</f>
        <v>0</v>
      </c>
    </row>
    <row r="41" spans="1:27" s="161" customFormat="1" ht="15" x14ac:dyDescent="0.2">
      <c r="A41" s="157" t="s">
        <v>195</v>
      </c>
      <c r="B41" s="157"/>
      <c r="C41" s="157"/>
      <c r="D41" s="195"/>
      <c r="E41" s="158">
        <f>IF(Eligibility!$J$12="MECO - Maui",E$21+E35,0)</f>
        <v>0</v>
      </c>
      <c r="F41" s="158">
        <f>IF(Eligibility!$J$12="MECO - Maui",F$21+F35,0)</f>
        <v>0</v>
      </c>
      <c r="G41" s="158">
        <f>IF(Eligibility!$J$12="MECO - Maui",G$21+G35,0)</f>
        <v>0</v>
      </c>
      <c r="H41" s="158">
        <f>IF(Eligibility!$J$12="MECO - Maui",H$21+H35,0)</f>
        <v>0</v>
      </c>
      <c r="I41" s="158">
        <f>IF(Eligibility!$J$12="MECO - Maui",I$21+I35,0)</f>
        <v>0</v>
      </c>
      <c r="J41" s="158">
        <f>IF(Eligibility!$J$12="MECO - Maui",J$21+J35,0)</f>
        <v>0</v>
      </c>
      <c r="K41" s="158">
        <f>IF(Eligibility!$J$12="MECO - Maui",K$21+K35,0)</f>
        <v>0</v>
      </c>
      <c r="L41" s="158">
        <f>IF(Eligibility!$J$12="MECO - Maui",L$21+L35,0)</f>
        <v>0</v>
      </c>
      <c r="M41" s="158">
        <f>IF(Eligibility!$J$12="MECO - Maui",M$21+M35,0)</f>
        <v>0</v>
      </c>
      <c r="N41" s="158">
        <f>IF(Eligibility!$J$12="MECO - Maui",N$21+N35,0)</f>
        <v>0</v>
      </c>
      <c r="O41" s="158">
        <f>IF(Eligibility!$J$12="MECO - Maui",O$21+O35,0)</f>
        <v>0</v>
      </c>
      <c r="P41" s="158">
        <f>IF(Eligibility!$J$12="MECO - Maui",P$21+P35,0)</f>
        <v>0</v>
      </c>
      <c r="Q41" s="158">
        <f>IF(Eligibility!$J$12="MECO - Maui",Q$21+Q35,0)</f>
        <v>0</v>
      </c>
      <c r="R41" s="158">
        <f>IF(Eligibility!$J$12="MECO - Maui",R$21+R35,0)</f>
        <v>0</v>
      </c>
      <c r="S41" s="158">
        <f>IF(Eligibility!$J$12="MECO - Maui",S$21+S35,0)</f>
        <v>0</v>
      </c>
      <c r="T41" s="158">
        <f>IF(Eligibility!$J$12="MECO - Maui",T$21+T35,0)</f>
        <v>0</v>
      </c>
      <c r="U41" s="158">
        <f>IF(Eligibility!$J$12="MECO - Maui",U$21+U35,0)</f>
        <v>0</v>
      </c>
      <c r="V41" s="158">
        <f>IF(Eligibility!$J$12="MECO - Maui",V$21+V35,0)</f>
        <v>0</v>
      </c>
      <c r="W41" s="158">
        <f>IF(Eligibility!$J$12="MECO - Maui",W$21+W35,0)</f>
        <v>0</v>
      </c>
      <c r="X41" s="158">
        <f>IF(Eligibility!$J$12="MECO - Maui",X$21+X35,0)</f>
        <v>0</v>
      </c>
      <c r="Y41" s="160">
        <f t="shared" si="17"/>
        <v>0</v>
      </c>
    </row>
    <row r="42" spans="1:27" s="171" customFormat="1" ht="15" x14ac:dyDescent="0.2">
      <c r="A42" s="167" t="s">
        <v>196</v>
      </c>
      <c r="B42" s="167"/>
      <c r="C42" s="167"/>
      <c r="D42" s="194"/>
      <c r="E42" s="168">
        <f>IF(Eligibility!$J$12="MECO - Lanai",E$21+E36,0)</f>
        <v>0</v>
      </c>
      <c r="F42" s="168">
        <f>IF(Eligibility!$J$12="MECO - Lanai",F$21+F36,0)</f>
        <v>0</v>
      </c>
      <c r="G42" s="168">
        <f>IF(Eligibility!$J$12="MECO - Lanai",G$21+G36,0)</f>
        <v>0</v>
      </c>
      <c r="H42" s="168">
        <f>IF(Eligibility!$J$12="MECO - Lanai",H$21+H36,0)</f>
        <v>0</v>
      </c>
      <c r="I42" s="168">
        <f>IF(Eligibility!$J$12="MECO - Lanai",I$21+I36,0)</f>
        <v>0</v>
      </c>
      <c r="J42" s="168">
        <f>IF(Eligibility!$J$12="MECO - Lanai",J$21+J36,0)</f>
        <v>0</v>
      </c>
      <c r="K42" s="168">
        <f>IF(Eligibility!$J$12="MECO - Lanai",K$21+K36,0)</f>
        <v>0</v>
      </c>
      <c r="L42" s="168">
        <f>IF(Eligibility!$J$12="MECO - Lanai",L$21+L36,0)</f>
        <v>0</v>
      </c>
      <c r="M42" s="168">
        <f>IF(Eligibility!$J$12="MECO - Lanai",M$21+M36,0)</f>
        <v>0</v>
      </c>
      <c r="N42" s="168">
        <f>IF(Eligibility!$J$12="MECO - Lanai",N$21+N36,0)</f>
        <v>0</v>
      </c>
      <c r="O42" s="168">
        <f>IF(Eligibility!$J$12="MECO - Lanai",O$21+O36,0)</f>
        <v>0</v>
      </c>
      <c r="P42" s="168">
        <f>IF(Eligibility!$J$12="MECO - Lanai",P$21+P36,0)</f>
        <v>0</v>
      </c>
      <c r="Q42" s="168">
        <f>IF(Eligibility!$J$12="MECO - Lanai",Q$21+Q36,0)</f>
        <v>0</v>
      </c>
      <c r="R42" s="168">
        <f>IF(Eligibility!$J$12="MECO - Lanai",R$21+R36,0)</f>
        <v>0</v>
      </c>
      <c r="S42" s="168">
        <f>IF(Eligibility!$J$12="MECO - Lanai",S$21+S36,0)</f>
        <v>0</v>
      </c>
      <c r="T42" s="168">
        <f>IF(Eligibility!$J$12="MECO - Lanai",T$21+T36,0)</f>
        <v>0</v>
      </c>
      <c r="U42" s="168">
        <f>IF(Eligibility!$J$12="MECO - Lanai",U$21+U36,0)</f>
        <v>0</v>
      </c>
      <c r="V42" s="168">
        <f>IF(Eligibility!$J$12="MECO - Lanai",V$21+V36,0)</f>
        <v>0</v>
      </c>
      <c r="W42" s="168">
        <f>IF(Eligibility!$J$12="MECO - Lanai",W$21+W36,0)</f>
        <v>0</v>
      </c>
      <c r="X42" s="168">
        <f>IF(Eligibility!$J$12="MECO - Lanai",X$21+X36,0)</f>
        <v>0</v>
      </c>
      <c r="Y42" s="170">
        <f t="shared" si="17"/>
        <v>0</v>
      </c>
    </row>
    <row r="43" spans="1:27" s="166" customFormat="1" ht="15" x14ac:dyDescent="0.2">
      <c r="A43" s="162" t="s">
        <v>197</v>
      </c>
      <c r="B43" s="162"/>
      <c r="C43" s="162"/>
      <c r="D43" s="192"/>
      <c r="E43" s="163">
        <f>IF(Eligibility!$J$12="MECO - Molokai",E$21+E37,0)</f>
        <v>0</v>
      </c>
      <c r="F43" s="163">
        <f>IF(Eligibility!$J$12="MECO - Molokai",F$21+F37,0)</f>
        <v>0</v>
      </c>
      <c r="G43" s="163">
        <f>IF(Eligibility!$J$12="MECO - Molokai",G$21+G37,0)</f>
        <v>0</v>
      </c>
      <c r="H43" s="163">
        <f>IF(Eligibility!$J$12="MECO - Molokai",H$21+H37,0)</f>
        <v>0</v>
      </c>
      <c r="I43" s="163">
        <f>IF(Eligibility!$J$12="MECO - Molokai",I$21+I37,0)</f>
        <v>0</v>
      </c>
      <c r="J43" s="163">
        <f>IF(Eligibility!$J$12="MECO - Molokai",J$21+J37,0)</f>
        <v>0</v>
      </c>
      <c r="K43" s="163">
        <f>IF(Eligibility!$J$12="MECO - Molokai",K$21+K37,0)</f>
        <v>0</v>
      </c>
      <c r="L43" s="163">
        <f>IF(Eligibility!$J$12="MECO - Molokai",L$21+L37,0)</f>
        <v>0</v>
      </c>
      <c r="M43" s="163">
        <f>IF(Eligibility!$J$12="MECO - Molokai",M$21+M37,0)</f>
        <v>0</v>
      </c>
      <c r="N43" s="163">
        <f>IF(Eligibility!$J$12="MECO - Molokai",N$21+N37,0)</f>
        <v>0</v>
      </c>
      <c r="O43" s="163">
        <f>IF(Eligibility!$J$12="MECO - Molokai",O$21+O37,0)</f>
        <v>0</v>
      </c>
      <c r="P43" s="163">
        <f>IF(Eligibility!$J$12="MECO - Molokai",P$21+P37,0)</f>
        <v>0</v>
      </c>
      <c r="Q43" s="163">
        <f>IF(Eligibility!$J$12="MECO - Molokai",Q$21+Q37,0)</f>
        <v>0</v>
      </c>
      <c r="R43" s="163">
        <f>IF(Eligibility!$J$12="MECO - Molokai",R$21+R37,0)</f>
        <v>0</v>
      </c>
      <c r="S43" s="163">
        <f>IF(Eligibility!$J$12="MECO - Molokai",S$21+S37,0)</f>
        <v>0</v>
      </c>
      <c r="T43" s="163">
        <f>IF(Eligibility!$J$12="MECO - Molokai",T$21+T37,0)</f>
        <v>0</v>
      </c>
      <c r="U43" s="163">
        <f>IF(Eligibility!$J$12="MECO - Molokai",U$21+U37,0)</f>
        <v>0</v>
      </c>
      <c r="V43" s="163">
        <f>IF(Eligibility!$J$12="MECO - Molokai",V$21+V37,0)</f>
        <v>0</v>
      </c>
      <c r="W43" s="163">
        <f>IF(Eligibility!$J$12="MECO - Molokai",W$21+W37,0)</f>
        <v>0</v>
      </c>
      <c r="X43" s="163">
        <f>IF(Eligibility!$J$12="MECO - Molokai",X$21+X37,0)</f>
        <v>0</v>
      </c>
      <c r="Y43" s="165">
        <f t="shared" si="17"/>
        <v>0</v>
      </c>
    </row>
    <row r="44" spans="1:27" s="66" customFormat="1" ht="15" x14ac:dyDescent="0.2">
      <c r="A44" s="129"/>
      <c r="B44" s="129"/>
      <c r="C44" s="129"/>
      <c r="D44" s="134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1"/>
    </row>
    <row r="45" spans="1:27" s="151" customFormat="1" ht="15" x14ac:dyDescent="0.2">
      <c r="A45" s="147" t="s">
        <v>205</v>
      </c>
      <c r="B45" s="147"/>
      <c r="C45" s="147"/>
      <c r="D45" s="197"/>
      <c r="E45" s="148">
        <f t="shared" ref="E45:X45" si="18">E15-E39</f>
        <v>-379.91840205236485</v>
      </c>
      <c r="F45" s="148">
        <f t="shared" si="18"/>
        <v>-366.2595750534847</v>
      </c>
      <c r="G45" s="148">
        <f t="shared" si="18"/>
        <v>-352.14580667433893</v>
      </c>
      <c r="H45" s="148">
        <f t="shared" si="18"/>
        <v>-337.56194395490547</v>
      </c>
      <c r="I45" s="148">
        <f t="shared" si="18"/>
        <v>-322.49232922794363</v>
      </c>
      <c r="J45" s="148">
        <f t="shared" si="18"/>
        <v>-306.92078330846471</v>
      </c>
      <c r="K45" s="148">
        <f t="shared" si="18"/>
        <v>-290.83058812327181</v>
      </c>
      <c r="L45" s="148">
        <f t="shared" si="18"/>
        <v>-274.2044687619491</v>
      </c>
      <c r="M45" s="148">
        <f t="shared" si="18"/>
        <v>-257.02457492999656</v>
      </c>
      <c r="N45" s="148">
        <f t="shared" si="18"/>
        <v>-239.27246178423957</v>
      </c>
      <c r="O45" s="148">
        <f t="shared" si="18"/>
        <v>-220.92907012987871</v>
      </c>
      <c r="P45" s="148">
        <f t="shared" si="18"/>
        <v>-201.97470595799132</v>
      </c>
      <c r="Q45" s="148">
        <f t="shared" si="18"/>
        <v>-182.38901930144948</v>
      </c>
      <c r="R45" s="148">
        <f t="shared" si="18"/>
        <v>-162.15098238659175</v>
      </c>
      <c r="S45" s="148">
        <f t="shared" si="18"/>
        <v>-141.23886705719633</v>
      </c>
      <c r="T45" s="148">
        <f t="shared" si="18"/>
        <v>-119.63022144646402</v>
      </c>
      <c r="U45" s="148">
        <f t="shared" si="18"/>
        <v>-97.3018458720544</v>
      </c>
      <c r="V45" s="148">
        <f t="shared" si="18"/>
        <v>-74.229767928198271</v>
      </c>
      <c r="W45" s="148">
        <f t="shared" si="18"/>
        <v>-50.389216748226318</v>
      </c>
      <c r="X45" s="148">
        <f t="shared" si="18"/>
        <v>-25.754596409829901</v>
      </c>
      <c r="Y45" s="150">
        <f t="shared" ref="Y45:Y65" si="19">SUM(E45:X45)</f>
        <v>-4402.6192271088403</v>
      </c>
    </row>
    <row r="46" spans="1:27" s="226" customFormat="1" ht="15" x14ac:dyDescent="0.2">
      <c r="A46" s="222" t="s">
        <v>206</v>
      </c>
      <c r="B46" s="222"/>
      <c r="C46" s="222"/>
      <c r="D46" s="223"/>
      <c r="E46" s="224">
        <f t="shared" ref="E46:X46" si="20">E45/E15</f>
        <v>-9.3678189936415301E-2</v>
      </c>
      <c r="F46" s="224">
        <f t="shared" si="20"/>
        <v>-8.6962225808215332E-2</v>
      </c>
      <c r="G46" s="224">
        <f t="shared" si="20"/>
        <v>-8.0511455913148275E-2</v>
      </c>
      <c r="H46" s="224">
        <f t="shared" si="20"/>
        <v>-7.4315967708184535E-2</v>
      </c>
      <c r="I46" s="224">
        <f t="shared" si="20"/>
        <v>-6.8366216540420494E-2</v>
      </c>
      <c r="J46" s="224">
        <f t="shared" si="20"/>
        <v>-6.2653012006372369E-2</v>
      </c>
      <c r="K46" s="224">
        <f t="shared" si="20"/>
        <v>-5.7167504816974878E-2</v>
      </c>
      <c r="L46" s="224">
        <f t="shared" si="20"/>
        <v>-5.1901174149543407E-2</v>
      </c>
      <c r="M46" s="224">
        <f t="shared" si="20"/>
        <v>-4.6845815468639612E-2</v>
      </c>
      <c r="N46" s="224">
        <f t="shared" si="20"/>
        <v>-4.1993528798464956E-2</v>
      </c>
      <c r="O46" s="224">
        <f t="shared" si="20"/>
        <v>-3.7336707430031861E-2</v>
      </c>
      <c r="P46" s="224">
        <f t="shared" si="20"/>
        <v>-3.2868027047007288E-2</v>
      </c>
      <c r="Q46" s="224">
        <f t="shared" si="20"/>
        <v>-2.8580435254695405E-2</v>
      </c>
      <c r="R46" s="224">
        <f t="shared" si="20"/>
        <v>-2.4467141497220835E-2</v>
      </c>
      <c r="S46" s="224">
        <f t="shared" si="20"/>
        <v>-2.0521607348520963E-2</v>
      </c>
      <c r="T46" s="224">
        <f t="shared" si="20"/>
        <v>-1.6737537163281281E-2</v>
      </c>
      <c r="U46" s="224">
        <f t="shared" si="20"/>
        <v>-1.3108869074482903E-2</v>
      </c>
      <c r="V46" s="224">
        <f t="shared" si="20"/>
        <v>-9.6297663246981448E-3</v>
      </c>
      <c r="W46" s="224">
        <f t="shared" si="20"/>
        <v>-6.2946089187728201E-3</v>
      </c>
      <c r="X46" s="224">
        <f t="shared" si="20"/>
        <v>-3.0979855859733455E-3</v>
      </c>
      <c r="Y46" s="225"/>
    </row>
    <row r="47" spans="1:27" s="151" customFormat="1" ht="15" x14ac:dyDescent="0.2">
      <c r="A47" s="147" t="s">
        <v>179</v>
      </c>
      <c r="B47" s="147"/>
      <c r="C47" s="147"/>
      <c r="D47" s="176"/>
      <c r="E47" s="148">
        <f t="shared" ref="E47:X47" si="21">E15/12</f>
        <v>337.96411799999998</v>
      </c>
      <c r="F47" s="148">
        <f t="shared" si="21"/>
        <v>350.97573654299998</v>
      </c>
      <c r="G47" s="148">
        <f t="shared" si="21"/>
        <v>364.48830239990548</v>
      </c>
      <c r="H47" s="148">
        <f t="shared" si="21"/>
        <v>378.52110204230183</v>
      </c>
      <c r="I47" s="148">
        <f t="shared" si="21"/>
        <v>393.09416447093048</v>
      </c>
      <c r="J47" s="148">
        <f t="shared" si="21"/>
        <v>408.22828980306127</v>
      </c>
      <c r="K47" s="148">
        <f t="shared" si="21"/>
        <v>423.94507896047912</v>
      </c>
      <c r="L47" s="148">
        <f t="shared" si="21"/>
        <v>440.26696450045756</v>
      </c>
      <c r="M47" s="148">
        <f t="shared" si="21"/>
        <v>457.21724263372516</v>
      </c>
      <c r="N47" s="148">
        <f t="shared" si="21"/>
        <v>474.82010647512357</v>
      </c>
      <c r="O47" s="148">
        <f t="shared" si="21"/>
        <v>493.10068057441578</v>
      </c>
      <c r="P47" s="148">
        <f t="shared" si="21"/>
        <v>512.08505677653079</v>
      </c>
      <c r="Q47" s="148">
        <f t="shared" si="21"/>
        <v>531.80033146242715</v>
      </c>
      <c r="R47" s="148">
        <f t="shared" si="21"/>
        <v>552.27464422373066</v>
      </c>
      <c r="S47" s="148">
        <f t="shared" si="21"/>
        <v>573.53721802634425</v>
      </c>
      <c r="T47" s="148">
        <f t="shared" si="21"/>
        <v>595.61840092035845</v>
      </c>
      <c r="U47" s="148">
        <f t="shared" si="21"/>
        <v>618.54970935579229</v>
      </c>
      <c r="V47" s="148">
        <f t="shared" si="21"/>
        <v>642.36387316599019</v>
      </c>
      <c r="W47" s="148">
        <f t="shared" si="21"/>
        <v>667.0948822828808</v>
      </c>
      <c r="X47" s="148">
        <f t="shared" si="21"/>
        <v>692.77803525077172</v>
      </c>
      <c r="Y47" s="150">
        <f>SUM(E47:X47)</f>
        <v>9908.7239378682279</v>
      </c>
    </row>
    <row r="48" spans="1:27" s="151" customFormat="1" ht="15" x14ac:dyDescent="0.2">
      <c r="A48" s="147" t="s">
        <v>106</v>
      </c>
      <c r="B48" s="147"/>
      <c r="C48" s="147"/>
      <c r="D48" s="148"/>
      <c r="E48" s="148">
        <f t="shared" ref="E48:X48" si="22">E39/12</f>
        <v>369.62398483769704</v>
      </c>
      <c r="F48" s="148">
        <f t="shared" si="22"/>
        <v>381.497367797457</v>
      </c>
      <c r="G48" s="148">
        <f t="shared" si="22"/>
        <v>393.8337862894337</v>
      </c>
      <c r="H48" s="148">
        <f t="shared" si="22"/>
        <v>406.65126403854396</v>
      </c>
      <c r="I48" s="148">
        <f t="shared" si="22"/>
        <v>419.96852523992578</v>
      </c>
      <c r="J48" s="148">
        <f t="shared" si="22"/>
        <v>433.80502174543335</v>
      </c>
      <c r="K48" s="148">
        <f t="shared" si="22"/>
        <v>448.18096130408509</v>
      </c>
      <c r="L48" s="148">
        <f t="shared" si="22"/>
        <v>463.11733689728663</v>
      </c>
      <c r="M48" s="148">
        <f t="shared" si="22"/>
        <v>478.63595721122488</v>
      </c>
      <c r="N48" s="148">
        <f t="shared" si="22"/>
        <v>494.75947829047686</v>
      </c>
      <c r="O48" s="148">
        <f t="shared" si="22"/>
        <v>511.51143641857237</v>
      </c>
      <c r="P48" s="148">
        <f t="shared" si="22"/>
        <v>528.91628227303011</v>
      </c>
      <c r="Q48" s="148">
        <f t="shared" si="22"/>
        <v>546.99941640421468</v>
      </c>
      <c r="R48" s="148">
        <f t="shared" si="22"/>
        <v>565.7872260892799</v>
      </c>
      <c r="S48" s="148">
        <f t="shared" si="22"/>
        <v>585.30712361444387</v>
      </c>
      <c r="T48" s="148">
        <f t="shared" si="22"/>
        <v>605.58758604089712</v>
      </c>
      <c r="U48" s="148">
        <f t="shared" si="22"/>
        <v>626.65819651179675</v>
      </c>
      <c r="V48" s="148">
        <f t="shared" si="22"/>
        <v>648.54968716000678</v>
      </c>
      <c r="W48" s="148">
        <f t="shared" si="22"/>
        <v>671.29398367856641</v>
      </c>
      <c r="X48" s="148">
        <f t="shared" si="22"/>
        <v>694.92425161825759</v>
      </c>
      <c r="Y48" s="150">
        <f>SUM(E48:X48)</f>
        <v>10275.608873460631</v>
      </c>
    </row>
    <row r="49" spans="1:25" s="151" customFormat="1" ht="15" x14ac:dyDescent="0.2">
      <c r="A49" s="147" t="s">
        <v>107</v>
      </c>
      <c r="B49" s="147"/>
      <c r="C49" s="147"/>
      <c r="D49" s="148"/>
      <c r="E49" s="148">
        <f t="shared" ref="E49:X49" si="23">E47-E48</f>
        <v>-31.659866837697052</v>
      </c>
      <c r="F49" s="148">
        <f t="shared" si="23"/>
        <v>-30.52163125445702</v>
      </c>
      <c r="G49" s="148">
        <f t="shared" si="23"/>
        <v>-29.345483889528225</v>
      </c>
      <c r="H49" s="148">
        <f t="shared" si="23"/>
        <v>-28.130161996242123</v>
      </c>
      <c r="I49" s="148">
        <f t="shared" si="23"/>
        <v>-26.874360768995302</v>
      </c>
      <c r="J49" s="148">
        <f t="shared" si="23"/>
        <v>-25.576731942372078</v>
      </c>
      <c r="K49" s="148">
        <f t="shared" si="23"/>
        <v>-24.235882343605965</v>
      </c>
      <c r="L49" s="148">
        <f t="shared" si="23"/>
        <v>-22.850372396829073</v>
      </c>
      <c r="M49" s="148">
        <f t="shared" si="23"/>
        <v>-21.418714577499713</v>
      </c>
      <c r="N49" s="148">
        <f t="shared" si="23"/>
        <v>-19.939371815353297</v>
      </c>
      <c r="O49" s="148">
        <f t="shared" si="23"/>
        <v>-18.410755844156597</v>
      </c>
      <c r="P49" s="148">
        <f t="shared" si="23"/>
        <v>-16.831225496499314</v>
      </c>
      <c r="Q49" s="148">
        <f t="shared" si="23"/>
        <v>-15.199084941787532</v>
      </c>
      <c r="R49" s="148">
        <f t="shared" si="23"/>
        <v>-13.512581865549237</v>
      </c>
      <c r="S49" s="148">
        <f t="shared" si="23"/>
        <v>-11.769905588099618</v>
      </c>
      <c r="T49" s="148">
        <f t="shared" si="23"/>
        <v>-9.9691851205386683</v>
      </c>
      <c r="U49" s="148">
        <f t="shared" si="23"/>
        <v>-8.1084871560044576</v>
      </c>
      <c r="V49" s="148">
        <f t="shared" si="23"/>
        <v>-6.1858139940165984</v>
      </c>
      <c r="W49" s="148">
        <f t="shared" si="23"/>
        <v>-4.1991013956856023</v>
      </c>
      <c r="X49" s="148">
        <f t="shared" si="23"/>
        <v>-2.146216367485863</v>
      </c>
      <c r="Y49" s="150">
        <f>SUM(E49:X49)</f>
        <v>-366.88493559240334</v>
      </c>
    </row>
    <row r="50" spans="1:25" s="156" customFormat="1" ht="15" x14ac:dyDescent="0.2">
      <c r="A50" s="152" t="s">
        <v>207</v>
      </c>
      <c r="B50" s="152"/>
      <c r="C50" s="152"/>
      <c r="D50" s="196"/>
      <c r="E50" s="198">
        <f t="shared" ref="E50:X50" si="24">E16-E40</f>
        <v>0</v>
      </c>
      <c r="F50" s="198">
        <f t="shared" si="24"/>
        <v>0</v>
      </c>
      <c r="G50" s="198">
        <f t="shared" si="24"/>
        <v>0</v>
      </c>
      <c r="H50" s="198">
        <f t="shared" si="24"/>
        <v>0</v>
      </c>
      <c r="I50" s="198">
        <f t="shared" si="24"/>
        <v>0</v>
      </c>
      <c r="J50" s="198">
        <f t="shared" si="24"/>
        <v>0</v>
      </c>
      <c r="K50" s="198">
        <f t="shared" si="24"/>
        <v>0</v>
      </c>
      <c r="L50" s="198">
        <f t="shared" si="24"/>
        <v>0</v>
      </c>
      <c r="M50" s="198">
        <f t="shared" si="24"/>
        <v>0</v>
      </c>
      <c r="N50" s="198">
        <f t="shared" si="24"/>
        <v>0</v>
      </c>
      <c r="O50" s="198">
        <f t="shared" si="24"/>
        <v>0</v>
      </c>
      <c r="P50" s="198">
        <f t="shared" si="24"/>
        <v>0</v>
      </c>
      <c r="Q50" s="198">
        <f t="shared" si="24"/>
        <v>0</v>
      </c>
      <c r="R50" s="198">
        <f t="shared" si="24"/>
        <v>0</v>
      </c>
      <c r="S50" s="198">
        <f t="shared" si="24"/>
        <v>0</v>
      </c>
      <c r="T50" s="198">
        <f t="shared" si="24"/>
        <v>0</v>
      </c>
      <c r="U50" s="198">
        <f t="shared" si="24"/>
        <v>0</v>
      </c>
      <c r="V50" s="198">
        <f t="shared" si="24"/>
        <v>0</v>
      </c>
      <c r="W50" s="198">
        <f t="shared" si="24"/>
        <v>0</v>
      </c>
      <c r="X50" s="198">
        <f t="shared" si="24"/>
        <v>0</v>
      </c>
      <c r="Y50" s="155">
        <f t="shared" si="19"/>
        <v>0</v>
      </c>
    </row>
    <row r="51" spans="1:25" s="221" customFormat="1" ht="15" x14ac:dyDescent="0.2">
      <c r="A51" s="217" t="s">
        <v>208</v>
      </c>
      <c r="B51" s="217"/>
      <c r="C51" s="217"/>
      <c r="D51" s="218"/>
      <c r="E51" s="219" t="e">
        <f t="shared" ref="E51:X51" si="25">E50/E16</f>
        <v>#DIV/0!</v>
      </c>
      <c r="F51" s="219" t="e">
        <f t="shared" si="25"/>
        <v>#DIV/0!</v>
      </c>
      <c r="G51" s="219" t="e">
        <f t="shared" si="25"/>
        <v>#DIV/0!</v>
      </c>
      <c r="H51" s="219" t="e">
        <f t="shared" si="25"/>
        <v>#DIV/0!</v>
      </c>
      <c r="I51" s="219" t="e">
        <f t="shared" si="25"/>
        <v>#DIV/0!</v>
      </c>
      <c r="J51" s="219" t="e">
        <f t="shared" si="25"/>
        <v>#DIV/0!</v>
      </c>
      <c r="K51" s="219" t="e">
        <f t="shared" si="25"/>
        <v>#DIV/0!</v>
      </c>
      <c r="L51" s="219" t="e">
        <f t="shared" si="25"/>
        <v>#DIV/0!</v>
      </c>
      <c r="M51" s="219" t="e">
        <f t="shared" si="25"/>
        <v>#DIV/0!</v>
      </c>
      <c r="N51" s="219" t="e">
        <f t="shared" si="25"/>
        <v>#DIV/0!</v>
      </c>
      <c r="O51" s="219" t="e">
        <f t="shared" si="25"/>
        <v>#DIV/0!</v>
      </c>
      <c r="P51" s="219" t="e">
        <f t="shared" si="25"/>
        <v>#DIV/0!</v>
      </c>
      <c r="Q51" s="219" t="e">
        <f t="shared" si="25"/>
        <v>#DIV/0!</v>
      </c>
      <c r="R51" s="219" t="e">
        <f t="shared" si="25"/>
        <v>#DIV/0!</v>
      </c>
      <c r="S51" s="219" t="e">
        <f t="shared" si="25"/>
        <v>#DIV/0!</v>
      </c>
      <c r="T51" s="219" t="e">
        <f t="shared" si="25"/>
        <v>#DIV/0!</v>
      </c>
      <c r="U51" s="219" t="e">
        <f t="shared" si="25"/>
        <v>#DIV/0!</v>
      </c>
      <c r="V51" s="219" t="e">
        <f t="shared" si="25"/>
        <v>#DIV/0!</v>
      </c>
      <c r="W51" s="219" t="e">
        <f t="shared" si="25"/>
        <v>#DIV/0!</v>
      </c>
      <c r="X51" s="219" t="e">
        <f t="shared" si="25"/>
        <v>#DIV/0!</v>
      </c>
      <c r="Y51" s="220"/>
    </row>
    <row r="52" spans="1:25" s="156" customFormat="1" ht="15" x14ac:dyDescent="0.2">
      <c r="A52" s="152" t="s">
        <v>185</v>
      </c>
      <c r="B52" s="152"/>
      <c r="C52" s="152"/>
      <c r="D52" s="175"/>
      <c r="E52" s="153">
        <f t="shared" ref="E52:X52" si="26">E16/12</f>
        <v>0</v>
      </c>
      <c r="F52" s="153">
        <f t="shared" si="26"/>
        <v>0</v>
      </c>
      <c r="G52" s="153">
        <f t="shared" si="26"/>
        <v>0</v>
      </c>
      <c r="H52" s="153">
        <f t="shared" si="26"/>
        <v>0</v>
      </c>
      <c r="I52" s="153">
        <f t="shared" si="26"/>
        <v>0</v>
      </c>
      <c r="J52" s="153">
        <f t="shared" si="26"/>
        <v>0</v>
      </c>
      <c r="K52" s="153">
        <f t="shared" si="26"/>
        <v>0</v>
      </c>
      <c r="L52" s="153">
        <f t="shared" si="26"/>
        <v>0</v>
      </c>
      <c r="M52" s="153">
        <f t="shared" si="26"/>
        <v>0</v>
      </c>
      <c r="N52" s="153">
        <f t="shared" si="26"/>
        <v>0</v>
      </c>
      <c r="O52" s="153">
        <f t="shared" si="26"/>
        <v>0</v>
      </c>
      <c r="P52" s="153">
        <f t="shared" si="26"/>
        <v>0</v>
      </c>
      <c r="Q52" s="153">
        <f t="shared" si="26"/>
        <v>0</v>
      </c>
      <c r="R52" s="153">
        <f t="shared" si="26"/>
        <v>0</v>
      </c>
      <c r="S52" s="153">
        <f t="shared" si="26"/>
        <v>0</v>
      </c>
      <c r="T52" s="153">
        <f t="shared" si="26"/>
        <v>0</v>
      </c>
      <c r="U52" s="153">
        <f t="shared" si="26"/>
        <v>0</v>
      </c>
      <c r="V52" s="153">
        <f t="shared" si="26"/>
        <v>0</v>
      </c>
      <c r="W52" s="153">
        <f t="shared" si="26"/>
        <v>0</v>
      </c>
      <c r="X52" s="153">
        <f t="shared" si="26"/>
        <v>0</v>
      </c>
      <c r="Y52" s="155">
        <f>SUM(E52:X52)</f>
        <v>0</v>
      </c>
    </row>
    <row r="53" spans="1:25" s="156" customFormat="1" ht="15" x14ac:dyDescent="0.2">
      <c r="A53" s="152" t="s">
        <v>216</v>
      </c>
      <c r="B53" s="152"/>
      <c r="C53" s="152"/>
      <c r="D53" s="196"/>
      <c r="E53" s="153">
        <f>E40/12</f>
        <v>0</v>
      </c>
      <c r="F53" s="153">
        <f t="shared" ref="F53:X53" si="27">F40/12</f>
        <v>0</v>
      </c>
      <c r="G53" s="153">
        <f t="shared" si="27"/>
        <v>0</v>
      </c>
      <c r="H53" s="153">
        <f t="shared" si="27"/>
        <v>0</v>
      </c>
      <c r="I53" s="153">
        <f t="shared" si="27"/>
        <v>0</v>
      </c>
      <c r="J53" s="153">
        <f t="shared" si="27"/>
        <v>0</v>
      </c>
      <c r="K53" s="153">
        <f t="shared" si="27"/>
        <v>0</v>
      </c>
      <c r="L53" s="153">
        <f t="shared" si="27"/>
        <v>0</v>
      </c>
      <c r="M53" s="153">
        <f t="shared" si="27"/>
        <v>0</v>
      </c>
      <c r="N53" s="153">
        <f t="shared" si="27"/>
        <v>0</v>
      </c>
      <c r="O53" s="153">
        <f t="shared" si="27"/>
        <v>0</v>
      </c>
      <c r="P53" s="153">
        <f t="shared" si="27"/>
        <v>0</v>
      </c>
      <c r="Q53" s="153">
        <f t="shared" si="27"/>
        <v>0</v>
      </c>
      <c r="R53" s="153">
        <f t="shared" si="27"/>
        <v>0</v>
      </c>
      <c r="S53" s="153">
        <f t="shared" si="27"/>
        <v>0</v>
      </c>
      <c r="T53" s="153">
        <f t="shared" si="27"/>
        <v>0</v>
      </c>
      <c r="U53" s="153">
        <f t="shared" si="27"/>
        <v>0</v>
      </c>
      <c r="V53" s="153">
        <f t="shared" si="27"/>
        <v>0</v>
      </c>
      <c r="W53" s="153">
        <f t="shared" si="27"/>
        <v>0</v>
      </c>
      <c r="X53" s="153">
        <f t="shared" si="27"/>
        <v>0</v>
      </c>
      <c r="Y53" s="155">
        <f t="shared" ref="Y53:Y54" si="28">SUM(E53:X53)</f>
        <v>0</v>
      </c>
    </row>
    <row r="54" spans="1:25" s="156" customFormat="1" ht="15" x14ac:dyDescent="0.2">
      <c r="A54" s="152" t="s">
        <v>217</v>
      </c>
      <c r="B54" s="152"/>
      <c r="C54" s="152"/>
      <c r="D54" s="196"/>
      <c r="E54" s="198">
        <f>E52-E53</f>
        <v>0</v>
      </c>
      <c r="F54" s="198">
        <f t="shared" ref="F54:X54" si="29">F52-F53</f>
        <v>0</v>
      </c>
      <c r="G54" s="198">
        <f t="shared" si="29"/>
        <v>0</v>
      </c>
      <c r="H54" s="198">
        <f t="shared" si="29"/>
        <v>0</v>
      </c>
      <c r="I54" s="198">
        <f t="shared" si="29"/>
        <v>0</v>
      </c>
      <c r="J54" s="198">
        <f t="shared" si="29"/>
        <v>0</v>
      </c>
      <c r="K54" s="198">
        <f t="shared" si="29"/>
        <v>0</v>
      </c>
      <c r="L54" s="198">
        <f t="shared" si="29"/>
        <v>0</v>
      </c>
      <c r="M54" s="198">
        <f t="shared" si="29"/>
        <v>0</v>
      </c>
      <c r="N54" s="198">
        <f t="shared" si="29"/>
        <v>0</v>
      </c>
      <c r="O54" s="198">
        <f t="shared" si="29"/>
        <v>0</v>
      </c>
      <c r="P54" s="198">
        <f t="shared" si="29"/>
        <v>0</v>
      </c>
      <c r="Q54" s="198">
        <f t="shared" si="29"/>
        <v>0</v>
      </c>
      <c r="R54" s="198">
        <f t="shared" si="29"/>
        <v>0</v>
      </c>
      <c r="S54" s="198">
        <f t="shared" si="29"/>
        <v>0</v>
      </c>
      <c r="T54" s="198">
        <f t="shared" si="29"/>
        <v>0</v>
      </c>
      <c r="U54" s="198">
        <f t="shared" si="29"/>
        <v>0</v>
      </c>
      <c r="V54" s="198">
        <f t="shared" si="29"/>
        <v>0</v>
      </c>
      <c r="W54" s="198">
        <f t="shared" si="29"/>
        <v>0</v>
      </c>
      <c r="X54" s="198">
        <f t="shared" si="29"/>
        <v>0</v>
      </c>
      <c r="Y54" s="155">
        <f t="shared" si="28"/>
        <v>0</v>
      </c>
    </row>
    <row r="55" spans="1:25" s="161" customFormat="1" ht="15" x14ac:dyDescent="0.2">
      <c r="A55" s="157" t="s">
        <v>209</v>
      </c>
      <c r="B55" s="157"/>
      <c r="C55" s="157"/>
      <c r="D55" s="195"/>
      <c r="E55" s="199">
        <f t="shared" ref="E55:X55" si="30">E17-E41</f>
        <v>0</v>
      </c>
      <c r="F55" s="199">
        <f t="shared" si="30"/>
        <v>0</v>
      </c>
      <c r="G55" s="199">
        <f t="shared" si="30"/>
        <v>0</v>
      </c>
      <c r="H55" s="199">
        <f t="shared" si="30"/>
        <v>0</v>
      </c>
      <c r="I55" s="199">
        <f t="shared" si="30"/>
        <v>0</v>
      </c>
      <c r="J55" s="199">
        <f t="shared" si="30"/>
        <v>0</v>
      </c>
      <c r="K55" s="199">
        <f t="shared" si="30"/>
        <v>0</v>
      </c>
      <c r="L55" s="199">
        <f t="shared" si="30"/>
        <v>0</v>
      </c>
      <c r="M55" s="199">
        <f t="shared" si="30"/>
        <v>0</v>
      </c>
      <c r="N55" s="199">
        <f t="shared" si="30"/>
        <v>0</v>
      </c>
      <c r="O55" s="199">
        <f t="shared" si="30"/>
        <v>0</v>
      </c>
      <c r="P55" s="199">
        <f t="shared" si="30"/>
        <v>0</v>
      </c>
      <c r="Q55" s="199">
        <f t="shared" si="30"/>
        <v>0</v>
      </c>
      <c r="R55" s="199">
        <f t="shared" si="30"/>
        <v>0</v>
      </c>
      <c r="S55" s="199">
        <f t="shared" si="30"/>
        <v>0</v>
      </c>
      <c r="T55" s="199">
        <f t="shared" si="30"/>
        <v>0</v>
      </c>
      <c r="U55" s="199">
        <f t="shared" si="30"/>
        <v>0</v>
      </c>
      <c r="V55" s="199">
        <f t="shared" si="30"/>
        <v>0</v>
      </c>
      <c r="W55" s="199">
        <f t="shared" si="30"/>
        <v>0</v>
      </c>
      <c r="X55" s="199">
        <f t="shared" si="30"/>
        <v>0</v>
      </c>
      <c r="Y55" s="160">
        <f t="shared" si="19"/>
        <v>0</v>
      </c>
    </row>
    <row r="56" spans="1:25" s="216" customFormat="1" ht="15" x14ac:dyDescent="0.2">
      <c r="A56" s="212" t="s">
        <v>210</v>
      </c>
      <c r="B56" s="212"/>
      <c r="C56" s="212"/>
      <c r="D56" s="213"/>
      <c r="E56" s="214" t="e">
        <f t="shared" ref="E56:X56" si="31">E55/E17</f>
        <v>#DIV/0!</v>
      </c>
      <c r="F56" s="214" t="e">
        <f t="shared" si="31"/>
        <v>#DIV/0!</v>
      </c>
      <c r="G56" s="214" t="e">
        <f t="shared" si="31"/>
        <v>#DIV/0!</v>
      </c>
      <c r="H56" s="214" t="e">
        <f t="shared" si="31"/>
        <v>#DIV/0!</v>
      </c>
      <c r="I56" s="214" t="e">
        <f t="shared" si="31"/>
        <v>#DIV/0!</v>
      </c>
      <c r="J56" s="214" t="e">
        <f t="shared" si="31"/>
        <v>#DIV/0!</v>
      </c>
      <c r="K56" s="214" t="e">
        <f t="shared" si="31"/>
        <v>#DIV/0!</v>
      </c>
      <c r="L56" s="214" t="e">
        <f t="shared" si="31"/>
        <v>#DIV/0!</v>
      </c>
      <c r="M56" s="214" t="e">
        <f t="shared" si="31"/>
        <v>#DIV/0!</v>
      </c>
      <c r="N56" s="214" t="e">
        <f t="shared" si="31"/>
        <v>#DIV/0!</v>
      </c>
      <c r="O56" s="214" t="e">
        <f t="shared" si="31"/>
        <v>#DIV/0!</v>
      </c>
      <c r="P56" s="214" t="e">
        <f t="shared" si="31"/>
        <v>#DIV/0!</v>
      </c>
      <c r="Q56" s="214" t="e">
        <f t="shared" si="31"/>
        <v>#DIV/0!</v>
      </c>
      <c r="R56" s="214" t="e">
        <f t="shared" si="31"/>
        <v>#DIV/0!</v>
      </c>
      <c r="S56" s="214" t="e">
        <f t="shared" si="31"/>
        <v>#DIV/0!</v>
      </c>
      <c r="T56" s="214" t="e">
        <f t="shared" si="31"/>
        <v>#DIV/0!</v>
      </c>
      <c r="U56" s="214" t="e">
        <f t="shared" si="31"/>
        <v>#DIV/0!</v>
      </c>
      <c r="V56" s="214" t="e">
        <f t="shared" si="31"/>
        <v>#DIV/0!</v>
      </c>
      <c r="W56" s="214" t="e">
        <f t="shared" si="31"/>
        <v>#DIV/0!</v>
      </c>
      <c r="X56" s="214" t="e">
        <f t="shared" si="31"/>
        <v>#DIV/0!</v>
      </c>
      <c r="Y56" s="215"/>
    </row>
    <row r="57" spans="1:25" s="161" customFormat="1" ht="15" x14ac:dyDescent="0.2">
      <c r="A57" s="157" t="s">
        <v>186</v>
      </c>
      <c r="B57" s="157"/>
      <c r="C57" s="157"/>
      <c r="D57" s="174"/>
      <c r="E57" s="158">
        <f t="shared" ref="E57:X57" si="32">E17/12</f>
        <v>0</v>
      </c>
      <c r="F57" s="158">
        <f t="shared" si="32"/>
        <v>0</v>
      </c>
      <c r="G57" s="158">
        <f t="shared" si="32"/>
        <v>0</v>
      </c>
      <c r="H57" s="158">
        <f t="shared" si="32"/>
        <v>0</v>
      </c>
      <c r="I57" s="158">
        <f t="shared" si="32"/>
        <v>0</v>
      </c>
      <c r="J57" s="158">
        <f t="shared" si="32"/>
        <v>0</v>
      </c>
      <c r="K57" s="158">
        <f t="shared" si="32"/>
        <v>0</v>
      </c>
      <c r="L57" s="158">
        <f t="shared" si="32"/>
        <v>0</v>
      </c>
      <c r="M57" s="158">
        <f t="shared" si="32"/>
        <v>0</v>
      </c>
      <c r="N57" s="158">
        <f t="shared" si="32"/>
        <v>0</v>
      </c>
      <c r="O57" s="158">
        <f t="shared" si="32"/>
        <v>0</v>
      </c>
      <c r="P57" s="158">
        <f t="shared" si="32"/>
        <v>0</v>
      </c>
      <c r="Q57" s="158">
        <f t="shared" si="32"/>
        <v>0</v>
      </c>
      <c r="R57" s="158">
        <f t="shared" si="32"/>
        <v>0</v>
      </c>
      <c r="S57" s="158">
        <f t="shared" si="32"/>
        <v>0</v>
      </c>
      <c r="T57" s="158">
        <f t="shared" si="32"/>
        <v>0</v>
      </c>
      <c r="U57" s="158">
        <f t="shared" si="32"/>
        <v>0</v>
      </c>
      <c r="V57" s="158">
        <f t="shared" si="32"/>
        <v>0</v>
      </c>
      <c r="W57" s="158">
        <f t="shared" si="32"/>
        <v>0</v>
      </c>
      <c r="X57" s="158">
        <f t="shared" si="32"/>
        <v>0</v>
      </c>
      <c r="Y57" s="160">
        <f>SUM(E57:X57)</f>
        <v>0</v>
      </c>
    </row>
    <row r="58" spans="1:25" s="161" customFormat="1" ht="15" x14ac:dyDescent="0.2">
      <c r="A58" s="157" t="s">
        <v>218</v>
      </c>
      <c r="B58" s="157"/>
      <c r="C58" s="157"/>
      <c r="D58" s="195"/>
      <c r="E58" s="158">
        <f>E41/12</f>
        <v>0</v>
      </c>
      <c r="F58" s="158">
        <f t="shared" ref="F58:X58" si="33">F41/12</f>
        <v>0</v>
      </c>
      <c r="G58" s="158">
        <f t="shared" si="33"/>
        <v>0</v>
      </c>
      <c r="H58" s="158">
        <f t="shared" si="33"/>
        <v>0</v>
      </c>
      <c r="I58" s="158">
        <f t="shared" si="33"/>
        <v>0</v>
      </c>
      <c r="J58" s="158">
        <f t="shared" si="33"/>
        <v>0</v>
      </c>
      <c r="K58" s="158">
        <f t="shared" si="33"/>
        <v>0</v>
      </c>
      <c r="L58" s="158">
        <f t="shared" si="33"/>
        <v>0</v>
      </c>
      <c r="M58" s="158">
        <f t="shared" si="33"/>
        <v>0</v>
      </c>
      <c r="N58" s="158">
        <f t="shared" si="33"/>
        <v>0</v>
      </c>
      <c r="O58" s="158">
        <f t="shared" si="33"/>
        <v>0</v>
      </c>
      <c r="P58" s="158">
        <f t="shared" si="33"/>
        <v>0</v>
      </c>
      <c r="Q58" s="158">
        <f t="shared" si="33"/>
        <v>0</v>
      </c>
      <c r="R58" s="158">
        <f t="shared" si="33"/>
        <v>0</v>
      </c>
      <c r="S58" s="158">
        <f t="shared" si="33"/>
        <v>0</v>
      </c>
      <c r="T58" s="158">
        <f t="shared" si="33"/>
        <v>0</v>
      </c>
      <c r="U58" s="158">
        <f t="shared" si="33"/>
        <v>0</v>
      </c>
      <c r="V58" s="158">
        <f t="shared" si="33"/>
        <v>0</v>
      </c>
      <c r="W58" s="158">
        <f t="shared" si="33"/>
        <v>0</v>
      </c>
      <c r="X58" s="158">
        <f t="shared" si="33"/>
        <v>0</v>
      </c>
      <c r="Y58" s="160">
        <f t="shared" ref="Y58:Y59" si="34">SUM(E58:X58)</f>
        <v>0</v>
      </c>
    </row>
    <row r="59" spans="1:25" s="161" customFormat="1" ht="15" x14ac:dyDescent="0.2">
      <c r="A59" s="157" t="s">
        <v>219</v>
      </c>
      <c r="B59" s="157"/>
      <c r="C59" s="157"/>
      <c r="D59" s="195"/>
      <c r="E59" s="199">
        <f>E57-E58</f>
        <v>0</v>
      </c>
      <c r="F59" s="199">
        <f t="shared" ref="F59:X59" si="35">F57-F58</f>
        <v>0</v>
      </c>
      <c r="G59" s="199">
        <f t="shared" si="35"/>
        <v>0</v>
      </c>
      <c r="H59" s="199">
        <f t="shared" si="35"/>
        <v>0</v>
      </c>
      <c r="I59" s="199">
        <f t="shared" si="35"/>
        <v>0</v>
      </c>
      <c r="J59" s="199">
        <f t="shared" si="35"/>
        <v>0</v>
      </c>
      <c r="K59" s="199">
        <f t="shared" si="35"/>
        <v>0</v>
      </c>
      <c r="L59" s="199">
        <f t="shared" si="35"/>
        <v>0</v>
      </c>
      <c r="M59" s="199">
        <f t="shared" si="35"/>
        <v>0</v>
      </c>
      <c r="N59" s="199">
        <f t="shared" si="35"/>
        <v>0</v>
      </c>
      <c r="O59" s="199">
        <f t="shared" si="35"/>
        <v>0</v>
      </c>
      <c r="P59" s="199">
        <f t="shared" si="35"/>
        <v>0</v>
      </c>
      <c r="Q59" s="199">
        <f t="shared" si="35"/>
        <v>0</v>
      </c>
      <c r="R59" s="199">
        <f t="shared" si="35"/>
        <v>0</v>
      </c>
      <c r="S59" s="199">
        <f t="shared" si="35"/>
        <v>0</v>
      </c>
      <c r="T59" s="199">
        <f t="shared" si="35"/>
        <v>0</v>
      </c>
      <c r="U59" s="199">
        <f t="shared" si="35"/>
        <v>0</v>
      </c>
      <c r="V59" s="199">
        <f t="shared" si="35"/>
        <v>0</v>
      </c>
      <c r="W59" s="199">
        <f t="shared" si="35"/>
        <v>0</v>
      </c>
      <c r="X59" s="199">
        <f t="shared" si="35"/>
        <v>0</v>
      </c>
      <c r="Y59" s="160">
        <f t="shared" si="34"/>
        <v>0</v>
      </c>
    </row>
    <row r="60" spans="1:25" s="171" customFormat="1" ht="15" x14ac:dyDescent="0.2">
      <c r="A60" s="167" t="s">
        <v>211</v>
      </c>
      <c r="B60" s="167"/>
      <c r="C60" s="167"/>
      <c r="D60" s="194"/>
      <c r="E60" s="200">
        <f t="shared" ref="E60:X60" si="36">E18-E42</f>
        <v>0</v>
      </c>
      <c r="F60" s="200">
        <f t="shared" si="36"/>
        <v>0</v>
      </c>
      <c r="G60" s="200">
        <f t="shared" si="36"/>
        <v>0</v>
      </c>
      <c r="H60" s="200">
        <f t="shared" si="36"/>
        <v>0</v>
      </c>
      <c r="I60" s="200">
        <f t="shared" si="36"/>
        <v>0</v>
      </c>
      <c r="J60" s="200">
        <f t="shared" si="36"/>
        <v>0</v>
      </c>
      <c r="K60" s="200">
        <f t="shared" si="36"/>
        <v>0</v>
      </c>
      <c r="L60" s="200">
        <f t="shared" si="36"/>
        <v>0</v>
      </c>
      <c r="M60" s="200">
        <f t="shared" si="36"/>
        <v>0</v>
      </c>
      <c r="N60" s="200">
        <f t="shared" si="36"/>
        <v>0</v>
      </c>
      <c r="O60" s="200">
        <f t="shared" si="36"/>
        <v>0</v>
      </c>
      <c r="P60" s="200">
        <f t="shared" si="36"/>
        <v>0</v>
      </c>
      <c r="Q60" s="200">
        <f t="shared" si="36"/>
        <v>0</v>
      </c>
      <c r="R60" s="200">
        <f t="shared" si="36"/>
        <v>0</v>
      </c>
      <c r="S60" s="200">
        <f t="shared" si="36"/>
        <v>0</v>
      </c>
      <c r="T60" s="200">
        <f t="shared" si="36"/>
        <v>0</v>
      </c>
      <c r="U60" s="200">
        <f t="shared" si="36"/>
        <v>0</v>
      </c>
      <c r="V60" s="200">
        <f t="shared" si="36"/>
        <v>0</v>
      </c>
      <c r="W60" s="200">
        <f t="shared" si="36"/>
        <v>0</v>
      </c>
      <c r="X60" s="200">
        <f t="shared" si="36"/>
        <v>0</v>
      </c>
      <c r="Y60" s="170">
        <f t="shared" si="19"/>
        <v>0</v>
      </c>
    </row>
    <row r="61" spans="1:25" s="211" customFormat="1" ht="15" x14ac:dyDescent="0.2">
      <c r="A61" s="207" t="s">
        <v>212</v>
      </c>
      <c r="B61" s="207"/>
      <c r="C61" s="207"/>
      <c r="D61" s="208"/>
      <c r="E61" s="209" t="e">
        <f t="shared" ref="E61:X61" si="37">E60/E18</f>
        <v>#DIV/0!</v>
      </c>
      <c r="F61" s="209" t="e">
        <f t="shared" si="37"/>
        <v>#DIV/0!</v>
      </c>
      <c r="G61" s="209" t="e">
        <f t="shared" si="37"/>
        <v>#DIV/0!</v>
      </c>
      <c r="H61" s="209" t="e">
        <f t="shared" si="37"/>
        <v>#DIV/0!</v>
      </c>
      <c r="I61" s="209" t="e">
        <f t="shared" si="37"/>
        <v>#DIV/0!</v>
      </c>
      <c r="J61" s="209" t="e">
        <f t="shared" si="37"/>
        <v>#DIV/0!</v>
      </c>
      <c r="K61" s="209" t="e">
        <f t="shared" si="37"/>
        <v>#DIV/0!</v>
      </c>
      <c r="L61" s="209" t="e">
        <f t="shared" si="37"/>
        <v>#DIV/0!</v>
      </c>
      <c r="M61" s="209" t="e">
        <f t="shared" si="37"/>
        <v>#DIV/0!</v>
      </c>
      <c r="N61" s="209" t="e">
        <f t="shared" si="37"/>
        <v>#DIV/0!</v>
      </c>
      <c r="O61" s="209" t="e">
        <f t="shared" si="37"/>
        <v>#DIV/0!</v>
      </c>
      <c r="P61" s="209" t="e">
        <f t="shared" si="37"/>
        <v>#DIV/0!</v>
      </c>
      <c r="Q61" s="209" t="e">
        <f t="shared" si="37"/>
        <v>#DIV/0!</v>
      </c>
      <c r="R61" s="209" t="e">
        <f t="shared" si="37"/>
        <v>#DIV/0!</v>
      </c>
      <c r="S61" s="209" t="e">
        <f t="shared" si="37"/>
        <v>#DIV/0!</v>
      </c>
      <c r="T61" s="209" t="e">
        <f t="shared" si="37"/>
        <v>#DIV/0!</v>
      </c>
      <c r="U61" s="209" t="e">
        <f t="shared" si="37"/>
        <v>#DIV/0!</v>
      </c>
      <c r="V61" s="209" t="e">
        <f t="shared" si="37"/>
        <v>#DIV/0!</v>
      </c>
      <c r="W61" s="209" t="e">
        <f t="shared" si="37"/>
        <v>#DIV/0!</v>
      </c>
      <c r="X61" s="209" t="e">
        <f t="shared" si="37"/>
        <v>#DIV/0!</v>
      </c>
      <c r="Y61" s="210"/>
    </row>
    <row r="62" spans="1:25" s="171" customFormat="1" ht="15" x14ac:dyDescent="0.2">
      <c r="A62" s="167" t="s">
        <v>187</v>
      </c>
      <c r="B62" s="167"/>
      <c r="C62" s="167"/>
      <c r="D62" s="177"/>
      <c r="E62" s="168">
        <f t="shared" ref="E62:X62" si="38">E18/12</f>
        <v>0</v>
      </c>
      <c r="F62" s="168">
        <f t="shared" si="38"/>
        <v>0</v>
      </c>
      <c r="G62" s="168">
        <f t="shared" si="38"/>
        <v>0</v>
      </c>
      <c r="H62" s="168">
        <f t="shared" si="38"/>
        <v>0</v>
      </c>
      <c r="I62" s="168">
        <f t="shared" si="38"/>
        <v>0</v>
      </c>
      <c r="J62" s="168">
        <f t="shared" si="38"/>
        <v>0</v>
      </c>
      <c r="K62" s="168">
        <f t="shared" si="38"/>
        <v>0</v>
      </c>
      <c r="L62" s="168">
        <f t="shared" si="38"/>
        <v>0</v>
      </c>
      <c r="M62" s="168">
        <f t="shared" si="38"/>
        <v>0</v>
      </c>
      <c r="N62" s="168">
        <f t="shared" si="38"/>
        <v>0</v>
      </c>
      <c r="O62" s="168">
        <f t="shared" si="38"/>
        <v>0</v>
      </c>
      <c r="P62" s="168">
        <f t="shared" si="38"/>
        <v>0</v>
      </c>
      <c r="Q62" s="168">
        <f t="shared" si="38"/>
        <v>0</v>
      </c>
      <c r="R62" s="168">
        <f t="shared" si="38"/>
        <v>0</v>
      </c>
      <c r="S62" s="168">
        <f t="shared" si="38"/>
        <v>0</v>
      </c>
      <c r="T62" s="168">
        <f t="shared" si="38"/>
        <v>0</v>
      </c>
      <c r="U62" s="168">
        <f t="shared" si="38"/>
        <v>0</v>
      </c>
      <c r="V62" s="168">
        <f t="shared" si="38"/>
        <v>0</v>
      </c>
      <c r="W62" s="168">
        <f t="shared" si="38"/>
        <v>0</v>
      </c>
      <c r="X62" s="168">
        <f t="shared" si="38"/>
        <v>0</v>
      </c>
      <c r="Y62" s="170">
        <f>SUM(E62:X62)</f>
        <v>0</v>
      </c>
    </row>
    <row r="63" spans="1:25" s="171" customFormat="1" ht="15" x14ac:dyDescent="0.2">
      <c r="A63" s="167" t="s">
        <v>220</v>
      </c>
      <c r="B63" s="167"/>
      <c r="C63" s="167"/>
      <c r="D63" s="194"/>
      <c r="E63" s="168">
        <f>E42/12</f>
        <v>0</v>
      </c>
      <c r="F63" s="168">
        <f t="shared" ref="F63:X63" si="39">F42/12</f>
        <v>0</v>
      </c>
      <c r="G63" s="168">
        <f t="shared" si="39"/>
        <v>0</v>
      </c>
      <c r="H63" s="168">
        <f t="shared" si="39"/>
        <v>0</v>
      </c>
      <c r="I63" s="168">
        <f t="shared" si="39"/>
        <v>0</v>
      </c>
      <c r="J63" s="168">
        <f t="shared" si="39"/>
        <v>0</v>
      </c>
      <c r="K63" s="168">
        <f t="shared" si="39"/>
        <v>0</v>
      </c>
      <c r="L63" s="168">
        <f t="shared" si="39"/>
        <v>0</v>
      </c>
      <c r="M63" s="168">
        <f t="shared" si="39"/>
        <v>0</v>
      </c>
      <c r="N63" s="168">
        <f t="shared" si="39"/>
        <v>0</v>
      </c>
      <c r="O63" s="168">
        <f t="shared" si="39"/>
        <v>0</v>
      </c>
      <c r="P63" s="168">
        <f t="shared" si="39"/>
        <v>0</v>
      </c>
      <c r="Q63" s="168">
        <f t="shared" si="39"/>
        <v>0</v>
      </c>
      <c r="R63" s="168">
        <f t="shared" si="39"/>
        <v>0</v>
      </c>
      <c r="S63" s="168">
        <f t="shared" si="39"/>
        <v>0</v>
      </c>
      <c r="T63" s="168">
        <f t="shared" si="39"/>
        <v>0</v>
      </c>
      <c r="U63" s="168">
        <f t="shared" si="39"/>
        <v>0</v>
      </c>
      <c r="V63" s="168">
        <f t="shared" si="39"/>
        <v>0</v>
      </c>
      <c r="W63" s="168">
        <f t="shared" si="39"/>
        <v>0</v>
      </c>
      <c r="X63" s="168">
        <f t="shared" si="39"/>
        <v>0</v>
      </c>
      <c r="Y63" s="170">
        <f t="shared" ref="Y63:Y64" si="40">SUM(E63:X63)</f>
        <v>0</v>
      </c>
    </row>
    <row r="64" spans="1:25" s="171" customFormat="1" ht="15" x14ac:dyDescent="0.2">
      <c r="A64" s="167" t="s">
        <v>221</v>
      </c>
      <c r="B64" s="167"/>
      <c r="C64" s="167"/>
      <c r="D64" s="194"/>
      <c r="E64" s="200">
        <f>E62-E63</f>
        <v>0</v>
      </c>
      <c r="F64" s="200">
        <f t="shared" ref="F64:X64" si="41">F62-F63</f>
        <v>0</v>
      </c>
      <c r="G64" s="200">
        <f t="shared" si="41"/>
        <v>0</v>
      </c>
      <c r="H64" s="200">
        <f t="shared" si="41"/>
        <v>0</v>
      </c>
      <c r="I64" s="200">
        <f t="shared" si="41"/>
        <v>0</v>
      </c>
      <c r="J64" s="200">
        <f t="shared" si="41"/>
        <v>0</v>
      </c>
      <c r="K64" s="200">
        <f t="shared" si="41"/>
        <v>0</v>
      </c>
      <c r="L64" s="200">
        <f t="shared" si="41"/>
        <v>0</v>
      </c>
      <c r="M64" s="200">
        <f t="shared" si="41"/>
        <v>0</v>
      </c>
      <c r="N64" s="200">
        <f t="shared" si="41"/>
        <v>0</v>
      </c>
      <c r="O64" s="200">
        <f t="shared" si="41"/>
        <v>0</v>
      </c>
      <c r="P64" s="200">
        <f t="shared" si="41"/>
        <v>0</v>
      </c>
      <c r="Q64" s="200">
        <f t="shared" si="41"/>
        <v>0</v>
      </c>
      <c r="R64" s="200">
        <f t="shared" si="41"/>
        <v>0</v>
      </c>
      <c r="S64" s="200">
        <f t="shared" si="41"/>
        <v>0</v>
      </c>
      <c r="T64" s="200">
        <f t="shared" si="41"/>
        <v>0</v>
      </c>
      <c r="U64" s="200">
        <f t="shared" si="41"/>
        <v>0</v>
      </c>
      <c r="V64" s="200">
        <f t="shared" si="41"/>
        <v>0</v>
      </c>
      <c r="W64" s="200">
        <f t="shared" si="41"/>
        <v>0</v>
      </c>
      <c r="X64" s="200">
        <f t="shared" si="41"/>
        <v>0</v>
      </c>
      <c r="Y64" s="170">
        <f t="shared" si="40"/>
        <v>0</v>
      </c>
    </row>
    <row r="65" spans="1:25" s="166" customFormat="1" ht="15" x14ac:dyDescent="0.2">
      <c r="A65" s="162" t="s">
        <v>213</v>
      </c>
      <c r="B65" s="162"/>
      <c r="C65" s="162"/>
      <c r="D65" s="192"/>
      <c r="E65" s="201">
        <f t="shared" ref="E65:X65" si="42">E19-E43</f>
        <v>0</v>
      </c>
      <c r="F65" s="201">
        <f t="shared" si="42"/>
        <v>0</v>
      </c>
      <c r="G65" s="201">
        <f t="shared" si="42"/>
        <v>0</v>
      </c>
      <c r="H65" s="201">
        <f t="shared" si="42"/>
        <v>0</v>
      </c>
      <c r="I65" s="201">
        <f t="shared" si="42"/>
        <v>0</v>
      </c>
      <c r="J65" s="201">
        <f t="shared" si="42"/>
        <v>0</v>
      </c>
      <c r="K65" s="201">
        <f t="shared" si="42"/>
        <v>0</v>
      </c>
      <c r="L65" s="201">
        <f t="shared" si="42"/>
        <v>0</v>
      </c>
      <c r="M65" s="201">
        <f t="shared" si="42"/>
        <v>0</v>
      </c>
      <c r="N65" s="201">
        <f t="shared" si="42"/>
        <v>0</v>
      </c>
      <c r="O65" s="201">
        <f t="shared" si="42"/>
        <v>0</v>
      </c>
      <c r="P65" s="201">
        <f t="shared" si="42"/>
        <v>0</v>
      </c>
      <c r="Q65" s="201">
        <f t="shared" si="42"/>
        <v>0</v>
      </c>
      <c r="R65" s="201">
        <f t="shared" si="42"/>
        <v>0</v>
      </c>
      <c r="S65" s="201">
        <f t="shared" si="42"/>
        <v>0</v>
      </c>
      <c r="T65" s="201">
        <f t="shared" si="42"/>
        <v>0</v>
      </c>
      <c r="U65" s="201">
        <f t="shared" si="42"/>
        <v>0</v>
      </c>
      <c r="V65" s="201">
        <f t="shared" si="42"/>
        <v>0</v>
      </c>
      <c r="W65" s="201">
        <f t="shared" si="42"/>
        <v>0</v>
      </c>
      <c r="X65" s="201">
        <f t="shared" si="42"/>
        <v>0</v>
      </c>
      <c r="Y65" s="165">
        <f t="shared" si="19"/>
        <v>0</v>
      </c>
    </row>
    <row r="66" spans="1:25" s="206" customFormat="1" ht="15" x14ac:dyDescent="0.2">
      <c r="A66" s="202" t="s">
        <v>214</v>
      </c>
      <c r="B66" s="202"/>
      <c r="C66" s="202"/>
      <c r="D66" s="203"/>
      <c r="E66" s="204" t="e">
        <f t="shared" ref="E66:X66" si="43">E65/E19</f>
        <v>#DIV/0!</v>
      </c>
      <c r="F66" s="204" t="e">
        <f t="shared" si="43"/>
        <v>#DIV/0!</v>
      </c>
      <c r="G66" s="204" t="e">
        <f t="shared" si="43"/>
        <v>#DIV/0!</v>
      </c>
      <c r="H66" s="204" t="e">
        <f t="shared" si="43"/>
        <v>#DIV/0!</v>
      </c>
      <c r="I66" s="204" t="e">
        <f t="shared" si="43"/>
        <v>#DIV/0!</v>
      </c>
      <c r="J66" s="204" t="e">
        <f t="shared" si="43"/>
        <v>#DIV/0!</v>
      </c>
      <c r="K66" s="204" t="e">
        <f t="shared" si="43"/>
        <v>#DIV/0!</v>
      </c>
      <c r="L66" s="204" t="e">
        <f t="shared" si="43"/>
        <v>#DIV/0!</v>
      </c>
      <c r="M66" s="204" t="e">
        <f t="shared" si="43"/>
        <v>#DIV/0!</v>
      </c>
      <c r="N66" s="204" t="e">
        <f t="shared" si="43"/>
        <v>#DIV/0!</v>
      </c>
      <c r="O66" s="204" t="e">
        <f t="shared" si="43"/>
        <v>#DIV/0!</v>
      </c>
      <c r="P66" s="204" t="e">
        <f t="shared" si="43"/>
        <v>#DIV/0!</v>
      </c>
      <c r="Q66" s="204" t="e">
        <f t="shared" si="43"/>
        <v>#DIV/0!</v>
      </c>
      <c r="R66" s="204" t="e">
        <f t="shared" si="43"/>
        <v>#DIV/0!</v>
      </c>
      <c r="S66" s="204" t="e">
        <f t="shared" si="43"/>
        <v>#DIV/0!</v>
      </c>
      <c r="T66" s="204" t="e">
        <f t="shared" si="43"/>
        <v>#DIV/0!</v>
      </c>
      <c r="U66" s="204" t="e">
        <f t="shared" si="43"/>
        <v>#DIV/0!</v>
      </c>
      <c r="V66" s="204" t="e">
        <f t="shared" si="43"/>
        <v>#DIV/0!</v>
      </c>
      <c r="W66" s="204" t="e">
        <f t="shared" si="43"/>
        <v>#DIV/0!</v>
      </c>
      <c r="X66" s="204" t="e">
        <f t="shared" si="43"/>
        <v>#DIV/0!</v>
      </c>
      <c r="Y66" s="205"/>
    </row>
    <row r="67" spans="1:25" s="166" customFormat="1" ht="15" x14ac:dyDescent="0.2">
      <c r="A67" s="162" t="s">
        <v>188</v>
      </c>
      <c r="B67" s="162"/>
      <c r="C67" s="162"/>
      <c r="D67" s="173"/>
      <c r="E67" s="163">
        <f t="shared" ref="E67:X67" si="44">E19/12</f>
        <v>0</v>
      </c>
      <c r="F67" s="163">
        <f t="shared" si="44"/>
        <v>0</v>
      </c>
      <c r="G67" s="163">
        <f t="shared" si="44"/>
        <v>0</v>
      </c>
      <c r="H67" s="163">
        <f t="shared" si="44"/>
        <v>0</v>
      </c>
      <c r="I67" s="163">
        <f t="shared" si="44"/>
        <v>0</v>
      </c>
      <c r="J67" s="163">
        <f t="shared" si="44"/>
        <v>0</v>
      </c>
      <c r="K67" s="163">
        <f t="shared" si="44"/>
        <v>0</v>
      </c>
      <c r="L67" s="163">
        <f t="shared" si="44"/>
        <v>0</v>
      </c>
      <c r="M67" s="163">
        <f t="shared" si="44"/>
        <v>0</v>
      </c>
      <c r="N67" s="163">
        <f t="shared" si="44"/>
        <v>0</v>
      </c>
      <c r="O67" s="163">
        <f t="shared" si="44"/>
        <v>0</v>
      </c>
      <c r="P67" s="163">
        <f t="shared" si="44"/>
        <v>0</v>
      </c>
      <c r="Q67" s="163">
        <f t="shared" si="44"/>
        <v>0</v>
      </c>
      <c r="R67" s="163">
        <f t="shared" si="44"/>
        <v>0</v>
      </c>
      <c r="S67" s="163">
        <f t="shared" si="44"/>
        <v>0</v>
      </c>
      <c r="T67" s="163">
        <f t="shared" si="44"/>
        <v>0</v>
      </c>
      <c r="U67" s="163">
        <f t="shared" si="44"/>
        <v>0</v>
      </c>
      <c r="V67" s="163">
        <f t="shared" si="44"/>
        <v>0</v>
      </c>
      <c r="W67" s="163">
        <f t="shared" si="44"/>
        <v>0</v>
      </c>
      <c r="X67" s="163">
        <f t="shared" si="44"/>
        <v>0</v>
      </c>
      <c r="Y67" s="165">
        <f>SUM(E67:X67)</f>
        <v>0</v>
      </c>
    </row>
    <row r="68" spans="1:25" s="166" customFormat="1" ht="15" x14ac:dyDescent="0.2">
      <c r="A68" s="162" t="s">
        <v>222</v>
      </c>
      <c r="B68" s="162"/>
      <c r="C68" s="162"/>
      <c r="D68" s="192"/>
      <c r="E68" s="163">
        <f>E43/12</f>
        <v>0</v>
      </c>
      <c r="F68" s="163">
        <f t="shared" ref="F68:X68" si="45">F43/12</f>
        <v>0</v>
      </c>
      <c r="G68" s="163">
        <f t="shared" si="45"/>
        <v>0</v>
      </c>
      <c r="H68" s="163">
        <f t="shared" si="45"/>
        <v>0</v>
      </c>
      <c r="I68" s="163">
        <f t="shared" si="45"/>
        <v>0</v>
      </c>
      <c r="J68" s="163">
        <f t="shared" si="45"/>
        <v>0</v>
      </c>
      <c r="K68" s="163">
        <f t="shared" si="45"/>
        <v>0</v>
      </c>
      <c r="L68" s="163">
        <f t="shared" si="45"/>
        <v>0</v>
      </c>
      <c r="M68" s="163">
        <f t="shared" si="45"/>
        <v>0</v>
      </c>
      <c r="N68" s="163">
        <f t="shared" si="45"/>
        <v>0</v>
      </c>
      <c r="O68" s="163">
        <f t="shared" si="45"/>
        <v>0</v>
      </c>
      <c r="P68" s="163">
        <f t="shared" si="45"/>
        <v>0</v>
      </c>
      <c r="Q68" s="163">
        <f t="shared" si="45"/>
        <v>0</v>
      </c>
      <c r="R68" s="163">
        <f t="shared" si="45"/>
        <v>0</v>
      </c>
      <c r="S68" s="163">
        <f t="shared" si="45"/>
        <v>0</v>
      </c>
      <c r="T68" s="163">
        <f t="shared" si="45"/>
        <v>0</v>
      </c>
      <c r="U68" s="163">
        <f t="shared" si="45"/>
        <v>0</v>
      </c>
      <c r="V68" s="163">
        <f t="shared" si="45"/>
        <v>0</v>
      </c>
      <c r="W68" s="163">
        <f t="shared" si="45"/>
        <v>0</v>
      </c>
      <c r="X68" s="163">
        <f t="shared" si="45"/>
        <v>0</v>
      </c>
      <c r="Y68" s="165">
        <f t="shared" ref="Y68:Y69" si="46">SUM(E68:X68)</f>
        <v>0</v>
      </c>
    </row>
    <row r="69" spans="1:25" s="166" customFormat="1" ht="15" x14ac:dyDescent="0.2">
      <c r="A69" s="162" t="s">
        <v>223</v>
      </c>
      <c r="B69" s="162"/>
      <c r="C69" s="162"/>
      <c r="D69" s="192"/>
      <c r="E69" s="201">
        <f>E67-E68</f>
        <v>0</v>
      </c>
      <c r="F69" s="201">
        <f t="shared" ref="F69:X69" si="47">F67-F68</f>
        <v>0</v>
      </c>
      <c r="G69" s="201">
        <f t="shared" si="47"/>
        <v>0</v>
      </c>
      <c r="H69" s="201">
        <f t="shared" si="47"/>
        <v>0</v>
      </c>
      <c r="I69" s="201">
        <f t="shared" si="47"/>
        <v>0</v>
      </c>
      <c r="J69" s="201">
        <f t="shared" si="47"/>
        <v>0</v>
      </c>
      <c r="K69" s="201">
        <f t="shared" si="47"/>
        <v>0</v>
      </c>
      <c r="L69" s="201">
        <f t="shared" si="47"/>
        <v>0</v>
      </c>
      <c r="M69" s="201">
        <f t="shared" si="47"/>
        <v>0</v>
      </c>
      <c r="N69" s="201">
        <f t="shared" si="47"/>
        <v>0</v>
      </c>
      <c r="O69" s="201">
        <f t="shared" si="47"/>
        <v>0</v>
      </c>
      <c r="P69" s="201">
        <f t="shared" si="47"/>
        <v>0</v>
      </c>
      <c r="Q69" s="201">
        <f t="shared" si="47"/>
        <v>0</v>
      </c>
      <c r="R69" s="201">
        <f t="shared" si="47"/>
        <v>0</v>
      </c>
      <c r="S69" s="201">
        <f t="shared" si="47"/>
        <v>0</v>
      </c>
      <c r="T69" s="201">
        <f t="shared" si="47"/>
        <v>0</v>
      </c>
      <c r="U69" s="201">
        <f t="shared" si="47"/>
        <v>0</v>
      </c>
      <c r="V69" s="201">
        <f t="shared" si="47"/>
        <v>0</v>
      </c>
      <c r="W69" s="201">
        <f t="shared" si="47"/>
        <v>0</v>
      </c>
      <c r="X69" s="201">
        <f t="shared" si="47"/>
        <v>0</v>
      </c>
      <c r="Y69" s="165">
        <f t="shared" si="46"/>
        <v>0</v>
      </c>
    </row>
    <row r="70" spans="1:25" s="66" customFormat="1" ht="15" x14ac:dyDescent="0.2">
      <c r="A70" s="129"/>
      <c r="B70" s="129"/>
      <c r="C70" s="129"/>
      <c r="D70" s="134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1"/>
    </row>
    <row r="71" spans="1:25" s="24" customFormat="1" ht="15" x14ac:dyDescent="0.2">
      <c r="F71" s="270"/>
      <c r="H71" s="270"/>
      <c r="J71" s="40"/>
      <c r="K71" s="39"/>
    </row>
    <row r="72" spans="1:25" s="24" customFormat="1" ht="15" x14ac:dyDescent="0.2">
      <c r="B72" s="271"/>
      <c r="C72" s="271"/>
      <c r="D72" s="270"/>
      <c r="F72" s="270"/>
      <c r="G72" s="270"/>
      <c r="H72" s="270"/>
      <c r="J72" s="40"/>
      <c r="K72" s="39"/>
    </row>
    <row r="73" spans="1:25" s="24" customFormat="1" ht="15" x14ac:dyDescent="0.2">
      <c r="A73" s="272"/>
      <c r="D73" s="273"/>
      <c r="F73" s="274"/>
      <c r="H73" s="274"/>
      <c r="J73" s="40"/>
      <c r="K73" s="39"/>
    </row>
    <row r="74" spans="1:25" s="24" customFormat="1" ht="15" x14ac:dyDescent="0.2">
      <c r="A74" s="272"/>
      <c r="D74" s="275"/>
      <c r="F74" s="276"/>
      <c r="J74" s="40"/>
      <c r="K74" s="39"/>
    </row>
    <row r="75" spans="1:25" s="24" customFormat="1" ht="15" x14ac:dyDescent="0.2">
      <c r="A75" s="272"/>
      <c r="D75" s="277"/>
      <c r="J75" s="40"/>
      <c r="K75" s="39"/>
    </row>
    <row r="76" spans="1:25" s="24" customFormat="1" ht="15" x14ac:dyDescent="0.2">
      <c r="A76" s="272"/>
      <c r="D76" s="278"/>
      <c r="J76" s="40"/>
      <c r="K76" s="39"/>
    </row>
    <row r="77" spans="1:25" s="24" customFormat="1" ht="15" x14ac:dyDescent="0.2">
      <c r="B77" s="145"/>
      <c r="C77" s="145"/>
      <c r="D77" s="90"/>
      <c r="J77" s="40"/>
      <c r="K77" s="39"/>
    </row>
    <row r="78" spans="1:25" s="24" customFormat="1" x14ac:dyDescent="0.15">
      <c r="A78" s="258"/>
      <c r="B78" s="40"/>
      <c r="C78" s="40"/>
      <c r="D78" s="40"/>
      <c r="G78" s="279"/>
      <c r="J78" s="40"/>
      <c r="K78" s="41"/>
    </row>
    <row r="79" spans="1:25" s="24" customFormat="1" x14ac:dyDescent="0.15">
      <c r="A79" s="258"/>
      <c r="B79" s="40"/>
      <c r="C79" s="40"/>
      <c r="D79" s="40"/>
      <c r="G79" s="279"/>
      <c r="J79" s="42"/>
      <c r="K79" s="43"/>
    </row>
    <row r="80" spans="1:25" s="24" customFormat="1" x14ac:dyDescent="0.15">
      <c r="A80" s="258"/>
      <c r="B80" s="40"/>
      <c r="C80" s="40"/>
      <c r="D80" s="40"/>
      <c r="G80" s="279"/>
      <c r="J80" s="40"/>
      <c r="K80" s="40"/>
    </row>
    <row r="81" spans="1:11" s="24" customFormat="1" ht="15" x14ac:dyDescent="0.2">
      <c r="A81" s="272"/>
      <c r="C81" s="262"/>
      <c r="F81" s="280"/>
      <c r="J81" s="40"/>
      <c r="K81" s="40"/>
    </row>
    <row r="82" spans="1:11" s="24" customFormat="1" ht="15" x14ac:dyDescent="0.2">
      <c r="A82" s="272"/>
      <c r="D82" s="281"/>
      <c r="F82" s="280"/>
      <c r="J82" s="40"/>
      <c r="K82" s="40"/>
    </row>
    <row r="83" spans="1:11" s="24" customFormat="1" ht="15" x14ac:dyDescent="0.2">
      <c r="A83" s="272"/>
      <c r="D83" s="281"/>
      <c r="F83" s="280"/>
      <c r="H83" s="274"/>
      <c r="J83" s="40"/>
      <c r="K83" s="40"/>
    </row>
    <row r="84" spans="1:11" s="24" customFormat="1" ht="15" x14ac:dyDescent="0.2">
      <c r="A84" s="272"/>
      <c r="F84" s="280"/>
      <c r="H84" s="282"/>
      <c r="J84" s="40"/>
      <c r="K84" s="40"/>
    </row>
    <row r="85" spans="1:11" s="24" customFormat="1" x14ac:dyDescent="0.15">
      <c r="A85" s="272"/>
      <c r="J85" s="40"/>
      <c r="K85" s="40"/>
    </row>
    <row r="86" spans="1:11" s="24" customFormat="1" ht="15" x14ac:dyDescent="0.2">
      <c r="A86" s="272"/>
      <c r="F86" s="275"/>
      <c r="H86" s="276"/>
      <c r="J86" s="40"/>
      <c r="K86" s="40"/>
    </row>
    <row r="87" spans="1:11" s="24" customFormat="1" x14ac:dyDescent="0.15">
      <c r="J87" s="40"/>
      <c r="K87" s="40"/>
    </row>
    <row r="88" spans="1:11" s="24" customFormat="1" ht="15" x14ac:dyDescent="0.2">
      <c r="A88" s="272"/>
      <c r="H88" s="230"/>
      <c r="I88" s="283"/>
      <c r="J88" s="40"/>
      <c r="K88" s="40"/>
    </row>
    <row r="89" spans="1:11" s="24" customFormat="1" x14ac:dyDescent="0.15">
      <c r="A89" s="272"/>
      <c r="H89" s="230"/>
      <c r="J89" s="40"/>
      <c r="K89" s="40"/>
    </row>
    <row r="90" spans="1:11" s="24" customFormat="1" x14ac:dyDescent="0.15">
      <c r="J90" s="40"/>
      <c r="K90" s="40"/>
    </row>
    <row r="91" spans="1:11" s="24" customFormat="1" x14ac:dyDescent="0.15">
      <c r="J91" s="40"/>
      <c r="K91" s="40"/>
    </row>
    <row r="92" spans="1:11" s="24" customFormat="1" x14ac:dyDescent="0.15">
      <c r="J92" s="40"/>
      <c r="K92" s="40"/>
    </row>
    <row r="93" spans="1:11" s="24" customFormat="1" x14ac:dyDescent="0.15">
      <c r="J93" s="40"/>
      <c r="K93" s="40"/>
    </row>
    <row r="94" spans="1:11" s="24" customFormat="1" x14ac:dyDescent="0.15">
      <c r="J94" s="40"/>
      <c r="K94" s="40"/>
    </row>
    <row r="95" spans="1:11" s="24" customFormat="1" x14ac:dyDescent="0.15">
      <c r="B95" s="284"/>
      <c r="C95" s="284"/>
      <c r="J95" s="40"/>
      <c r="K95" s="40"/>
    </row>
    <row r="96" spans="1:11" s="24" customFormat="1" x14ac:dyDescent="0.15">
      <c r="B96" s="284"/>
      <c r="C96" s="284"/>
      <c r="J96" s="40"/>
      <c r="K96" s="40"/>
    </row>
    <row r="97" spans="2:3" x14ac:dyDescent="0.15">
      <c r="B97" s="22"/>
      <c r="C97" s="22"/>
    </row>
    <row r="98" spans="2:3" x14ac:dyDescent="0.15">
      <c r="B98" s="22"/>
      <c r="C98" s="22"/>
    </row>
    <row r="99" spans="2:3" x14ac:dyDescent="0.15">
      <c r="B99" s="22"/>
      <c r="C99" s="22"/>
    </row>
    <row r="100" spans="2:3" x14ac:dyDescent="0.15">
      <c r="B100" s="22"/>
      <c r="C100" s="22"/>
    </row>
    <row r="101" spans="2:3" x14ac:dyDescent="0.15">
      <c r="B101" s="22"/>
      <c r="C101" s="22"/>
    </row>
    <row r="102" spans="2:3" x14ac:dyDescent="0.15">
      <c r="B102" s="22"/>
      <c r="C102" s="22"/>
    </row>
    <row r="103" spans="2:3" x14ac:dyDescent="0.15">
      <c r="B103" s="22"/>
      <c r="C103" s="22"/>
    </row>
  </sheetData>
  <sheetProtection algorithmName="SHA-512" hashValue="KhcveYlgZU29vkM5Aj4mhLsS0lGu0GL9Gh0O10ST+0NX+UQ0C8X7S6ffdP+P/RKtXjZf7RWfV5fxgQ1KWb34ZA==" saltValue="b9vwt6g2bTAEN8IRn0XWcA==" spinCount="100000" sheet="1" objects="1"/>
  <printOptions horizontalCentered="1"/>
  <pageMargins left="0" right="0" top="0.25" bottom="0" header="0.3" footer="0.3"/>
  <pageSetup paperSize="17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3"/>
  <sheetViews>
    <sheetView workbookViewId="0">
      <selection activeCell="M33" sqref="M33"/>
    </sheetView>
  </sheetViews>
  <sheetFormatPr baseColWidth="10" defaultColWidth="8.83203125" defaultRowHeight="15" x14ac:dyDescent="0.2"/>
  <cols>
    <col min="1" max="1" width="17.1640625" style="44" customWidth="1"/>
    <col min="2" max="2" width="10.5" style="44" customWidth="1"/>
    <col min="3" max="3" width="10.83203125" style="44" customWidth="1"/>
    <col min="4" max="4" width="16.5" style="44" bestFit="1" customWidth="1"/>
    <col min="5" max="5" width="12.5" style="44" bestFit="1" customWidth="1"/>
    <col min="6" max="6" width="13.83203125" style="44" customWidth="1"/>
    <col min="7" max="7" width="12.5" style="44" bestFit="1" customWidth="1"/>
    <col min="8" max="8" width="15.1640625" style="44" bestFit="1" customWidth="1"/>
    <col min="9" max="9" width="12.5" style="44" bestFit="1" customWidth="1"/>
    <col min="10" max="10" width="15.83203125" style="44" customWidth="1"/>
    <col min="11" max="11" width="15.1640625" style="44" bestFit="1" customWidth="1"/>
    <col min="12" max="23" width="12.5" style="44" bestFit="1" customWidth="1"/>
    <col min="24" max="24" width="14.1640625" style="44" bestFit="1" customWidth="1"/>
    <col min="25" max="25" width="15.1640625" style="44" bestFit="1" customWidth="1"/>
  </cols>
  <sheetData>
    <row r="1" spans="1:25" x14ac:dyDescent="0.2">
      <c r="A1" s="121" t="s">
        <v>242</v>
      </c>
    </row>
    <row r="2" spans="1:25" x14ac:dyDescent="0.2">
      <c r="A2" s="21" t="s">
        <v>111</v>
      </c>
      <c r="D2" s="21" t="str">
        <f>Eligibility!D23</f>
        <v>Mickey Mouse</v>
      </c>
      <c r="E2" s="21"/>
      <c r="F2" s="21" t="s">
        <v>84</v>
      </c>
      <c r="G2" s="21"/>
      <c r="H2" s="116">
        <f>Eligibility!N73</f>
        <v>2100</v>
      </c>
    </row>
    <row r="3" spans="1:25" x14ac:dyDescent="0.2">
      <c r="A3" s="21" t="s">
        <v>119</v>
      </c>
      <c r="D3" s="21" t="str">
        <f>Eligibility!D11</f>
        <v>Olani Street</v>
      </c>
      <c r="E3" s="21"/>
      <c r="F3" s="21" t="s">
        <v>85</v>
      </c>
      <c r="G3" s="21"/>
      <c r="H3" s="142" t="e">
        <f>Eligibility!N77</f>
        <v>#DIV/0!</v>
      </c>
    </row>
    <row r="4" spans="1:25" x14ac:dyDescent="0.2">
      <c r="A4" s="21"/>
      <c r="D4" s="21" t="str">
        <f>Eligibility!D12</f>
        <v>Kapolei, HI 96707</v>
      </c>
      <c r="E4" s="21"/>
      <c r="F4" s="21"/>
      <c r="G4" s="21"/>
      <c r="H4" s="21"/>
    </row>
    <row r="5" spans="1:25" x14ac:dyDescent="0.2">
      <c r="A5" s="21" t="s">
        <v>80</v>
      </c>
      <c r="D5" s="122">
        <f>Eligibility!J59</f>
        <v>7000</v>
      </c>
      <c r="E5" s="21"/>
      <c r="F5" s="240" t="s">
        <v>224</v>
      </c>
      <c r="G5" s="240"/>
      <c r="H5" s="149" t="e">
        <f>Y49</f>
        <v>#REF!</v>
      </c>
      <c r="I5" s="240"/>
      <c r="J5" s="231" t="s">
        <v>229</v>
      </c>
      <c r="K5" s="246" t="e">
        <f>IF(Eligibility!$J$12="HECO",$H$2+$H$3+H5,0)</f>
        <v>#DIV/0!</v>
      </c>
      <c r="L5" s="290"/>
    </row>
    <row r="6" spans="1:25" x14ac:dyDescent="0.2">
      <c r="A6" s="21" t="s">
        <v>112</v>
      </c>
      <c r="D6" s="255">
        <f>Eligibility!N78</f>
        <v>0</v>
      </c>
      <c r="E6" s="21"/>
      <c r="F6" s="241" t="s">
        <v>225</v>
      </c>
      <c r="G6" s="241"/>
      <c r="H6" s="235">
        <f>Y54</f>
        <v>0</v>
      </c>
      <c r="I6" s="241"/>
      <c r="J6" s="234" t="s">
        <v>230</v>
      </c>
      <c r="K6" s="247">
        <f>IF(Eligibility!$J$12="HELCO",$H$2+$H$3+H6,0)</f>
        <v>0</v>
      </c>
    </row>
    <row r="7" spans="1:25" x14ac:dyDescent="0.2">
      <c r="A7" s="28" t="s">
        <v>115</v>
      </c>
      <c r="D7" s="52" t="e">
        <f>Eligibility!N81</f>
        <v>#DIV/0!</v>
      </c>
      <c r="E7" s="21"/>
      <c r="F7" s="242" t="s">
        <v>226</v>
      </c>
      <c r="G7" s="242"/>
      <c r="H7" s="233">
        <f>Y59</f>
        <v>0</v>
      </c>
      <c r="I7" s="242"/>
      <c r="J7" s="236" t="s">
        <v>231</v>
      </c>
      <c r="K7" s="248">
        <f>IF(Eligibility!$J$12="MECO - Maui",$H$2+$H$3+H7,0)</f>
        <v>0</v>
      </c>
    </row>
    <row r="8" spans="1:25" x14ac:dyDescent="0.2">
      <c r="A8" s="28" t="s">
        <v>118</v>
      </c>
      <c r="D8" s="255">
        <f>Eligibility!N79</f>
        <v>0</v>
      </c>
      <c r="E8" s="21"/>
      <c r="F8" s="237" t="s">
        <v>227</v>
      </c>
      <c r="G8" s="243"/>
      <c r="H8" s="232">
        <f>Y64</f>
        <v>0</v>
      </c>
      <c r="I8" s="243"/>
      <c r="J8" s="238" t="s">
        <v>232</v>
      </c>
      <c r="K8" s="249">
        <f>IF(Eligibility!$J$12="MECO - Lanai",$H$2+$H$3+H8,0)</f>
        <v>0</v>
      </c>
    </row>
    <row r="9" spans="1:25" ht="16" thickBot="1" x14ac:dyDescent="0.25">
      <c r="A9" s="21" t="s">
        <v>114</v>
      </c>
      <c r="D9" s="122">
        <f>Eligibility!J66</f>
        <v>9300</v>
      </c>
      <c r="E9" s="21"/>
      <c r="F9" s="244" t="s">
        <v>228</v>
      </c>
      <c r="G9" s="244"/>
      <c r="H9" s="245">
        <f>Y69</f>
        <v>0</v>
      </c>
      <c r="I9" s="244"/>
      <c r="J9" s="239" t="s">
        <v>233</v>
      </c>
      <c r="K9" s="250">
        <f>IF(Eligibility!$J$12="MECO - Molokai",$H$2+$H$3+H9,0)</f>
        <v>0</v>
      </c>
    </row>
    <row r="10" spans="1:25" ht="16" thickBot="1" x14ac:dyDescent="0.25">
      <c r="A10" s="418" t="s">
        <v>62</v>
      </c>
      <c r="B10" s="419"/>
      <c r="C10" s="419"/>
      <c r="D10" s="420">
        <f>Eligibility!J67</f>
        <v>5.5E-2</v>
      </c>
      <c r="E10" s="21"/>
      <c r="F10" s="122"/>
      <c r="G10" s="123"/>
      <c r="H10" s="50"/>
      <c r="J10" s="53"/>
    </row>
    <row r="11" spans="1:25" x14ac:dyDescent="0.2">
      <c r="A11" s="21" t="s">
        <v>394</v>
      </c>
      <c r="D11" s="124">
        <f>Eligibility!V62</f>
        <v>0</v>
      </c>
      <c r="E11" s="21"/>
      <c r="F11" s="122"/>
      <c r="H11" s="50"/>
    </row>
    <row r="12" spans="1:25" x14ac:dyDescent="0.2">
      <c r="A12" s="121"/>
    </row>
    <row r="13" spans="1:25" x14ac:dyDescent="0.2">
      <c r="A13" s="44" t="s">
        <v>103</v>
      </c>
      <c r="E13" s="138">
        <v>1</v>
      </c>
      <c r="F13" s="125">
        <v>2</v>
      </c>
      <c r="G13" s="126">
        <v>3</v>
      </c>
      <c r="H13" s="126">
        <v>4</v>
      </c>
      <c r="I13" s="126">
        <v>5</v>
      </c>
      <c r="J13" s="126">
        <v>6</v>
      </c>
      <c r="K13" s="125">
        <v>7</v>
      </c>
      <c r="L13" s="125">
        <v>8</v>
      </c>
      <c r="M13" s="125">
        <v>9</v>
      </c>
      <c r="N13" s="125">
        <v>10</v>
      </c>
      <c r="O13" s="125">
        <v>11</v>
      </c>
      <c r="P13" s="125">
        <v>12</v>
      </c>
      <c r="Q13" s="125">
        <v>13</v>
      </c>
      <c r="R13" s="125">
        <v>14</v>
      </c>
      <c r="S13" s="125">
        <v>15</v>
      </c>
      <c r="T13" s="125">
        <v>16</v>
      </c>
      <c r="U13" s="125">
        <v>17</v>
      </c>
      <c r="V13" s="125">
        <v>18</v>
      </c>
      <c r="W13" s="125">
        <v>19</v>
      </c>
      <c r="X13" s="125">
        <v>20</v>
      </c>
      <c r="Y13" s="53"/>
    </row>
    <row r="14" spans="1:25" x14ac:dyDescent="0.2">
      <c r="A14" s="44" t="s">
        <v>108</v>
      </c>
      <c r="D14" s="44" t="s">
        <v>104</v>
      </c>
      <c r="E14" s="139">
        <f>Eligibility!N79</f>
        <v>0</v>
      </c>
      <c r="F14" s="127">
        <f>E14*0.995</f>
        <v>0</v>
      </c>
      <c r="G14" s="127">
        <f t="shared" ref="G14:X14" si="0">F14*0.995</f>
        <v>0</v>
      </c>
      <c r="H14" s="127">
        <f t="shared" si="0"/>
        <v>0</v>
      </c>
      <c r="I14" s="127">
        <f t="shared" si="0"/>
        <v>0</v>
      </c>
      <c r="J14" s="127">
        <f t="shared" si="0"/>
        <v>0</v>
      </c>
      <c r="K14" s="127">
        <f t="shared" si="0"/>
        <v>0</v>
      </c>
      <c r="L14" s="127">
        <f t="shared" si="0"/>
        <v>0</v>
      </c>
      <c r="M14" s="127">
        <f t="shared" si="0"/>
        <v>0</v>
      </c>
      <c r="N14" s="127">
        <f t="shared" si="0"/>
        <v>0</v>
      </c>
      <c r="O14" s="127">
        <f t="shared" si="0"/>
        <v>0</v>
      </c>
      <c r="P14" s="127">
        <f t="shared" si="0"/>
        <v>0</v>
      </c>
      <c r="Q14" s="127">
        <f t="shared" si="0"/>
        <v>0</v>
      </c>
      <c r="R14" s="127">
        <f t="shared" si="0"/>
        <v>0</v>
      </c>
      <c r="S14" s="127">
        <f t="shared" si="0"/>
        <v>0</v>
      </c>
      <c r="T14" s="127">
        <f t="shared" si="0"/>
        <v>0</v>
      </c>
      <c r="U14" s="127">
        <f t="shared" si="0"/>
        <v>0</v>
      </c>
      <c r="V14" s="127">
        <f t="shared" si="0"/>
        <v>0</v>
      </c>
      <c r="W14" s="127">
        <f t="shared" si="0"/>
        <v>0</v>
      </c>
      <c r="X14" s="127">
        <f t="shared" si="0"/>
        <v>0</v>
      </c>
      <c r="Y14" s="117">
        <f>SUM(E14:X14)</f>
        <v>0</v>
      </c>
    </row>
    <row r="15" spans="1:25" x14ac:dyDescent="0.2">
      <c r="E15" s="88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17"/>
    </row>
    <row r="16" spans="1:25" x14ac:dyDescent="0.2">
      <c r="A16" s="44" t="s">
        <v>109</v>
      </c>
      <c r="D16" s="140">
        <f>Eligibility!D66</f>
        <v>14151</v>
      </c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17"/>
    </row>
    <row r="17" spans="1:25" x14ac:dyDescent="0.2">
      <c r="A17" s="44" t="s">
        <v>105</v>
      </c>
      <c r="E17" s="257">
        <f>E14-D16</f>
        <v>-14151</v>
      </c>
      <c r="F17" s="117">
        <f>F14-D16</f>
        <v>-14151</v>
      </c>
      <c r="G17" s="117">
        <f>G14-D16</f>
        <v>-14151</v>
      </c>
      <c r="H17" s="117">
        <f>H14-D16</f>
        <v>-14151</v>
      </c>
      <c r="I17" s="117">
        <f>I14-D16</f>
        <v>-14151</v>
      </c>
      <c r="J17" s="117">
        <f>J14-D16</f>
        <v>-14151</v>
      </c>
      <c r="K17" s="117">
        <f>K14-D16</f>
        <v>-14151</v>
      </c>
      <c r="L17" s="117">
        <f>L14-D16</f>
        <v>-14151</v>
      </c>
      <c r="M17" s="117">
        <f>M14-D16</f>
        <v>-14151</v>
      </c>
      <c r="N17" s="117">
        <f>N14-D16</f>
        <v>-14151</v>
      </c>
      <c r="O17" s="117">
        <f>O14-D16</f>
        <v>-14151</v>
      </c>
      <c r="P17" s="117">
        <f>P14-D16</f>
        <v>-14151</v>
      </c>
      <c r="Q17" s="117">
        <f>Q14-D16</f>
        <v>-14151</v>
      </c>
      <c r="R17" s="117">
        <f>R14-D16</f>
        <v>-14151</v>
      </c>
      <c r="S17" s="117">
        <f>S14-D16</f>
        <v>-14151</v>
      </c>
      <c r="T17" s="117">
        <f>T14-D16</f>
        <v>-14151</v>
      </c>
      <c r="U17" s="117">
        <f>U14-D16</f>
        <v>-14151</v>
      </c>
      <c r="V17" s="117">
        <f>V14-D16</f>
        <v>-14151</v>
      </c>
      <c r="W17" s="117">
        <f>W14-D16</f>
        <v>-14151</v>
      </c>
      <c r="X17" s="117">
        <f>X14-D16</f>
        <v>-14151</v>
      </c>
      <c r="Y17" s="117"/>
    </row>
    <row r="18" spans="1:25" x14ac:dyDescent="0.2">
      <c r="E18" s="25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</row>
    <row r="19" spans="1:25" x14ac:dyDescent="0.2">
      <c r="A19" s="44" t="s">
        <v>117</v>
      </c>
      <c r="D19" s="128">
        <f>D16/12</f>
        <v>1179.25</v>
      </c>
      <c r="E19" s="128">
        <f>-E17/12</f>
        <v>1179.25</v>
      </c>
      <c r="F19" s="128">
        <f t="shared" ref="F19:X19" si="1">-F17/12</f>
        <v>1179.25</v>
      </c>
      <c r="G19" s="128">
        <f t="shared" si="1"/>
        <v>1179.25</v>
      </c>
      <c r="H19" s="128">
        <f t="shared" si="1"/>
        <v>1179.25</v>
      </c>
      <c r="I19" s="128">
        <f t="shared" si="1"/>
        <v>1179.25</v>
      </c>
      <c r="J19" s="128">
        <f t="shared" si="1"/>
        <v>1179.25</v>
      </c>
      <c r="K19" s="128">
        <f t="shared" si="1"/>
        <v>1179.25</v>
      </c>
      <c r="L19" s="128">
        <f t="shared" si="1"/>
        <v>1179.25</v>
      </c>
      <c r="M19" s="128">
        <f t="shared" si="1"/>
        <v>1179.25</v>
      </c>
      <c r="N19" s="128">
        <f t="shared" si="1"/>
        <v>1179.25</v>
      </c>
      <c r="O19" s="128">
        <f t="shared" si="1"/>
        <v>1179.25</v>
      </c>
      <c r="P19" s="128">
        <f t="shared" si="1"/>
        <v>1179.25</v>
      </c>
      <c r="Q19" s="128">
        <f t="shared" si="1"/>
        <v>1179.25</v>
      </c>
      <c r="R19" s="128">
        <f t="shared" si="1"/>
        <v>1179.25</v>
      </c>
      <c r="S19" s="128">
        <f t="shared" si="1"/>
        <v>1179.25</v>
      </c>
      <c r="T19" s="128">
        <f t="shared" si="1"/>
        <v>1179.25</v>
      </c>
      <c r="U19" s="128">
        <f t="shared" si="1"/>
        <v>1179.25</v>
      </c>
      <c r="V19" s="128">
        <f t="shared" si="1"/>
        <v>1179.25</v>
      </c>
      <c r="W19" s="128">
        <f t="shared" si="1"/>
        <v>1179.25</v>
      </c>
      <c r="X19" s="128">
        <f t="shared" si="1"/>
        <v>1179.25</v>
      </c>
      <c r="Y19" s="117"/>
    </row>
    <row r="20" spans="1:25" x14ac:dyDescent="0.2">
      <c r="B20" s="87" t="s">
        <v>29</v>
      </c>
      <c r="C20" s="87" t="s">
        <v>139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17"/>
    </row>
    <row r="21" spans="1:25" hidden="1" x14ac:dyDescent="0.2">
      <c r="D21" s="128"/>
      <c r="E21" s="128"/>
      <c r="F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G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H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I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J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K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L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M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N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O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P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Q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R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S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T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U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V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W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X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Y21" s="117"/>
    </row>
    <row r="22" spans="1:25" hidden="1" x14ac:dyDescent="0.2">
      <c r="D22" s="128"/>
      <c r="E22" s="128"/>
      <c r="F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G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H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I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J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K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L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M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N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O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P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Q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R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S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T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U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V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W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X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Y22" s="117"/>
    </row>
    <row r="23" spans="1:25" hidden="1" x14ac:dyDescent="0.2">
      <c r="A23" s="14"/>
      <c r="D23" s="90"/>
      <c r="E23" s="14"/>
      <c r="F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G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H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I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J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K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L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M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N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O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P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Q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R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S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T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U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V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W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X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Y23" s="117"/>
    </row>
    <row r="24" spans="1:25" x14ac:dyDescent="0.2">
      <c r="A24" s="86" t="s">
        <v>136</v>
      </c>
      <c r="B24" s="89">
        <f>IF(Eligibility!$J$12="HECO",Eligibility!O14,IF(Eligibility!$J$12="HELCO",Eligibility!S14,IF(Eligibility!$J$12="MECO - Maui",Eligibility!W14,IF(Eligibility!$J$12="MECO - Lanai",Eligibility!AA14,IF(Eligibility!$J$12="MECO - Molokai",Eligibility!AE14,0)))))</f>
        <v>350</v>
      </c>
      <c r="C24" s="89">
        <f>IF(Eligibility!$J$12="HECO",Eligibility!P14,IF(Eligibility!$J$12="HELCO",Eligibility!T14,IF(Eligibility!$J$12="MECO - Maui",Eligibility!X14,IF(Eligibility!$J$12="MECO - Lanai",Eligibility!AB14,IF(Eligibility!$J$12="MECO - Molokai",Eligibility!AF14,0)))))</f>
        <v>0.27848099999999998</v>
      </c>
      <c r="D24" s="137">
        <f>IF(D19&lt;=$B$24,D19*$C$24,$B$24*$C$24)</f>
        <v>97.468349999999987</v>
      </c>
      <c r="E24" s="137">
        <f>IF(E19&lt;=$B$24,E19*$C$24,$B$24*$C$24)</f>
        <v>97.468349999999987</v>
      </c>
      <c r="F24" s="137" t="e">
        <f>IF(F19&lt;=$B$24,F19*F21,$B$24*F21)</f>
        <v>#REF!</v>
      </c>
      <c r="G24" s="137" t="e">
        <f t="shared" ref="G24:X24" si="2">IF(G19&lt;=$B$24,G19*G21,$B$24*G21)</f>
        <v>#REF!</v>
      </c>
      <c r="H24" s="137" t="e">
        <f t="shared" si="2"/>
        <v>#REF!</v>
      </c>
      <c r="I24" s="137" t="e">
        <f t="shared" si="2"/>
        <v>#REF!</v>
      </c>
      <c r="J24" s="137" t="e">
        <f t="shared" si="2"/>
        <v>#REF!</v>
      </c>
      <c r="K24" s="137" t="e">
        <f t="shared" si="2"/>
        <v>#REF!</v>
      </c>
      <c r="L24" s="137" t="e">
        <f t="shared" si="2"/>
        <v>#REF!</v>
      </c>
      <c r="M24" s="137" t="e">
        <f t="shared" si="2"/>
        <v>#REF!</v>
      </c>
      <c r="N24" s="137" t="e">
        <f t="shared" si="2"/>
        <v>#REF!</v>
      </c>
      <c r="O24" s="137" t="e">
        <f t="shared" si="2"/>
        <v>#REF!</v>
      </c>
      <c r="P24" s="137" t="e">
        <f t="shared" si="2"/>
        <v>#REF!</v>
      </c>
      <c r="Q24" s="137" t="e">
        <f t="shared" si="2"/>
        <v>#REF!</v>
      </c>
      <c r="R24" s="137" t="e">
        <f t="shared" si="2"/>
        <v>#REF!</v>
      </c>
      <c r="S24" s="137" t="e">
        <f t="shared" si="2"/>
        <v>#REF!</v>
      </c>
      <c r="T24" s="137" t="e">
        <f t="shared" si="2"/>
        <v>#REF!</v>
      </c>
      <c r="U24" s="137" t="e">
        <f t="shared" si="2"/>
        <v>#REF!</v>
      </c>
      <c r="V24" s="137" t="e">
        <f t="shared" si="2"/>
        <v>#REF!</v>
      </c>
      <c r="W24" s="137" t="e">
        <f t="shared" si="2"/>
        <v>#REF!</v>
      </c>
      <c r="X24" s="137" t="e">
        <f t="shared" si="2"/>
        <v>#REF!</v>
      </c>
      <c r="Y24" s="117"/>
    </row>
    <row r="25" spans="1:25" x14ac:dyDescent="0.2">
      <c r="A25" s="86" t="s">
        <v>137</v>
      </c>
      <c r="B25" s="89">
        <f>IF(Eligibility!$J$12="HECO",Eligibility!O15,IF(Eligibility!$J$12="HELCO",Eligibility!S15,IF(Eligibility!$J$12="MECO - Maui",Eligibility!W15,IF(Eligibility!$J$12="MECO - Lanai",Eligibility!AA15,IF(Eligibility!$J$12="MECO - Molokai",Eligibility!AE15,0)))))</f>
        <v>850</v>
      </c>
      <c r="C25" s="89">
        <f>IF(Eligibility!$J$12="HECO",Eligibility!P15,IF(Eligibility!$J$12="HELCO",Eligibility!T15,IF(Eligibility!$J$12="MECO - Maui",Eligibility!X15,IF(Eligibility!$J$12="MECO - Lanai",Eligibility!AB15,IF(Eligibility!$J$12="MECO - Molokai",Eligibility!AF15,0)))))</f>
        <v>0.290016</v>
      </c>
      <c r="D25" s="137">
        <f>IF(AND(D19&gt;$B$24,D19&lt;$B$26),(D19-$B$24)*$C$25,IF(D19&lt;$B$24,0,$B$25*$C$25))</f>
        <v>240.495768</v>
      </c>
      <c r="E25" s="137">
        <f>IF(AND(E19&gt;$B$24,E19&lt;$B$26),(E19-$B$24)*$C$25,IF(E19&lt;$B$24,0,$B$25*$C$25))</f>
        <v>240.495768</v>
      </c>
      <c r="F25" s="137" t="e">
        <f>IF(AND(F19&gt;$B$24,F19&lt;$B$26),(F19-$B$24)*F22,IF(F19&lt;$B$24,0,$B$25*F22))</f>
        <v>#REF!</v>
      </c>
      <c r="G25" s="137" t="e">
        <f t="shared" ref="G25:X25" si="3">IF(AND(G19&gt;$B$24,G19&lt;$B$26),(G19-$B$24)*G22,IF(G19&lt;$B$24,0,$B$25*G22))</f>
        <v>#REF!</v>
      </c>
      <c r="H25" s="137" t="e">
        <f t="shared" si="3"/>
        <v>#REF!</v>
      </c>
      <c r="I25" s="137" t="e">
        <f t="shared" si="3"/>
        <v>#REF!</v>
      </c>
      <c r="J25" s="137" t="e">
        <f t="shared" si="3"/>
        <v>#REF!</v>
      </c>
      <c r="K25" s="137" t="e">
        <f t="shared" si="3"/>
        <v>#REF!</v>
      </c>
      <c r="L25" s="137" t="e">
        <f t="shared" si="3"/>
        <v>#REF!</v>
      </c>
      <c r="M25" s="137" t="e">
        <f t="shared" si="3"/>
        <v>#REF!</v>
      </c>
      <c r="N25" s="137" t="e">
        <f t="shared" si="3"/>
        <v>#REF!</v>
      </c>
      <c r="O25" s="137" t="e">
        <f t="shared" si="3"/>
        <v>#REF!</v>
      </c>
      <c r="P25" s="137" t="e">
        <f t="shared" si="3"/>
        <v>#REF!</v>
      </c>
      <c r="Q25" s="137" t="e">
        <f t="shared" si="3"/>
        <v>#REF!</v>
      </c>
      <c r="R25" s="137" t="e">
        <f t="shared" si="3"/>
        <v>#REF!</v>
      </c>
      <c r="S25" s="137" t="e">
        <f t="shared" si="3"/>
        <v>#REF!</v>
      </c>
      <c r="T25" s="137" t="e">
        <f t="shared" si="3"/>
        <v>#REF!</v>
      </c>
      <c r="U25" s="137" t="e">
        <f t="shared" si="3"/>
        <v>#REF!</v>
      </c>
      <c r="V25" s="137" t="e">
        <f t="shared" si="3"/>
        <v>#REF!</v>
      </c>
      <c r="W25" s="137" t="e">
        <f t="shared" si="3"/>
        <v>#REF!</v>
      </c>
      <c r="X25" s="137" t="e">
        <f t="shared" si="3"/>
        <v>#REF!</v>
      </c>
      <c r="Y25" s="117"/>
    </row>
    <row r="26" spans="1:25" x14ac:dyDescent="0.2">
      <c r="A26" s="86" t="s">
        <v>138</v>
      </c>
      <c r="B26" s="89">
        <f>IF(Eligibility!$J$12="HECO",Eligibility!O16,IF(Eligibility!$J$12="HELCO",Eligibility!S16,IF(Eligibility!$J$12="MECO - Maui",Eligibility!W16,IF(Eligibility!$J$12="MECO - Lanai",Eligibility!AA16,IF(Eligibility!$J$12="MECO - Molokai",Eligibility!AE16,0)))))</f>
        <v>1200</v>
      </c>
      <c r="C26" s="89">
        <f>IF(Eligibility!$J$12="HECO",Eligibility!P16,IF(Eligibility!$J$12="HELCO",Eligibility!T16,IF(Eligibility!$J$12="MECO - Maui",Eligibility!X16,IF(Eligibility!$J$12="MECO - Lanai",Eligibility!AB16,IF(Eligibility!$J$12="MECO - Molokai",Eligibility!AF16,0)))))</f>
        <v>0.30879000000000001</v>
      </c>
      <c r="D26" s="137">
        <f>IF(D19&gt;=$B$26,(D19-$B$26)*$C$26,0)</f>
        <v>0</v>
      </c>
      <c r="E26" s="137">
        <f>IF(E19&gt;=$B$26,(E19-$B$26)*$C$26,0)</f>
        <v>0</v>
      </c>
      <c r="F26" s="137">
        <f>IF(F19&gt;=$B$26,(F19-$B$26)*F23,0)</f>
        <v>0</v>
      </c>
      <c r="G26" s="137">
        <f t="shared" ref="G26:X26" si="4">IF(G19&gt;=$B$26,(G19-$B$26)*G23,0)</f>
        <v>0</v>
      </c>
      <c r="H26" s="137">
        <f t="shared" si="4"/>
        <v>0</v>
      </c>
      <c r="I26" s="137">
        <f t="shared" si="4"/>
        <v>0</v>
      </c>
      <c r="J26" s="137">
        <f t="shared" si="4"/>
        <v>0</v>
      </c>
      <c r="K26" s="137">
        <f t="shared" si="4"/>
        <v>0</v>
      </c>
      <c r="L26" s="137">
        <f t="shared" si="4"/>
        <v>0</v>
      </c>
      <c r="M26" s="137">
        <f t="shared" si="4"/>
        <v>0</v>
      </c>
      <c r="N26" s="137">
        <f t="shared" si="4"/>
        <v>0</v>
      </c>
      <c r="O26" s="137">
        <f t="shared" si="4"/>
        <v>0</v>
      </c>
      <c r="P26" s="137">
        <f t="shared" si="4"/>
        <v>0</v>
      </c>
      <c r="Q26" s="137">
        <f t="shared" si="4"/>
        <v>0</v>
      </c>
      <c r="R26" s="137">
        <f t="shared" si="4"/>
        <v>0</v>
      </c>
      <c r="S26" s="137">
        <f t="shared" si="4"/>
        <v>0</v>
      </c>
      <c r="T26" s="137">
        <f t="shared" si="4"/>
        <v>0</v>
      </c>
      <c r="U26" s="137">
        <f t="shared" si="4"/>
        <v>0</v>
      </c>
      <c r="V26" s="137">
        <f t="shared" si="4"/>
        <v>0</v>
      </c>
      <c r="W26" s="137">
        <f t="shared" si="4"/>
        <v>0</v>
      </c>
      <c r="X26" s="137">
        <f t="shared" si="4"/>
        <v>0</v>
      </c>
      <c r="Y26" s="117"/>
    </row>
    <row r="27" spans="1:25" x14ac:dyDescent="0.2">
      <c r="D27" s="285">
        <f>SUM(D24:D26)</f>
        <v>337.96411799999998</v>
      </c>
      <c r="E27" s="285">
        <f>SUM(E24:E26)</f>
        <v>337.96411799999998</v>
      </c>
      <c r="F27" s="285" t="e">
        <f t="shared" ref="F27:X27" si="5">SUM(F24:F26)</f>
        <v>#REF!</v>
      </c>
      <c r="G27" s="285" t="e">
        <f t="shared" si="5"/>
        <v>#REF!</v>
      </c>
      <c r="H27" s="285" t="e">
        <f t="shared" si="5"/>
        <v>#REF!</v>
      </c>
      <c r="I27" s="285" t="e">
        <f t="shared" si="5"/>
        <v>#REF!</v>
      </c>
      <c r="J27" s="285" t="e">
        <f t="shared" si="5"/>
        <v>#REF!</v>
      </c>
      <c r="K27" s="285" t="e">
        <f t="shared" si="5"/>
        <v>#REF!</v>
      </c>
      <c r="L27" s="285" t="e">
        <f t="shared" si="5"/>
        <v>#REF!</v>
      </c>
      <c r="M27" s="285" t="e">
        <f t="shared" si="5"/>
        <v>#REF!</v>
      </c>
      <c r="N27" s="285" t="e">
        <f t="shared" si="5"/>
        <v>#REF!</v>
      </c>
      <c r="O27" s="285" t="e">
        <f t="shared" si="5"/>
        <v>#REF!</v>
      </c>
      <c r="P27" s="285" t="e">
        <f t="shared" si="5"/>
        <v>#REF!</v>
      </c>
      <c r="Q27" s="285" t="e">
        <f t="shared" si="5"/>
        <v>#REF!</v>
      </c>
      <c r="R27" s="285" t="e">
        <f t="shared" si="5"/>
        <v>#REF!</v>
      </c>
      <c r="S27" s="285" t="e">
        <f t="shared" si="5"/>
        <v>#REF!</v>
      </c>
      <c r="T27" s="285" t="e">
        <f t="shared" si="5"/>
        <v>#REF!</v>
      </c>
      <c r="U27" s="285" t="e">
        <f t="shared" si="5"/>
        <v>#REF!</v>
      </c>
      <c r="V27" s="285" t="e">
        <f t="shared" si="5"/>
        <v>#REF!</v>
      </c>
      <c r="W27" s="285" t="e">
        <f t="shared" si="5"/>
        <v>#REF!</v>
      </c>
      <c r="X27" s="285" t="e">
        <f t="shared" si="5"/>
        <v>#REF!</v>
      </c>
      <c r="Y27" s="117"/>
    </row>
    <row r="28" spans="1:25" x14ac:dyDescent="0.2">
      <c r="D28" s="380" t="s">
        <v>361</v>
      </c>
      <c r="E28" s="136"/>
      <c r="F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117"/>
    </row>
    <row r="29" spans="1:25" s="151" customFormat="1" x14ac:dyDescent="0.2">
      <c r="A29" s="147" t="s">
        <v>267</v>
      </c>
      <c r="B29" s="147"/>
      <c r="C29" s="147"/>
      <c r="D29" s="375">
        <v>1.0501</v>
      </c>
      <c r="E29" s="148">
        <f>IF(Eligibility!$J$12="HECO",$D$27*12,0)</f>
        <v>4055.5694159999998</v>
      </c>
      <c r="F29" s="149">
        <f>E29*$D$29</f>
        <v>4258.7534437415998</v>
      </c>
      <c r="G29" s="149">
        <f t="shared" ref="G29:X29" si="6">F29*$D$29</f>
        <v>4472.1169912730538</v>
      </c>
      <c r="H29" s="149">
        <f t="shared" si="6"/>
        <v>4696.1700525358337</v>
      </c>
      <c r="I29" s="149">
        <f t="shared" si="6"/>
        <v>4931.4481721678794</v>
      </c>
      <c r="J29" s="149">
        <f t="shared" si="6"/>
        <v>5178.5137255934906</v>
      </c>
      <c r="K29" s="149">
        <f t="shared" si="6"/>
        <v>5437.9572632457248</v>
      </c>
      <c r="L29" s="149">
        <f t="shared" si="6"/>
        <v>5710.3989221343354</v>
      </c>
      <c r="M29" s="149">
        <f t="shared" si="6"/>
        <v>5996.489908133266</v>
      </c>
      <c r="N29" s="149">
        <f t="shared" si="6"/>
        <v>6296.914052530743</v>
      </c>
      <c r="O29" s="149">
        <f t="shared" si="6"/>
        <v>6612.3894465625335</v>
      </c>
      <c r="P29" s="149">
        <f t="shared" si="6"/>
        <v>6943.6701578353168</v>
      </c>
      <c r="Q29" s="149">
        <f t="shared" si="6"/>
        <v>7291.5480327428668</v>
      </c>
      <c r="R29" s="149">
        <f t="shared" si="6"/>
        <v>7656.8545891832846</v>
      </c>
      <c r="S29" s="149">
        <f t="shared" si="6"/>
        <v>8040.463004101367</v>
      </c>
      <c r="T29" s="149">
        <f t="shared" si="6"/>
        <v>8443.2902006068452</v>
      </c>
      <c r="U29" s="149">
        <f t="shared" si="6"/>
        <v>8866.2990396572477</v>
      </c>
      <c r="V29" s="149">
        <f t="shared" si="6"/>
        <v>9310.5006215440753</v>
      </c>
      <c r="W29" s="149">
        <f t="shared" si="6"/>
        <v>9776.9567026834338</v>
      </c>
      <c r="X29" s="149">
        <f t="shared" si="6"/>
        <v>10266.782233487875</v>
      </c>
      <c r="Y29" s="150">
        <f>SUM(E29:X29)</f>
        <v>134243.08597576077</v>
      </c>
    </row>
    <row r="30" spans="1:25" s="156" customFormat="1" x14ac:dyDescent="0.2">
      <c r="A30" s="152" t="s">
        <v>174</v>
      </c>
      <c r="B30" s="152"/>
      <c r="C30" s="152"/>
      <c r="D30" s="376">
        <v>1.0133000000000001</v>
      </c>
      <c r="E30" s="153">
        <f>IF(Eligibility!$J$12="HELCO",$D$27*12,0)</f>
        <v>0</v>
      </c>
      <c r="F30" s="154">
        <f>E30*$D$30</f>
        <v>0</v>
      </c>
      <c r="G30" s="154">
        <f t="shared" ref="G30:X30" si="7">F30*$D$30</f>
        <v>0</v>
      </c>
      <c r="H30" s="154">
        <f t="shared" si="7"/>
        <v>0</v>
      </c>
      <c r="I30" s="154">
        <f t="shared" si="7"/>
        <v>0</v>
      </c>
      <c r="J30" s="154">
        <f t="shared" si="7"/>
        <v>0</v>
      </c>
      <c r="K30" s="154">
        <f t="shared" si="7"/>
        <v>0</v>
      </c>
      <c r="L30" s="154">
        <f t="shared" si="7"/>
        <v>0</v>
      </c>
      <c r="M30" s="154">
        <f t="shared" si="7"/>
        <v>0</v>
      </c>
      <c r="N30" s="154">
        <f t="shared" si="7"/>
        <v>0</v>
      </c>
      <c r="O30" s="154">
        <f t="shared" si="7"/>
        <v>0</v>
      </c>
      <c r="P30" s="154">
        <f t="shared" si="7"/>
        <v>0</v>
      </c>
      <c r="Q30" s="154">
        <f t="shared" si="7"/>
        <v>0</v>
      </c>
      <c r="R30" s="154">
        <f t="shared" si="7"/>
        <v>0</v>
      </c>
      <c r="S30" s="154">
        <f t="shared" si="7"/>
        <v>0</v>
      </c>
      <c r="T30" s="154">
        <f t="shared" si="7"/>
        <v>0</v>
      </c>
      <c r="U30" s="154">
        <f t="shared" si="7"/>
        <v>0</v>
      </c>
      <c r="V30" s="154">
        <f t="shared" si="7"/>
        <v>0</v>
      </c>
      <c r="W30" s="154">
        <f t="shared" si="7"/>
        <v>0</v>
      </c>
      <c r="X30" s="154">
        <f t="shared" si="7"/>
        <v>0</v>
      </c>
      <c r="Y30" s="155">
        <f t="shared" ref="Y30:Y41" si="8">SUM(E30:X30)</f>
        <v>0</v>
      </c>
    </row>
    <row r="31" spans="1:25" s="161" customFormat="1" x14ac:dyDescent="0.2">
      <c r="A31" s="157" t="s">
        <v>175</v>
      </c>
      <c r="B31" s="157"/>
      <c r="C31" s="157"/>
      <c r="D31" s="377">
        <v>1.0239</v>
      </c>
      <c r="E31" s="158">
        <f>IF(Eligibility!$J$12="MECO - Maui",$D$27*12,0)</f>
        <v>0</v>
      </c>
      <c r="F31" s="159">
        <f>E31*$D$31</f>
        <v>0</v>
      </c>
      <c r="G31" s="159">
        <f t="shared" ref="G31:X31" si="9">F31*$D$31</f>
        <v>0</v>
      </c>
      <c r="H31" s="159">
        <f t="shared" si="9"/>
        <v>0</v>
      </c>
      <c r="I31" s="159">
        <f t="shared" si="9"/>
        <v>0</v>
      </c>
      <c r="J31" s="159">
        <f t="shared" si="9"/>
        <v>0</v>
      </c>
      <c r="K31" s="159">
        <f t="shared" si="9"/>
        <v>0</v>
      </c>
      <c r="L31" s="159">
        <f t="shared" si="9"/>
        <v>0</v>
      </c>
      <c r="M31" s="159">
        <f t="shared" si="9"/>
        <v>0</v>
      </c>
      <c r="N31" s="159">
        <f t="shared" si="9"/>
        <v>0</v>
      </c>
      <c r="O31" s="159">
        <f t="shared" si="9"/>
        <v>0</v>
      </c>
      <c r="P31" s="159">
        <f t="shared" si="9"/>
        <v>0</v>
      </c>
      <c r="Q31" s="159">
        <f t="shared" si="9"/>
        <v>0</v>
      </c>
      <c r="R31" s="159">
        <f t="shared" si="9"/>
        <v>0</v>
      </c>
      <c r="S31" s="159">
        <f t="shared" si="9"/>
        <v>0</v>
      </c>
      <c r="T31" s="159">
        <f t="shared" si="9"/>
        <v>0</v>
      </c>
      <c r="U31" s="159">
        <f t="shared" si="9"/>
        <v>0</v>
      </c>
      <c r="V31" s="159">
        <f t="shared" si="9"/>
        <v>0</v>
      </c>
      <c r="W31" s="159">
        <f t="shared" si="9"/>
        <v>0</v>
      </c>
      <c r="X31" s="159">
        <f t="shared" si="9"/>
        <v>0</v>
      </c>
      <c r="Y31" s="160">
        <f t="shared" si="8"/>
        <v>0</v>
      </c>
    </row>
    <row r="32" spans="1:25" s="171" customFormat="1" x14ac:dyDescent="0.2">
      <c r="A32" s="167" t="s">
        <v>176</v>
      </c>
      <c r="B32" s="167"/>
      <c r="C32" s="167"/>
      <c r="D32" s="378">
        <v>1.0228999999999999</v>
      </c>
      <c r="E32" s="168">
        <f>IF(Eligibility!$J$12="MECO - Lanai",$D$27*12,0)</f>
        <v>0</v>
      </c>
      <c r="F32" s="169">
        <f>E32*$D$32</f>
        <v>0</v>
      </c>
      <c r="G32" s="169">
        <f t="shared" ref="G32:X32" si="10">F32*$D$32</f>
        <v>0</v>
      </c>
      <c r="H32" s="169">
        <f t="shared" si="10"/>
        <v>0</v>
      </c>
      <c r="I32" s="169">
        <f t="shared" si="10"/>
        <v>0</v>
      </c>
      <c r="J32" s="169">
        <f t="shared" si="10"/>
        <v>0</v>
      </c>
      <c r="K32" s="169">
        <f t="shared" si="10"/>
        <v>0</v>
      </c>
      <c r="L32" s="169">
        <f t="shared" si="10"/>
        <v>0</v>
      </c>
      <c r="M32" s="169">
        <f t="shared" si="10"/>
        <v>0</v>
      </c>
      <c r="N32" s="169">
        <f t="shared" si="10"/>
        <v>0</v>
      </c>
      <c r="O32" s="169">
        <f t="shared" si="10"/>
        <v>0</v>
      </c>
      <c r="P32" s="169">
        <f t="shared" si="10"/>
        <v>0</v>
      </c>
      <c r="Q32" s="169">
        <f t="shared" si="10"/>
        <v>0</v>
      </c>
      <c r="R32" s="169">
        <f t="shared" si="10"/>
        <v>0</v>
      </c>
      <c r="S32" s="169">
        <f t="shared" si="10"/>
        <v>0</v>
      </c>
      <c r="T32" s="169">
        <f t="shared" si="10"/>
        <v>0</v>
      </c>
      <c r="U32" s="169">
        <f t="shared" si="10"/>
        <v>0</v>
      </c>
      <c r="V32" s="169">
        <f t="shared" si="10"/>
        <v>0</v>
      </c>
      <c r="W32" s="169">
        <f t="shared" si="10"/>
        <v>0</v>
      </c>
      <c r="X32" s="169">
        <f t="shared" si="10"/>
        <v>0</v>
      </c>
      <c r="Y32" s="170">
        <f t="shared" si="8"/>
        <v>0</v>
      </c>
    </row>
    <row r="33" spans="1:25" s="166" customFormat="1" x14ac:dyDescent="0.2">
      <c r="A33" s="162" t="s">
        <v>177</v>
      </c>
      <c r="B33" s="162"/>
      <c r="C33" s="162"/>
      <c r="D33" s="379">
        <v>1.0172000000000001</v>
      </c>
      <c r="E33" s="163">
        <f>IF(Eligibility!$J$12="MECO -  Molokai",$D$27*12,0)</f>
        <v>0</v>
      </c>
      <c r="F33" s="164">
        <f>E33*$D$33</f>
        <v>0</v>
      </c>
      <c r="G33" s="164">
        <f t="shared" ref="G33:X33" si="11">F33*$D$33</f>
        <v>0</v>
      </c>
      <c r="H33" s="164">
        <f t="shared" si="11"/>
        <v>0</v>
      </c>
      <c r="I33" s="164">
        <f t="shared" si="11"/>
        <v>0</v>
      </c>
      <c r="J33" s="164">
        <f t="shared" si="11"/>
        <v>0</v>
      </c>
      <c r="K33" s="164">
        <f t="shared" si="11"/>
        <v>0</v>
      </c>
      <c r="L33" s="164">
        <f t="shared" si="11"/>
        <v>0</v>
      </c>
      <c r="M33" s="164">
        <f t="shared" si="11"/>
        <v>0</v>
      </c>
      <c r="N33" s="164">
        <f t="shared" si="11"/>
        <v>0</v>
      </c>
      <c r="O33" s="164">
        <f t="shared" si="11"/>
        <v>0</v>
      </c>
      <c r="P33" s="164">
        <f t="shared" si="11"/>
        <v>0</v>
      </c>
      <c r="Q33" s="164">
        <f t="shared" si="11"/>
        <v>0</v>
      </c>
      <c r="R33" s="164">
        <f t="shared" si="11"/>
        <v>0</v>
      </c>
      <c r="S33" s="164">
        <f t="shared" si="11"/>
        <v>0</v>
      </c>
      <c r="T33" s="164">
        <f t="shared" si="11"/>
        <v>0</v>
      </c>
      <c r="U33" s="164">
        <f t="shared" si="11"/>
        <v>0</v>
      </c>
      <c r="V33" s="164">
        <f t="shared" si="11"/>
        <v>0</v>
      </c>
      <c r="W33" s="164">
        <f t="shared" si="11"/>
        <v>0</v>
      </c>
      <c r="X33" s="164">
        <f t="shared" si="11"/>
        <v>0</v>
      </c>
      <c r="Y33" s="165">
        <f t="shared" si="8"/>
        <v>0</v>
      </c>
    </row>
    <row r="34" spans="1:25" s="66" customFormat="1" x14ac:dyDescent="0.2">
      <c r="A34" s="129"/>
      <c r="B34" s="129"/>
      <c r="C34" s="129"/>
      <c r="D34" s="129"/>
      <c r="E34" s="141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1"/>
    </row>
    <row r="35" spans="1:25" s="66" customFormat="1" x14ac:dyDescent="0.2">
      <c r="A35" s="129" t="s">
        <v>397</v>
      </c>
      <c r="B35" s="129"/>
      <c r="C35" s="129"/>
      <c r="D35" s="132"/>
      <c r="E35" s="141">
        <f>D11*12</f>
        <v>0</v>
      </c>
      <c r="F35" s="130">
        <f>E35</f>
        <v>0</v>
      </c>
      <c r="G35" s="130">
        <f t="shared" ref="G35:X35" si="12">F35</f>
        <v>0</v>
      </c>
      <c r="H35" s="130">
        <f t="shared" si="12"/>
        <v>0</v>
      </c>
      <c r="I35" s="130">
        <f t="shared" si="12"/>
        <v>0</v>
      </c>
      <c r="J35" s="130">
        <f t="shared" si="12"/>
        <v>0</v>
      </c>
      <c r="K35" s="130">
        <f t="shared" si="12"/>
        <v>0</v>
      </c>
      <c r="L35" s="130">
        <f t="shared" si="12"/>
        <v>0</v>
      </c>
      <c r="M35" s="130">
        <f t="shared" si="12"/>
        <v>0</v>
      </c>
      <c r="N35" s="130">
        <f t="shared" si="12"/>
        <v>0</v>
      </c>
      <c r="O35" s="130">
        <f t="shared" si="12"/>
        <v>0</v>
      </c>
      <c r="P35" s="130">
        <f t="shared" si="12"/>
        <v>0</v>
      </c>
      <c r="Q35" s="130">
        <f t="shared" si="12"/>
        <v>0</v>
      </c>
      <c r="R35" s="130">
        <f t="shared" si="12"/>
        <v>0</v>
      </c>
      <c r="S35" s="130">
        <f t="shared" si="12"/>
        <v>0</v>
      </c>
      <c r="T35" s="130">
        <f t="shared" si="12"/>
        <v>0</v>
      </c>
      <c r="U35" s="130">
        <f t="shared" si="12"/>
        <v>0</v>
      </c>
      <c r="V35" s="130">
        <f t="shared" si="12"/>
        <v>0</v>
      </c>
      <c r="W35" s="130">
        <f t="shared" si="12"/>
        <v>0</v>
      </c>
      <c r="X35" s="130">
        <f t="shared" si="12"/>
        <v>0</v>
      </c>
      <c r="Y35" s="131">
        <f t="shared" si="8"/>
        <v>0</v>
      </c>
    </row>
    <row r="36" spans="1:25" s="66" customFormat="1" x14ac:dyDescent="0.2">
      <c r="A36" s="129"/>
      <c r="B36" s="129"/>
      <c r="C36" s="129"/>
      <c r="D36" s="132"/>
      <c r="E36" s="141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1"/>
    </row>
    <row r="37" spans="1:25" s="151" customFormat="1" x14ac:dyDescent="0.2">
      <c r="A37" s="147" t="s">
        <v>246</v>
      </c>
      <c r="B37" s="147"/>
      <c r="C37" s="147"/>
      <c r="D37" s="178"/>
      <c r="E37" s="179">
        <f>IF(Eligibility!$J$12="HECO",E27*12,0)</f>
        <v>4055.5694159999998</v>
      </c>
      <c r="F37" s="179" t="e">
        <f>IF(Eligibility!$J$12="HECO",F27*12,0)</f>
        <v>#REF!</v>
      </c>
      <c r="G37" s="179" t="e">
        <f>IF(Eligibility!$J$12="HECO",G27*12,0)</f>
        <v>#REF!</v>
      </c>
      <c r="H37" s="179" t="e">
        <f>IF(Eligibility!$J$12="HECO",H27*12,0)</f>
        <v>#REF!</v>
      </c>
      <c r="I37" s="179" t="e">
        <f>IF(Eligibility!$J$12="HECO",I27*12,0)</f>
        <v>#REF!</v>
      </c>
      <c r="J37" s="179" t="e">
        <f>IF(Eligibility!$J$12="HECO",J27*12,0)</f>
        <v>#REF!</v>
      </c>
      <c r="K37" s="179" t="e">
        <f>IF(Eligibility!$J$12="HECO",K27*12,0)</f>
        <v>#REF!</v>
      </c>
      <c r="L37" s="179" t="e">
        <f>IF(Eligibility!$J$12="HECO",L27*12,0)</f>
        <v>#REF!</v>
      </c>
      <c r="M37" s="179" t="e">
        <f>IF(Eligibility!$J$12="HECO",M27*12,0)</f>
        <v>#REF!</v>
      </c>
      <c r="N37" s="179" t="e">
        <f>IF(Eligibility!$J$12="HECO",N27*12,0)</f>
        <v>#REF!</v>
      </c>
      <c r="O37" s="179" t="e">
        <f>IF(Eligibility!$J$12="HECO",O27*12,0)</f>
        <v>#REF!</v>
      </c>
      <c r="P37" s="179" t="e">
        <f>IF(Eligibility!$J$12="HECO",P27*12,0)</f>
        <v>#REF!</v>
      </c>
      <c r="Q37" s="179" t="e">
        <f>IF(Eligibility!$J$12="HECO",Q27*12,0)</f>
        <v>#REF!</v>
      </c>
      <c r="R37" s="179" t="e">
        <f>IF(Eligibility!$J$12="HECO",R27*12,0)</f>
        <v>#REF!</v>
      </c>
      <c r="S37" s="179" t="e">
        <f>IF(Eligibility!$J$12="HECO",S27*12,0)</f>
        <v>#REF!</v>
      </c>
      <c r="T37" s="179" t="e">
        <f>IF(Eligibility!$J$12="HECO",T27*12,0)</f>
        <v>#REF!</v>
      </c>
      <c r="U37" s="179" t="e">
        <f>IF(Eligibility!$J$12="HECO",U27*12,0)</f>
        <v>#REF!</v>
      </c>
      <c r="V37" s="179" t="e">
        <f>IF(Eligibility!$J$12="HECO",V27*12,0)</f>
        <v>#REF!</v>
      </c>
      <c r="W37" s="179" t="e">
        <f>IF(Eligibility!$J$12="HECO",W27*12,0)</f>
        <v>#REF!</v>
      </c>
      <c r="X37" s="179" t="e">
        <f>IF(Eligibility!$J$12="HECO",X27*12,0)</f>
        <v>#REF!</v>
      </c>
      <c r="Y37" s="150" t="e">
        <f t="shared" si="8"/>
        <v>#REF!</v>
      </c>
    </row>
    <row r="38" spans="1:25" s="156" customFormat="1" x14ac:dyDescent="0.2">
      <c r="A38" s="152" t="s">
        <v>189</v>
      </c>
      <c r="B38" s="152"/>
      <c r="C38" s="152"/>
      <c r="D38" s="183"/>
      <c r="E38" s="184">
        <f>IF(Eligibility!$J$12="HELCO",E27*12,0)</f>
        <v>0</v>
      </c>
      <c r="F38" s="184">
        <f>IF(Eligibility!$J$12="HELCO",F27*12,0)</f>
        <v>0</v>
      </c>
      <c r="G38" s="184">
        <f>IF(Eligibility!$J$12="HELCO",G27*12,0)</f>
        <v>0</v>
      </c>
      <c r="H38" s="184">
        <f>IF(Eligibility!$J$12="HELCO",H27*12,0)</f>
        <v>0</v>
      </c>
      <c r="I38" s="184">
        <f>IF(Eligibility!$J$12="HELCO",I27*12,0)</f>
        <v>0</v>
      </c>
      <c r="J38" s="184">
        <f>IF(Eligibility!$J$12="HELCO",J27*12,0)</f>
        <v>0</v>
      </c>
      <c r="K38" s="184">
        <f>IF(Eligibility!$J$12="HELCO",K27*12,0)</f>
        <v>0</v>
      </c>
      <c r="L38" s="184">
        <f>IF(Eligibility!$J$12="HELCO",L27*12,0)</f>
        <v>0</v>
      </c>
      <c r="M38" s="184">
        <f>IF(Eligibility!$J$12="HELCO",M27*12,0)</f>
        <v>0</v>
      </c>
      <c r="N38" s="184">
        <f>IF(Eligibility!$J$12="HELCO",N27*12,0)</f>
        <v>0</v>
      </c>
      <c r="O38" s="184">
        <f>IF(Eligibility!$J$12="HELCO",O27*12,0)</f>
        <v>0</v>
      </c>
      <c r="P38" s="184">
        <f>IF(Eligibility!$J$12="HELCO",P27*12,0)</f>
        <v>0</v>
      </c>
      <c r="Q38" s="184">
        <f>IF(Eligibility!$J$12="HELCO",Q27*12,0)</f>
        <v>0</v>
      </c>
      <c r="R38" s="184">
        <f>IF(Eligibility!$J$12="HELCO",R27*12,0)</f>
        <v>0</v>
      </c>
      <c r="S38" s="184">
        <f>IF(Eligibility!$J$12="HELCO",S27*12,0)</f>
        <v>0</v>
      </c>
      <c r="T38" s="184">
        <f>IF(Eligibility!$J$12="HELCO",T27*12,0)</f>
        <v>0</v>
      </c>
      <c r="U38" s="184">
        <f>IF(Eligibility!$J$12="HELCO",U27*12,0)</f>
        <v>0</v>
      </c>
      <c r="V38" s="184">
        <f>IF(Eligibility!$J$12="HELCO",V27*12,0)</f>
        <v>0</v>
      </c>
      <c r="W38" s="184">
        <f>IF(Eligibility!$J$12="HELCO",W27*12,0)</f>
        <v>0</v>
      </c>
      <c r="X38" s="184">
        <f>IF(Eligibility!$J$12="HELCO",X27*12,0)</f>
        <v>0</v>
      </c>
      <c r="Y38" s="155">
        <f t="shared" si="8"/>
        <v>0</v>
      </c>
    </row>
    <row r="39" spans="1:25" s="161" customFormat="1" x14ac:dyDescent="0.2">
      <c r="A39" s="157" t="s">
        <v>190</v>
      </c>
      <c r="B39" s="157"/>
      <c r="C39" s="157"/>
      <c r="D39" s="180"/>
      <c r="E39" s="181">
        <f>IF(Eligibility!$J$12="MECO - Maui",E27*12,0)</f>
        <v>0</v>
      </c>
      <c r="F39" s="181">
        <f>IF(Eligibility!$J$12="MECO - Maui",F27*12,0)</f>
        <v>0</v>
      </c>
      <c r="G39" s="181">
        <f>IF(Eligibility!$J$12="MECO - Maui",G27*12,0)</f>
        <v>0</v>
      </c>
      <c r="H39" s="181">
        <f>IF(Eligibility!$J$12="MECO - Maui",H27*12,0)</f>
        <v>0</v>
      </c>
      <c r="I39" s="181">
        <f>IF(Eligibility!$J$12="MECO - Maui",I27*12,0)</f>
        <v>0</v>
      </c>
      <c r="J39" s="181">
        <f>IF(Eligibility!$J$12="MECO - Maui",J27*12,0)</f>
        <v>0</v>
      </c>
      <c r="K39" s="181">
        <f>IF(Eligibility!$J$12="MECO - Maui",K27*12,0)</f>
        <v>0</v>
      </c>
      <c r="L39" s="181">
        <f>IF(Eligibility!$J$12="MECO - Maui",L27*12,0)</f>
        <v>0</v>
      </c>
      <c r="M39" s="181">
        <f>IF(Eligibility!$J$12="MECO - Maui",M27*12,0)</f>
        <v>0</v>
      </c>
      <c r="N39" s="181">
        <f>IF(Eligibility!$J$12="MECO - Maui",N27*12,0)</f>
        <v>0</v>
      </c>
      <c r="O39" s="181">
        <f>IF(Eligibility!$J$12="MECO - Maui",O27*12,0)</f>
        <v>0</v>
      </c>
      <c r="P39" s="181">
        <f>IF(Eligibility!$J$12="MECO - Maui",P27*12,0)</f>
        <v>0</v>
      </c>
      <c r="Q39" s="181">
        <f>IF(Eligibility!$J$12="MECO - Maui",Q27*12,0)</f>
        <v>0</v>
      </c>
      <c r="R39" s="181">
        <f>IF(Eligibility!$J$12="MECO - Maui",R27*12,0)</f>
        <v>0</v>
      </c>
      <c r="S39" s="181">
        <f>IF(Eligibility!$J$12="MECO - Maui",S27*12,0)</f>
        <v>0</v>
      </c>
      <c r="T39" s="181">
        <f>IF(Eligibility!$J$12="MECO - Maui",T27*12,0)</f>
        <v>0</v>
      </c>
      <c r="U39" s="181">
        <f>IF(Eligibility!$J$12="MECO - Maui",U27*12,0)</f>
        <v>0</v>
      </c>
      <c r="V39" s="181">
        <f>IF(Eligibility!$J$12="MECO - Maui",V27*12,0)</f>
        <v>0</v>
      </c>
      <c r="W39" s="181">
        <f>IF(Eligibility!$J$12="MECO - Maui",W27*12,0)</f>
        <v>0</v>
      </c>
      <c r="X39" s="181">
        <f>IF(Eligibility!$J$12="MECO - Maui",X27*12,0)</f>
        <v>0</v>
      </c>
      <c r="Y39" s="160">
        <f t="shared" si="8"/>
        <v>0</v>
      </c>
    </row>
    <row r="40" spans="1:25" s="171" customFormat="1" x14ac:dyDescent="0.2">
      <c r="A40" s="167" t="s">
        <v>191</v>
      </c>
      <c r="B40" s="167"/>
      <c r="C40" s="167"/>
      <c r="D40" s="186"/>
      <c r="E40" s="187">
        <f>IF(Eligibility!$J$12="MECO - Lanai",E27*12,0)</f>
        <v>0</v>
      </c>
      <c r="F40" s="187">
        <f>IF(Eligibility!$J$12="MECO - Lanai",F27*12,0)</f>
        <v>0</v>
      </c>
      <c r="G40" s="187">
        <f>IF(Eligibility!$J$12="MECO - Lanai",G27*12,0)</f>
        <v>0</v>
      </c>
      <c r="H40" s="187">
        <f>IF(Eligibility!$J$12="MECO - Lanai",H27*12,0)</f>
        <v>0</v>
      </c>
      <c r="I40" s="187">
        <f>IF(Eligibility!$J$12="MECO - Lanai",I27*12,0)</f>
        <v>0</v>
      </c>
      <c r="J40" s="187">
        <f>IF(Eligibility!$J$12="MECO - Lanai",J27*12,0)</f>
        <v>0</v>
      </c>
      <c r="K40" s="187">
        <f>IF(Eligibility!$J$12="MECO - Lanai",K27*12,0)</f>
        <v>0</v>
      </c>
      <c r="L40" s="187">
        <f>IF(Eligibility!$J$12="MECO - Lanai",L27*12,0)</f>
        <v>0</v>
      </c>
      <c r="M40" s="187">
        <f>IF(Eligibility!$J$12="MECO - Lanai",M27*12,0)</f>
        <v>0</v>
      </c>
      <c r="N40" s="187">
        <f>IF(Eligibility!$J$12="MECO - Lanai",N27*12,0)</f>
        <v>0</v>
      </c>
      <c r="O40" s="187">
        <f>IF(Eligibility!$J$12="MECO - Lanai",O27*12,0)</f>
        <v>0</v>
      </c>
      <c r="P40" s="187">
        <f>IF(Eligibility!$J$12="MECO - Lanai",P27*12,0)</f>
        <v>0</v>
      </c>
      <c r="Q40" s="187">
        <f>IF(Eligibility!$J$12="MECO - Lanai",Q27*12,0)</f>
        <v>0</v>
      </c>
      <c r="R40" s="187">
        <f>IF(Eligibility!$J$12="MECO - Lanai",R27*12,0)</f>
        <v>0</v>
      </c>
      <c r="S40" s="187">
        <f>IF(Eligibility!$J$12="MECO - Lanai",S27*12,0)</f>
        <v>0</v>
      </c>
      <c r="T40" s="187">
        <f>IF(Eligibility!$J$12="MECO - Lanai",T27*12,0)</f>
        <v>0</v>
      </c>
      <c r="U40" s="187">
        <f>IF(Eligibility!$J$12="MECO - Lanai",U27*12,0)</f>
        <v>0</v>
      </c>
      <c r="V40" s="187">
        <f>IF(Eligibility!$J$12="MECO - Lanai",V27*12,0)</f>
        <v>0</v>
      </c>
      <c r="W40" s="187">
        <f>IF(Eligibility!$J$12="MECO - Lanai",W27*12,0)</f>
        <v>0</v>
      </c>
      <c r="X40" s="187">
        <f>IF(Eligibility!$J$12="MECO - Lanai",X27*12,0)</f>
        <v>0</v>
      </c>
      <c r="Y40" s="170">
        <f t="shared" si="8"/>
        <v>0</v>
      </c>
    </row>
    <row r="41" spans="1:25" s="166" customFormat="1" x14ac:dyDescent="0.2">
      <c r="A41" s="162" t="s">
        <v>192</v>
      </c>
      <c r="B41" s="162"/>
      <c r="C41" s="162"/>
      <c r="D41" s="189"/>
      <c r="E41" s="190">
        <f>IF(Eligibility!$J$12="MECO - Molokai",E27*12,0)</f>
        <v>0</v>
      </c>
      <c r="F41" s="190">
        <f>IF(Eligibility!$J$12="MECO - Molokai",F27*12,0)</f>
        <v>0</v>
      </c>
      <c r="G41" s="190">
        <f>IF(Eligibility!$J$12="MECO - Molokai",G27*12,0)</f>
        <v>0</v>
      </c>
      <c r="H41" s="190">
        <f>IF(Eligibility!$J$12="MECO - Molokai",H27*12,0)</f>
        <v>0</v>
      </c>
      <c r="I41" s="190">
        <f>IF(Eligibility!$J$12="MECO - Molokai",I27*12,0)</f>
        <v>0</v>
      </c>
      <c r="J41" s="190">
        <f>IF(Eligibility!$J$12="MECO - Molokai",J27*12,0)</f>
        <v>0</v>
      </c>
      <c r="K41" s="190">
        <f>IF(Eligibility!$J$12="MECO - Molokai",K27*12,0)</f>
        <v>0</v>
      </c>
      <c r="L41" s="190">
        <f>IF(Eligibility!$J$12="MECO - Molokai",L27*12,0)</f>
        <v>0</v>
      </c>
      <c r="M41" s="190">
        <f>IF(Eligibility!$J$12="MECO - Molokai",M27*12,0)</f>
        <v>0</v>
      </c>
      <c r="N41" s="190">
        <f>IF(Eligibility!$J$12="MECO - Molokai",N27*12,0)</f>
        <v>0</v>
      </c>
      <c r="O41" s="190">
        <f>IF(Eligibility!$J$12="MECO - Molokai",O27*12,0)</f>
        <v>0</v>
      </c>
      <c r="P41" s="190">
        <f>IF(Eligibility!$J$12="MECO - Molokai",P27*12,0)</f>
        <v>0</v>
      </c>
      <c r="Q41" s="190">
        <f>IF(Eligibility!$J$12="MECO - Molokai",Q27*12,0)</f>
        <v>0</v>
      </c>
      <c r="R41" s="190">
        <f>IF(Eligibility!$J$12="MECO - Molokai",R27*12,0)</f>
        <v>0</v>
      </c>
      <c r="S41" s="190">
        <f>IF(Eligibility!$J$12="MECO - Molokai",S27*12,0)</f>
        <v>0</v>
      </c>
      <c r="T41" s="190">
        <f>IF(Eligibility!$J$12="MECO - Molokai",T27*12,0)</f>
        <v>0</v>
      </c>
      <c r="U41" s="190">
        <f>IF(Eligibility!$J$12="MECO - Molokai",U27*12,0)</f>
        <v>0</v>
      </c>
      <c r="V41" s="190">
        <f>IF(Eligibility!$J$12="MECO - Molokai",V27*12,0)</f>
        <v>0</v>
      </c>
      <c r="W41" s="190">
        <f>IF(Eligibility!$J$12="MECO - Molokai",W27*12,0)</f>
        <v>0</v>
      </c>
      <c r="X41" s="190">
        <f>IF(Eligibility!$J$12="MECO - Molokai",X27*12,0)</f>
        <v>0</v>
      </c>
      <c r="Y41" s="165">
        <f t="shared" si="8"/>
        <v>0</v>
      </c>
    </row>
    <row r="42" spans="1:25" s="68" customFormat="1" x14ac:dyDescent="0.2">
      <c r="A42" s="133"/>
      <c r="B42" s="133"/>
      <c r="C42" s="133"/>
      <c r="D42" s="144"/>
      <c r="E42" s="14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72"/>
    </row>
    <row r="43" spans="1:25" s="151" customFormat="1" x14ac:dyDescent="0.2">
      <c r="A43" s="147" t="s">
        <v>193</v>
      </c>
      <c r="B43" s="147"/>
      <c r="C43" s="147"/>
      <c r="D43" s="193"/>
      <c r="E43" s="148">
        <f>IF(Eligibility!$J$12="HECO",E$35+E37,0)</f>
        <v>4055.5694159999998</v>
      </c>
      <c r="F43" s="148" t="e">
        <f>IF(Eligibility!$J$12="HECO",F$35+F37,0)</f>
        <v>#REF!</v>
      </c>
      <c r="G43" s="148" t="e">
        <f>IF(Eligibility!$J$12="HECO",G$35+G37,0)</f>
        <v>#REF!</v>
      </c>
      <c r="H43" s="148" t="e">
        <f>IF(Eligibility!$J$12="HECO",H$35+H37,0)</f>
        <v>#REF!</v>
      </c>
      <c r="I43" s="148" t="e">
        <f>IF(Eligibility!$J$12="HECO",I$35+I37,0)</f>
        <v>#REF!</v>
      </c>
      <c r="J43" s="148" t="e">
        <f>IF(Eligibility!$J$12="HECO",J$35+J37,0)</f>
        <v>#REF!</v>
      </c>
      <c r="K43" s="148" t="e">
        <f>IF(Eligibility!$J$12="HECO",K$35+K37,0)</f>
        <v>#REF!</v>
      </c>
      <c r="L43" s="148" t="e">
        <f>IF(Eligibility!$J$12="HECO",L$35+L37,0)</f>
        <v>#REF!</v>
      </c>
      <c r="M43" s="148" t="e">
        <f>IF(Eligibility!$J$12="HECO",M$35+M37,0)</f>
        <v>#REF!</v>
      </c>
      <c r="N43" s="148" t="e">
        <f>IF(Eligibility!$J$12="HECO",N$35+N37,0)</f>
        <v>#REF!</v>
      </c>
      <c r="O43" s="148" t="e">
        <f>IF(Eligibility!$J$12="HECO",O$35+O37,0)</f>
        <v>#REF!</v>
      </c>
      <c r="P43" s="148" t="e">
        <f>IF(Eligibility!$J$12="HECO",P$35+P37,0)</f>
        <v>#REF!</v>
      </c>
      <c r="Q43" s="148" t="e">
        <f>IF(Eligibility!$J$12="HECO",Q$35+Q37,0)</f>
        <v>#REF!</v>
      </c>
      <c r="R43" s="148" t="e">
        <f>IF(Eligibility!$J$12="HECO",R$35+R37,0)</f>
        <v>#REF!</v>
      </c>
      <c r="S43" s="148" t="e">
        <f>IF(Eligibility!$J$12="HECO",S$35+S37,0)</f>
        <v>#REF!</v>
      </c>
      <c r="T43" s="148" t="e">
        <f>IF(Eligibility!$J$12="HECO",T$35+T37,0)</f>
        <v>#REF!</v>
      </c>
      <c r="U43" s="148" t="e">
        <f>IF(Eligibility!$J$12="HECO",U$35+U37,0)</f>
        <v>#REF!</v>
      </c>
      <c r="V43" s="148" t="e">
        <f>IF(Eligibility!$J$12="HECO",V$35+V37,0)</f>
        <v>#REF!</v>
      </c>
      <c r="W43" s="148" t="e">
        <f>IF(Eligibility!$J$12="HECO",W$35+W37,0)</f>
        <v>#REF!</v>
      </c>
      <c r="X43" s="148" t="e">
        <f>IF(Eligibility!$J$12="HECO",X$35+X37,0)</f>
        <v>#REF!</v>
      </c>
      <c r="Y43" s="150" t="e">
        <f>SUM(E43:X43)</f>
        <v>#REF!</v>
      </c>
    </row>
    <row r="44" spans="1:25" s="156" customFormat="1" x14ac:dyDescent="0.2">
      <c r="A44" s="152" t="s">
        <v>194</v>
      </c>
      <c r="B44" s="152"/>
      <c r="C44" s="152"/>
      <c r="D44" s="196"/>
      <c r="E44" s="153">
        <f>IF(Eligibility!$J$12="HELCO",E$35+E38,0)</f>
        <v>0</v>
      </c>
      <c r="F44" s="153">
        <f>IF(Eligibility!$J$12="HELCO",F$35+F38,0)</f>
        <v>0</v>
      </c>
      <c r="G44" s="153">
        <f>IF(Eligibility!$J$12="HELCO",G$35+G38,0)</f>
        <v>0</v>
      </c>
      <c r="H44" s="153">
        <f>IF(Eligibility!$J$12="HELCO",H$35+H38,0)</f>
        <v>0</v>
      </c>
      <c r="I44" s="153">
        <f>IF(Eligibility!$J$12="HELCO",I$35+I38,0)</f>
        <v>0</v>
      </c>
      <c r="J44" s="153">
        <f>IF(Eligibility!$J$12="HELCO",J$35+J38,0)</f>
        <v>0</v>
      </c>
      <c r="K44" s="153">
        <f>IF(Eligibility!$J$12="HELCO",K$35+K38,0)</f>
        <v>0</v>
      </c>
      <c r="L44" s="153">
        <f>IF(Eligibility!$J$12="HELCO",L$35+L38,0)</f>
        <v>0</v>
      </c>
      <c r="M44" s="153">
        <f>IF(Eligibility!$J$12="HELCO",M$35+M38,0)</f>
        <v>0</v>
      </c>
      <c r="N44" s="153">
        <f>IF(Eligibility!$J$12="HELCO",N$35+N38,0)</f>
        <v>0</v>
      </c>
      <c r="O44" s="153">
        <f>IF(Eligibility!$J$12="HELCO",O$35+O38,0)</f>
        <v>0</v>
      </c>
      <c r="P44" s="153">
        <f>IF(Eligibility!$J$12="HELCO",P$35+P38,0)</f>
        <v>0</v>
      </c>
      <c r="Q44" s="153">
        <f>IF(Eligibility!$J$12="HELCO",Q$35+Q38,0)</f>
        <v>0</v>
      </c>
      <c r="R44" s="153">
        <f>IF(Eligibility!$J$12="HELCO",R$35+R38,0)</f>
        <v>0</v>
      </c>
      <c r="S44" s="153">
        <f>IF(Eligibility!$J$12="HELCO",S$35+S38,0)</f>
        <v>0</v>
      </c>
      <c r="T44" s="153">
        <f>IF(Eligibility!$J$12="HELCO",T$35+T38,0)</f>
        <v>0</v>
      </c>
      <c r="U44" s="153">
        <f>IF(Eligibility!$J$12="HELCO",U$35+U38,0)</f>
        <v>0</v>
      </c>
      <c r="V44" s="153">
        <f>IF(Eligibility!$J$12="HELCO",V$35+V38,0)</f>
        <v>0</v>
      </c>
      <c r="W44" s="153">
        <f>IF(Eligibility!$J$12="HELCO",W$35+W38,0)</f>
        <v>0</v>
      </c>
      <c r="X44" s="153">
        <f>IF(Eligibility!$J$12="HELCO",X$35+X38,0)</f>
        <v>0</v>
      </c>
      <c r="Y44" s="155">
        <f t="shared" ref="Y44:Y47" si="13">SUM(E44:X44)</f>
        <v>0</v>
      </c>
    </row>
    <row r="45" spans="1:25" s="161" customFormat="1" x14ac:dyDescent="0.2">
      <c r="A45" s="157" t="s">
        <v>195</v>
      </c>
      <c r="B45" s="157"/>
      <c r="C45" s="157"/>
      <c r="D45" s="195"/>
      <c r="E45" s="158">
        <f>IF(Eligibility!$J$12="MECO - Maui",E$35+E39,0)</f>
        <v>0</v>
      </c>
      <c r="F45" s="158">
        <f>IF(Eligibility!$J$12="MECO - Maui",F$35+F39,0)</f>
        <v>0</v>
      </c>
      <c r="G45" s="158">
        <f>IF(Eligibility!$J$12="MECO - Maui",G$35+G39,0)</f>
        <v>0</v>
      </c>
      <c r="H45" s="158">
        <f>IF(Eligibility!$J$12="MECO - Maui",H$35+H39,0)</f>
        <v>0</v>
      </c>
      <c r="I45" s="158">
        <f>IF(Eligibility!$J$12="MECO - Maui",I$35+I39,0)</f>
        <v>0</v>
      </c>
      <c r="J45" s="158">
        <f>IF(Eligibility!$J$12="MECO - Maui",J$35+J39,0)</f>
        <v>0</v>
      </c>
      <c r="K45" s="158">
        <f>IF(Eligibility!$J$12="MECO - Maui",K$35+K39,0)</f>
        <v>0</v>
      </c>
      <c r="L45" s="158">
        <f>IF(Eligibility!$J$12="MECO - Maui",L$35+L39,0)</f>
        <v>0</v>
      </c>
      <c r="M45" s="158">
        <f>IF(Eligibility!$J$12="MECO - Maui",M$35+M39,0)</f>
        <v>0</v>
      </c>
      <c r="N45" s="158">
        <f>IF(Eligibility!$J$12="MECO - Maui",N$35+N39,0)</f>
        <v>0</v>
      </c>
      <c r="O45" s="158">
        <f>IF(Eligibility!$J$12="MECO - Maui",O$35+O39,0)</f>
        <v>0</v>
      </c>
      <c r="P45" s="158">
        <f>IF(Eligibility!$J$12="MECO - Maui",P$35+P39,0)</f>
        <v>0</v>
      </c>
      <c r="Q45" s="158">
        <f>IF(Eligibility!$J$12="MECO - Maui",Q$35+Q39,0)</f>
        <v>0</v>
      </c>
      <c r="R45" s="158">
        <f>IF(Eligibility!$J$12="MECO - Maui",R$35+R39,0)</f>
        <v>0</v>
      </c>
      <c r="S45" s="158">
        <f>IF(Eligibility!$J$12="MECO - Maui",S$35+S39,0)</f>
        <v>0</v>
      </c>
      <c r="T45" s="158">
        <f>IF(Eligibility!$J$12="MECO - Maui",T$35+T39,0)</f>
        <v>0</v>
      </c>
      <c r="U45" s="158">
        <f>IF(Eligibility!$J$12="MECO - Maui",U$35+U39,0)</f>
        <v>0</v>
      </c>
      <c r="V45" s="158">
        <f>IF(Eligibility!$J$12="MECO - Maui",V$35+V39,0)</f>
        <v>0</v>
      </c>
      <c r="W45" s="158">
        <f>IF(Eligibility!$J$12="MECO - Maui",W$35+W39,0)</f>
        <v>0</v>
      </c>
      <c r="X45" s="158">
        <f>IF(Eligibility!$J$12="MECO - Maui",X$35+X39,0)</f>
        <v>0</v>
      </c>
      <c r="Y45" s="160">
        <f t="shared" si="13"/>
        <v>0</v>
      </c>
    </row>
    <row r="46" spans="1:25" s="171" customFormat="1" x14ac:dyDescent="0.2">
      <c r="A46" s="167" t="s">
        <v>196</v>
      </c>
      <c r="B46" s="167"/>
      <c r="C46" s="167"/>
      <c r="D46" s="194"/>
      <c r="E46" s="168">
        <f>IF(Eligibility!$J$12="MECO - Lanai",E$35+E40,0)</f>
        <v>0</v>
      </c>
      <c r="F46" s="168">
        <f>IF(Eligibility!$J$12="MECO - Lanai",F$35+F40,0)</f>
        <v>0</v>
      </c>
      <c r="G46" s="168">
        <f>IF(Eligibility!$J$12="MECO - Lanai",G$35+G40,0)</f>
        <v>0</v>
      </c>
      <c r="H46" s="168">
        <f>IF(Eligibility!$J$12="MECO - Lanai",H$35+H40,0)</f>
        <v>0</v>
      </c>
      <c r="I46" s="168">
        <f>IF(Eligibility!$J$12="MECO - Lanai",I$35+I40,0)</f>
        <v>0</v>
      </c>
      <c r="J46" s="168">
        <f>IF(Eligibility!$J$12="MECO - Lanai",J$35+J40,0)</f>
        <v>0</v>
      </c>
      <c r="K46" s="168">
        <f>IF(Eligibility!$J$12="MECO - Lanai",K$35+K40,0)</f>
        <v>0</v>
      </c>
      <c r="L46" s="168">
        <f>IF(Eligibility!$J$12="MECO - Lanai",L$35+L40,0)</f>
        <v>0</v>
      </c>
      <c r="M46" s="168">
        <f>IF(Eligibility!$J$12="MECO - Lanai",M$35+M40,0)</f>
        <v>0</v>
      </c>
      <c r="N46" s="168">
        <f>IF(Eligibility!$J$12="MECO - Lanai",N$35+N40,0)</f>
        <v>0</v>
      </c>
      <c r="O46" s="168">
        <f>IF(Eligibility!$J$12="MECO - Lanai",O$35+O40,0)</f>
        <v>0</v>
      </c>
      <c r="P46" s="168">
        <f>IF(Eligibility!$J$12="MECO - Lanai",P$35+P40,0)</f>
        <v>0</v>
      </c>
      <c r="Q46" s="168">
        <f>IF(Eligibility!$J$12="MECO - Lanai",Q$35+Q40,0)</f>
        <v>0</v>
      </c>
      <c r="R46" s="168">
        <f>IF(Eligibility!$J$12="MECO - Lanai",R$35+R40,0)</f>
        <v>0</v>
      </c>
      <c r="S46" s="168">
        <f>IF(Eligibility!$J$12="MECO - Lanai",S$35+S40,0)</f>
        <v>0</v>
      </c>
      <c r="T46" s="168">
        <f>IF(Eligibility!$J$12="MECO - Lanai",T$35+T40,0)</f>
        <v>0</v>
      </c>
      <c r="U46" s="168">
        <f>IF(Eligibility!$J$12="MECO - Lanai",U$35+U40,0)</f>
        <v>0</v>
      </c>
      <c r="V46" s="168">
        <f>IF(Eligibility!$J$12="MECO - Lanai",V$35+V40,0)</f>
        <v>0</v>
      </c>
      <c r="W46" s="168">
        <f>IF(Eligibility!$J$12="MECO - Lanai",W$35+W40,0)</f>
        <v>0</v>
      </c>
      <c r="X46" s="168">
        <f>IF(Eligibility!$J$12="MECO - Lanai",X$35+X40,0)</f>
        <v>0</v>
      </c>
      <c r="Y46" s="170">
        <f t="shared" si="13"/>
        <v>0</v>
      </c>
    </row>
    <row r="47" spans="1:25" s="166" customFormat="1" x14ac:dyDescent="0.2">
      <c r="A47" s="162" t="s">
        <v>197</v>
      </c>
      <c r="B47" s="162"/>
      <c r="C47" s="162"/>
      <c r="D47" s="192"/>
      <c r="E47" s="163">
        <f>IF(Eligibility!$J$12="MECO - Molokai",E$35+E41,0)</f>
        <v>0</v>
      </c>
      <c r="F47" s="163">
        <f>IF(Eligibility!$J$12="MECO - Molokai",F$35+F41,0)</f>
        <v>0</v>
      </c>
      <c r="G47" s="163">
        <f>IF(Eligibility!$J$12="MECO - Molokai",G$35+G41,0)</f>
        <v>0</v>
      </c>
      <c r="H47" s="163">
        <f>IF(Eligibility!$J$12="MECO - Molokai",H$35+H41,0)</f>
        <v>0</v>
      </c>
      <c r="I47" s="163">
        <f>IF(Eligibility!$J$12="MECO - Molokai",I$35+I41,0)</f>
        <v>0</v>
      </c>
      <c r="J47" s="163">
        <f>IF(Eligibility!$J$12="MECO - Molokai",J$35+J41,0)</f>
        <v>0</v>
      </c>
      <c r="K47" s="163">
        <f>IF(Eligibility!$J$12="MECO - Molokai",K$35+K41,0)</f>
        <v>0</v>
      </c>
      <c r="L47" s="163">
        <f>IF(Eligibility!$J$12="MECO - Molokai",L$35+L41,0)</f>
        <v>0</v>
      </c>
      <c r="M47" s="163">
        <f>IF(Eligibility!$J$12="MECO - Molokai",M$35+M41,0)</f>
        <v>0</v>
      </c>
      <c r="N47" s="163">
        <f>IF(Eligibility!$J$12="MECO - Molokai",N$35+N41,0)</f>
        <v>0</v>
      </c>
      <c r="O47" s="163">
        <f>IF(Eligibility!$J$12="MECO - Molokai",O$35+O41,0)</f>
        <v>0</v>
      </c>
      <c r="P47" s="163">
        <f>IF(Eligibility!$J$12="MECO - Molokai",P$35+P41,0)</f>
        <v>0</v>
      </c>
      <c r="Q47" s="163">
        <f>IF(Eligibility!$J$12="MECO - Molokai",Q$35+Q41,0)</f>
        <v>0</v>
      </c>
      <c r="R47" s="163">
        <f>IF(Eligibility!$J$12="MECO - Molokai",R$35+R41,0)</f>
        <v>0</v>
      </c>
      <c r="S47" s="163">
        <f>IF(Eligibility!$J$12="MECO - Molokai",S$35+S41,0)</f>
        <v>0</v>
      </c>
      <c r="T47" s="163">
        <f>IF(Eligibility!$J$12="MECO - Molokai",T$35+T41,0)</f>
        <v>0</v>
      </c>
      <c r="U47" s="163">
        <f>IF(Eligibility!$J$12="MECO - Molokai",U$35+U41,0)</f>
        <v>0</v>
      </c>
      <c r="V47" s="163">
        <f>IF(Eligibility!$J$12="MECO - Molokai",V$35+V41,0)</f>
        <v>0</v>
      </c>
      <c r="W47" s="163">
        <f>IF(Eligibility!$J$12="MECO - Molokai",W$35+W41,0)</f>
        <v>0</v>
      </c>
      <c r="X47" s="163">
        <f>IF(Eligibility!$J$12="MECO - Molokai",X$35+X41,0)</f>
        <v>0</v>
      </c>
      <c r="Y47" s="165">
        <f t="shared" si="13"/>
        <v>0</v>
      </c>
    </row>
    <row r="48" spans="1:25" s="66" customFormat="1" x14ac:dyDescent="0.2">
      <c r="A48" s="129"/>
      <c r="B48" s="129"/>
      <c r="C48" s="129"/>
      <c r="D48" s="134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1"/>
    </row>
    <row r="49" spans="1:25" s="151" customFormat="1" x14ac:dyDescent="0.2">
      <c r="A49" s="147" t="s">
        <v>205</v>
      </c>
      <c r="B49" s="147"/>
      <c r="C49" s="147"/>
      <c r="D49" s="197"/>
      <c r="E49" s="148">
        <f t="shared" ref="E49:X49" si="14">E29-E43</f>
        <v>0</v>
      </c>
      <c r="F49" s="148" t="e">
        <f t="shared" si="14"/>
        <v>#REF!</v>
      </c>
      <c r="G49" s="148" t="e">
        <f t="shared" si="14"/>
        <v>#REF!</v>
      </c>
      <c r="H49" s="148" t="e">
        <f t="shared" si="14"/>
        <v>#REF!</v>
      </c>
      <c r="I49" s="148" t="e">
        <f t="shared" si="14"/>
        <v>#REF!</v>
      </c>
      <c r="J49" s="148" t="e">
        <f t="shared" si="14"/>
        <v>#REF!</v>
      </c>
      <c r="K49" s="148" t="e">
        <f t="shared" si="14"/>
        <v>#REF!</v>
      </c>
      <c r="L49" s="148" t="e">
        <f t="shared" si="14"/>
        <v>#REF!</v>
      </c>
      <c r="M49" s="148" t="e">
        <f t="shared" si="14"/>
        <v>#REF!</v>
      </c>
      <c r="N49" s="148" t="e">
        <f t="shared" si="14"/>
        <v>#REF!</v>
      </c>
      <c r="O49" s="148" t="e">
        <f t="shared" si="14"/>
        <v>#REF!</v>
      </c>
      <c r="P49" s="148" t="e">
        <f t="shared" si="14"/>
        <v>#REF!</v>
      </c>
      <c r="Q49" s="148" t="e">
        <f t="shared" si="14"/>
        <v>#REF!</v>
      </c>
      <c r="R49" s="148" t="e">
        <f t="shared" si="14"/>
        <v>#REF!</v>
      </c>
      <c r="S49" s="148" t="e">
        <f t="shared" si="14"/>
        <v>#REF!</v>
      </c>
      <c r="T49" s="148" t="e">
        <f t="shared" si="14"/>
        <v>#REF!</v>
      </c>
      <c r="U49" s="148" t="e">
        <f t="shared" si="14"/>
        <v>#REF!</v>
      </c>
      <c r="V49" s="148" t="e">
        <f t="shared" si="14"/>
        <v>#REF!</v>
      </c>
      <c r="W49" s="148" t="e">
        <f t="shared" si="14"/>
        <v>#REF!</v>
      </c>
      <c r="X49" s="148" t="e">
        <f t="shared" si="14"/>
        <v>#REF!</v>
      </c>
      <c r="Y49" s="150" t="e">
        <f t="shared" ref="Y49:Y53" si="15">SUM(E49:X49)</f>
        <v>#REF!</v>
      </c>
    </row>
    <row r="50" spans="1:25" s="226" customFormat="1" x14ac:dyDescent="0.2">
      <c r="A50" s="222" t="s">
        <v>206</v>
      </c>
      <c r="B50" s="222"/>
      <c r="C50" s="222"/>
      <c r="D50" s="223"/>
      <c r="E50" s="224">
        <f t="shared" ref="E50:X50" si="16">E49/E29</f>
        <v>0</v>
      </c>
      <c r="F50" s="224" t="e">
        <f t="shared" si="16"/>
        <v>#REF!</v>
      </c>
      <c r="G50" s="224" t="e">
        <f t="shared" si="16"/>
        <v>#REF!</v>
      </c>
      <c r="H50" s="224" t="e">
        <f t="shared" si="16"/>
        <v>#REF!</v>
      </c>
      <c r="I50" s="224" t="e">
        <f t="shared" si="16"/>
        <v>#REF!</v>
      </c>
      <c r="J50" s="224" t="e">
        <f t="shared" si="16"/>
        <v>#REF!</v>
      </c>
      <c r="K50" s="224" t="e">
        <f t="shared" si="16"/>
        <v>#REF!</v>
      </c>
      <c r="L50" s="224" t="e">
        <f t="shared" si="16"/>
        <v>#REF!</v>
      </c>
      <c r="M50" s="224" t="e">
        <f t="shared" si="16"/>
        <v>#REF!</v>
      </c>
      <c r="N50" s="224" t="e">
        <f t="shared" si="16"/>
        <v>#REF!</v>
      </c>
      <c r="O50" s="224" t="e">
        <f t="shared" si="16"/>
        <v>#REF!</v>
      </c>
      <c r="P50" s="224" t="e">
        <f t="shared" si="16"/>
        <v>#REF!</v>
      </c>
      <c r="Q50" s="224" t="e">
        <f t="shared" si="16"/>
        <v>#REF!</v>
      </c>
      <c r="R50" s="224" t="e">
        <f t="shared" si="16"/>
        <v>#REF!</v>
      </c>
      <c r="S50" s="224" t="e">
        <f t="shared" si="16"/>
        <v>#REF!</v>
      </c>
      <c r="T50" s="224" t="e">
        <f t="shared" si="16"/>
        <v>#REF!</v>
      </c>
      <c r="U50" s="224" t="e">
        <f t="shared" si="16"/>
        <v>#REF!</v>
      </c>
      <c r="V50" s="224" t="e">
        <f t="shared" si="16"/>
        <v>#REF!</v>
      </c>
      <c r="W50" s="224" t="e">
        <f t="shared" si="16"/>
        <v>#REF!</v>
      </c>
      <c r="X50" s="224" t="e">
        <f t="shared" si="16"/>
        <v>#REF!</v>
      </c>
      <c r="Y50" s="225"/>
    </row>
    <row r="51" spans="1:25" s="151" customFormat="1" x14ac:dyDescent="0.2">
      <c r="A51" s="147" t="s">
        <v>179</v>
      </c>
      <c r="B51" s="147"/>
      <c r="C51" s="147"/>
      <c r="D51" s="176"/>
      <c r="E51" s="148">
        <f t="shared" ref="E51:X51" si="17">E29/12</f>
        <v>337.96411799999998</v>
      </c>
      <c r="F51" s="148">
        <f t="shared" si="17"/>
        <v>354.89612031179996</v>
      </c>
      <c r="G51" s="148">
        <f t="shared" si="17"/>
        <v>372.67641593942113</v>
      </c>
      <c r="H51" s="148">
        <f t="shared" si="17"/>
        <v>391.34750437798613</v>
      </c>
      <c r="I51" s="148">
        <f t="shared" si="17"/>
        <v>410.95401434732327</v>
      </c>
      <c r="J51" s="148">
        <f t="shared" si="17"/>
        <v>431.54281046612419</v>
      </c>
      <c r="K51" s="148">
        <f t="shared" si="17"/>
        <v>453.16310527047705</v>
      </c>
      <c r="L51" s="148">
        <f t="shared" si="17"/>
        <v>475.86657684452797</v>
      </c>
      <c r="M51" s="148">
        <f t="shared" si="17"/>
        <v>499.70749234443883</v>
      </c>
      <c r="N51" s="148">
        <f t="shared" si="17"/>
        <v>524.74283771089529</v>
      </c>
      <c r="O51" s="148">
        <f t="shared" si="17"/>
        <v>551.03245388021116</v>
      </c>
      <c r="P51" s="148">
        <f t="shared" si="17"/>
        <v>578.63917981960969</v>
      </c>
      <c r="Q51" s="148">
        <f t="shared" si="17"/>
        <v>607.62900272857223</v>
      </c>
      <c r="R51" s="148">
        <f t="shared" si="17"/>
        <v>638.07121576527368</v>
      </c>
      <c r="S51" s="148">
        <f t="shared" si="17"/>
        <v>670.03858367511395</v>
      </c>
      <c r="T51" s="148">
        <f t="shared" si="17"/>
        <v>703.6075167172371</v>
      </c>
      <c r="U51" s="148">
        <f t="shared" si="17"/>
        <v>738.85825330477064</v>
      </c>
      <c r="V51" s="148">
        <f t="shared" si="17"/>
        <v>775.87505179533957</v>
      </c>
      <c r="W51" s="148">
        <f t="shared" si="17"/>
        <v>814.74639189028619</v>
      </c>
      <c r="X51" s="148">
        <f t="shared" si="17"/>
        <v>855.56518612398952</v>
      </c>
      <c r="Y51" s="150">
        <f>SUM(E51:X51)</f>
        <v>11186.923831313397</v>
      </c>
    </row>
    <row r="52" spans="1:25" s="151" customFormat="1" x14ac:dyDescent="0.2">
      <c r="A52" s="147" t="s">
        <v>247</v>
      </c>
      <c r="B52" s="147"/>
      <c r="C52" s="147"/>
      <c r="D52" s="148"/>
      <c r="E52" s="148">
        <f>E43/12</f>
        <v>337.96411799999998</v>
      </c>
      <c r="F52" s="148" t="e">
        <f>F43/12</f>
        <v>#REF!</v>
      </c>
      <c r="G52" s="148" t="e">
        <f t="shared" ref="G52:X52" si="18">G43/12</f>
        <v>#REF!</v>
      </c>
      <c r="H52" s="148" t="e">
        <f t="shared" si="18"/>
        <v>#REF!</v>
      </c>
      <c r="I52" s="148" t="e">
        <f t="shared" si="18"/>
        <v>#REF!</v>
      </c>
      <c r="J52" s="148" t="e">
        <f t="shared" si="18"/>
        <v>#REF!</v>
      </c>
      <c r="K52" s="148" t="e">
        <f t="shared" si="18"/>
        <v>#REF!</v>
      </c>
      <c r="L52" s="148" t="e">
        <f t="shared" si="18"/>
        <v>#REF!</v>
      </c>
      <c r="M52" s="148" t="e">
        <f t="shared" si="18"/>
        <v>#REF!</v>
      </c>
      <c r="N52" s="148" t="e">
        <f t="shared" si="18"/>
        <v>#REF!</v>
      </c>
      <c r="O52" s="148" t="e">
        <f t="shared" si="18"/>
        <v>#REF!</v>
      </c>
      <c r="P52" s="148" t="e">
        <f t="shared" si="18"/>
        <v>#REF!</v>
      </c>
      <c r="Q52" s="148" t="e">
        <f t="shared" si="18"/>
        <v>#REF!</v>
      </c>
      <c r="R52" s="148" t="e">
        <f t="shared" si="18"/>
        <v>#REF!</v>
      </c>
      <c r="S52" s="148" t="e">
        <f t="shared" si="18"/>
        <v>#REF!</v>
      </c>
      <c r="T52" s="148" t="e">
        <f t="shared" si="18"/>
        <v>#REF!</v>
      </c>
      <c r="U52" s="148" t="e">
        <f t="shared" si="18"/>
        <v>#REF!</v>
      </c>
      <c r="V52" s="148" t="e">
        <f t="shared" si="18"/>
        <v>#REF!</v>
      </c>
      <c r="W52" s="148" t="e">
        <f t="shared" si="18"/>
        <v>#REF!</v>
      </c>
      <c r="X52" s="148" t="e">
        <f t="shared" si="18"/>
        <v>#REF!</v>
      </c>
      <c r="Y52" s="150" t="e">
        <f t="shared" si="15"/>
        <v>#REF!</v>
      </c>
    </row>
    <row r="53" spans="1:25" s="151" customFormat="1" x14ac:dyDescent="0.2">
      <c r="A53" s="147" t="s">
        <v>248</v>
      </c>
      <c r="B53" s="147"/>
      <c r="C53" s="147"/>
      <c r="D53" s="193"/>
      <c r="E53" s="148">
        <f t="shared" ref="E53:X53" si="19">E51-E52</f>
        <v>0</v>
      </c>
      <c r="F53" s="148" t="e">
        <f t="shared" si="19"/>
        <v>#REF!</v>
      </c>
      <c r="G53" s="148" t="e">
        <f t="shared" si="19"/>
        <v>#REF!</v>
      </c>
      <c r="H53" s="148" t="e">
        <f t="shared" si="19"/>
        <v>#REF!</v>
      </c>
      <c r="I53" s="148" t="e">
        <f t="shared" si="19"/>
        <v>#REF!</v>
      </c>
      <c r="J53" s="148" t="e">
        <f t="shared" si="19"/>
        <v>#REF!</v>
      </c>
      <c r="K53" s="148" t="e">
        <f t="shared" si="19"/>
        <v>#REF!</v>
      </c>
      <c r="L53" s="148" t="e">
        <f t="shared" si="19"/>
        <v>#REF!</v>
      </c>
      <c r="M53" s="148" t="e">
        <f t="shared" si="19"/>
        <v>#REF!</v>
      </c>
      <c r="N53" s="148" t="e">
        <f t="shared" si="19"/>
        <v>#REF!</v>
      </c>
      <c r="O53" s="148" t="e">
        <f t="shared" si="19"/>
        <v>#REF!</v>
      </c>
      <c r="P53" s="148" t="e">
        <f t="shared" si="19"/>
        <v>#REF!</v>
      </c>
      <c r="Q53" s="148" t="e">
        <f t="shared" si="19"/>
        <v>#REF!</v>
      </c>
      <c r="R53" s="148" t="e">
        <f t="shared" si="19"/>
        <v>#REF!</v>
      </c>
      <c r="S53" s="148" t="e">
        <f t="shared" si="19"/>
        <v>#REF!</v>
      </c>
      <c r="T53" s="148" t="e">
        <f t="shared" si="19"/>
        <v>#REF!</v>
      </c>
      <c r="U53" s="148" t="e">
        <f t="shared" si="19"/>
        <v>#REF!</v>
      </c>
      <c r="V53" s="148" t="e">
        <f t="shared" si="19"/>
        <v>#REF!</v>
      </c>
      <c r="W53" s="148" t="e">
        <f t="shared" si="19"/>
        <v>#REF!</v>
      </c>
      <c r="X53" s="148" t="e">
        <f t="shared" si="19"/>
        <v>#REF!</v>
      </c>
      <c r="Y53" s="150" t="e">
        <f t="shared" si="15"/>
        <v>#REF!</v>
      </c>
    </row>
    <row r="54" spans="1:25" s="156" customFormat="1" x14ac:dyDescent="0.2">
      <c r="A54" s="152" t="s">
        <v>207</v>
      </c>
      <c r="B54" s="152"/>
      <c r="C54" s="152"/>
      <c r="D54" s="289"/>
      <c r="E54" s="153">
        <f>E30-E44</f>
        <v>0</v>
      </c>
      <c r="F54" s="153">
        <f>F30-F44</f>
        <v>0</v>
      </c>
      <c r="G54" s="153">
        <f t="shared" ref="G54:X54" si="20">G30-G44</f>
        <v>0</v>
      </c>
      <c r="H54" s="153">
        <f t="shared" si="20"/>
        <v>0</v>
      </c>
      <c r="I54" s="153">
        <f t="shared" si="20"/>
        <v>0</v>
      </c>
      <c r="J54" s="153">
        <f t="shared" si="20"/>
        <v>0</v>
      </c>
      <c r="K54" s="153">
        <f t="shared" si="20"/>
        <v>0</v>
      </c>
      <c r="L54" s="153">
        <f t="shared" si="20"/>
        <v>0</v>
      </c>
      <c r="M54" s="153">
        <f t="shared" si="20"/>
        <v>0</v>
      </c>
      <c r="N54" s="153">
        <f t="shared" si="20"/>
        <v>0</v>
      </c>
      <c r="O54" s="153">
        <f t="shared" si="20"/>
        <v>0</v>
      </c>
      <c r="P54" s="153">
        <f t="shared" si="20"/>
        <v>0</v>
      </c>
      <c r="Q54" s="153">
        <f t="shared" si="20"/>
        <v>0</v>
      </c>
      <c r="R54" s="153">
        <f t="shared" si="20"/>
        <v>0</v>
      </c>
      <c r="S54" s="153">
        <f t="shared" si="20"/>
        <v>0</v>
      </c>
      <c r="T54" s="153">
        <f t="shared" si="20"/>
        <v>0</v>
      </c>
      <c r="U54" s="153">
        <f t="shared" si="20"/>
        <v>0</v>
      </c>
      <c r="V54" s="153">
        <f t="shared" si="20"/>
        <v>0</v>
      </c>
      <c r="W54" s="153">
        <f t="shared" si="20"/>
        <v>0</v>
      </c>
      <c r="X54" s="153">
        <f t="shared" si="20"/>
        <v>0</v>
      </c>
      <c r="Y54" s="155">
        <f t="shared" ref="Y54" si="21">SUM(E54:X54)</f>
        <v>0</v>
      </c>
    </row>
    <row r="55" spans="1:25" s="221" customFormat="1" x14ac:dyDescent="0.2">
      <c r="A55" s="217" t="s">
        <v>249</v>
      </c>
      <c r="B55" s="217"/>
      <c r="C55" s="217"/>
      <c r="D55" s="218"/>
      <c r="E55" s="219" t="e">
        <f>E54/E30</f>
        <v>#DIV/0!</v>
      </c>
      <c r="F55" s="219" t="e">
        <f>F54/F30</f>
        <v>#DIV/0!</v>
      </c>
      <c r="G55" s="219" t="e">
        <f t="shared" ref="G55:X55" si="22">G54/G30</f>
        <v>#DIV/0!</v>
      </c>
      <c r="H55" s="219" t="e">
        <f t="shared" si="22"/>
        <v>#DIV/0!</v>
      </c>
      <c r="I55" s="219" t="e">
        <f t="shared" si="22"/>
        <v>#DIV/0!</v>
      </c>
      <c r="J55" s="219" t="e">
        <f t="shared" si="22"/>
        <v>#DIV/0!</v>
      </c>
      <c r="K55" s="219" t="e">
        <f t="shared" si="22"/>
        <v>#DIV/0!</v>
      </c>
      <c r="L55" s="219" t="e">
        <f t="shared" si="22"/>
        <v>#DIV/0!</v>
      </c>
      <c r="M55" s="219" t="e">
        <f t="shared" si="22"/>
        <v>#DIV/0!</v>
      </c>
      <c r="N55" s="219" t="e">
        <f t="shared" si="22"/>
        <v>#DIV/0!</v>
      </c>
      <c r="O55" s="219" t="e">
        <f t="shared" si="22"/>
        <v>#DIV/0!</v>
      </c>
      <c r="P55" s="219" t="e">
        <f t="shared" si="22"/>
        <v>#DIV/0!</v>
      </c>
      <c r="Q55" s="219" t="e">
        <f t="shared" si="22"/>
        <v>#DIV/0!</v>
      </c>
      <c r="R55" s="219" t="e">
        <f t="shared" si="22"/>
        <v>#DIV/0!</v>
      </c>
      <c r="S55" s="219" t="e">
        <f t="shared" si="22"/>
        <v>#DIV/0!</v>
      </c>
      <c r="T55" s="219" t="e">
        <f t="shared" si="22"/>
        <v>#DIV/0!</v>
      </c>
      <c r="U55" s="219" t="e">
        <f t="shared" si="22"/>
        <v>#DIV/0!</v>
      </c>
      <c r="V55" s="219" t="e">
        <f t="shared" si="22"/>
        <v>#DIV/0!</v>
      </c>
      <c r="W55" s="219" t="e">
        <f t="shared" si="22"/>
        <v>#DIV/0!</v>
      </c>
      <c r="X55" s="219" t="e">
        <f t="shared" si="22"/>
        <v>#DIV/0!</v>
      </c>
      <c r="Y55" s="220"/>
    </row>
    <row r="56" spans="1:25" s="156" customFormat="1" x14ac:dyDescent="0.2">
      <c r="A56" s="152" t="s">
        <v>185</v>
      </c>
      <c r="B56" s="152"/>
      <c r="C56" s="152"/>
      <c r="D56" s="175"/>
      <c r="E56" s="153">
        <f>E30/12</f>
        <v>0</v>
      </c>
      <c r="F56" s="153">
        <f>F30/12</f>
        <v>0</v>
      </c>
      <c r="G56" s="153">
        <f t="shared" ref="G56:X56" si="23">G30/12</f>
        <v>0</v>
      </c>
      <c r="H56" s="153">
        <f t="shared" si="23"/>
        <v>0</v>
      </c>
      <c r="I56" s="153">
        <f t="shared" si="23"/>
        <v>0</v>
      </c>
      <c r="J56" s="153">
        <f t="shared" si="23"/>
        <v>0</v>
      </c>
      <c r="K56" s="153">
        <f t="shared" si="23"/>
        <v>0</v>
      </c>
      <c r="L56" s="153">
        <f t="shared" si="23"/>
        <v>0</v>
      </c>
      <c r="M56" s="153">
        <f t="shared" si="23"/>
        <v>0</v>
      </c>
      <c r="N56" s="153">
        <f t="shared" si="23"/>
        <v>0</v>
      </c>
      <c r="O56" s="153">
        <f t="shared" si="23"/>
        <v>0</v>
      </c>
      <c r="P56" s="153">
        <f t="shared" si="23"/>
        <v>0</v>
      </c>
      <c r="Q56" s="153">
        <f t="shared" si="23"/>
        <v>0</v>
      </c>
      <c r="R56" s="153">
        <f t="shared" si="23"/>
        <v>0</v>
      </c>
      <c r="S56" s="153">
        <f t="shared" si="23"/>
        <v>0</v>
      </c>
      <c r="T56" s="153">
        <f t="shared" si="23"/>
        <v>0</v>
      </c>
      <c r="U56" s="153">
        <f t="shared" si="23"/>
        <v>0</v>
      </c>
      <c r="V56" s="153">
        <f t="shared" si="23"/>
        <v>0</v>
      </c>
      <c r="W56" s="153">
        <f t="shared" si="23"/>
        <v>0</v>
      </c>
      <c r="X56" s="153">
        <f t="shared" si="23"/>
        <v>0</v>
      </c>
      <c r="Y56" s="155">
        <f>SUM(E56:X56)</f>
        <v>0</v>
      </c>
    </row>
    <row r="57" spans="1:25" s="156" customFormat="1" x14ac:dyDescent="0.2">
      <c r="A57" s="152" t="s">
        <v>216</v>
      </c>
      <c r="B57" s="152"/>
      <c r="C57" s="152"/>
      <c r="D57" s="153"/>
      <c r="E57" s="153">
        <f>E44/12</f>
        <v>0</v>
      </c>
      <c r="F57" s="153">
        <f>F44/12</f>
        <v>0</v>
      </c>
      <c r="G57" s="153">
        <f t="shared" ref="G57:X57" si="24">G44/12</f>
        <v>0</v>
      </c>
      <c r="H57" s="153">
        <f t="shared" si="24"/>
        <v>0</v>
      </c>
      <c r="I57" s="153">
        <f t="shared" si="24"/>
        <v>0</v>
      </c>
      <c r="J57" s="153">
        <f t="shared" si="24"/>
        <v>0</v>
      </c>
      <c r="K57" s="153">
        <f t="shared" si="24"/>
        <v>0</v>
      </c>
      <c r="L57" s="153">
        <f t="shared" si="24"/>
        <v>0</v>
      </c>
      <c r="M57" s="153">
        <f t="shared" si="24"/>
        <v>0</v>
      </c>
      <c r="N57" s="153">
        <f t="shared" si="24"/>
        <v>0</v>
      </c>
      <c r="O57" s="153">
        <f t="shared" si="24"/>
        <v>0</v>
      </c>
      <c r="P57" s="153">
        <f t="shared" si="24"/>
        <v>0</v>
      </c>
      <c r="Q57" s="153">
        <f t="shared" si="24"/>
        <v>0</v>
      </c>
      <c r="R57" s="153">
        <f t="shared" si="24"/>
        <v>0</v>
      </c>
      <c r="S57" s="153">
        <f t="shared" si="24"/>
        <v>0</v>
      </c>
      <c r="T57" s="153">
        <f t="shared" si="24"/>
        <v>0</v>
      </c>
      <c r="U57" s="153">
        <f t="shared" si="24"/>
        <v>0</v>
      </c>
      <c r="V57" s="153">
        <f t="shared" si="24"/>
        <v>0</v>
      </c>
      <c r="W57" s="153">
        <f t="shared" si="24"/>
        <v>0</v>
      </c>
      <c r="X57" s="153">
        <f t="shared" si="24"/>
        <v>0</v>
      </c>
      <c r="Y57" s="155">
        <f t="shared" ref="Y57:Y59" si="25">SUM(E57:X57)</f>
        <v>0</v>
      </c>
    </row>
    <row r="58" spans="1:25" s="156" customFormat="1" x14ac:dyDescent="0.2">
      <c r="A58" s="152" t="s">
        <v>217</v>
      </c>
      <c r="B58" s="152"/>
      <c r="C58" s="152"/>
      <c r="D58" s="196"/>
      <c r="E58" s="153">
        <f>E56-E57</f>
        <v>0</v>
      </c>
      <c r="F58" s="153">
        <f>F56-F57</f>
        <v>0</v>
      </c>
      <c r="G58" s="153">
        <f t="shared" ref="G58:X58" si="26">G56-G57</f>
        <v>0</v>
      </c>
      <c r="H58" s="153">
        <f t="shared" si="26"/>
        <v>0</v>
      </c>
      <c r="I58" s="153">
        <f t="shared" si="26"/>
        <v>0</v>
      </c>
      <c r="J58" s="153">
        <f t="shared" si="26"/>
        <v>0</v>
      </c>
      <c r="K58" s="153">
        <f t="shared" si="26"/>
        <v>0</v>
      </c>
      <c r="L58" s="153">
        <f t="shared" si="26"/>
        <v>0</v>
      </c>
      <c r="M58" s="153">
        <f t="shared" si="26"/>
        <v>0</v>
      </c>
      <c r="N58" s="153">
        <f t="shared" si="26"/>
        <v>0</v>
      </c>
      <c r="O58" s="153">
        <f t="shared" si="26"/>
        <v>0</v>
      </c>
      <c r="P58" s="153">
        <f t="shared" si="26"/>
        <v>0</v>
      </c>
      <c r="Q58" s="153">
        <f t="shared" si="26"/>
        <v>0</v>
      </c>
      <c r="R58" s="153">
        <f t="shared" si="26"/>
        <v>0</v>
      </c>
      <c r="S58" s="153">
        <f t="shared" si="26"/>
        <v>0</v>
      </c>
      <c r="T58" s="153">
        <f t="shared" si="26"/>
        <v>0</v>
      </c>
      <c r="U58" s="153">
        <f t="shared" si="26"/>
        <v>0</v>
      </c>
      <c r="V58" s="153">
        <f t="shared" si="26"/>
        <v>0</v>
      </c>
      <c r="W58" s="153">
        <f t="shared" si="26"/>
        <v>0</v>
      </c>
      <c r="X58" s="153">
        <f t="shared" si="26"/>
        <v>0</v>
      </c>
      <c r="Y58" s="155">
        <f t="shared" si="25"/>
        <v>0</v>
      </c>
    </row>
    <row r="59" spans="1:25" s="161" customFormat="1" x14ac:dyDescent="0.2">
      <c r="A59" s="157" t="s">
        <v>209</v>
      </c>
      <c r="B59" s="157"/>
      <c r="C59" s="157"/>
      <c r="D59" s="288"/>
      <c r="E59" s="158">
        <f>E31-E45</f>
        <v>0</v>
      </c>
      <c r="F59" s="158">
        <f t="shared" ref="F59:X59" si="27">F31-F45</f>
        <v>0</v>
      </c>
      <c r="G59" s="158">
        <f t="shared" si="27"/>
        <v>0</v>
      </c>
      <c r="H59" s="158">
        <f t="shared" si="27"/>
        <v>0</v>
      </c>
      <c r="I59" s="158">
        <f t="shared" si="27"/>
        <v>0</v>
      </c>
      <c r="J59" s="158">
        <f t="shared" si="27"/>
        <v>0</v>
      </c>
      <c r="K59" s="158">
        <f t="shared" si="27"/>
        <v>0</v>
      </c>
      <c r="L59" s="158">
        <f t="shared" si="27"/>
        <v>0</v>
      </c>
      <c r="M59" s="158">
        <f t="shared" si="27"/>
        <v>0</v>
      </c>
      <c r="N59" s="158">
        <f t="shared" si="27"/>
        <v>0</v>
      </c>
      <c r="O59" s="158">
        <f t="shared" si="27"/>
        <v>0</v>
      </c>
      <c r="P59" s="158">
        <f t="shared" si="27"/>
        <v>0</v>
      </c>
      <c r="Q59" s="158">
        <f t="shared" si="27"/>
        <v>0</v>
      </c>
      <c r="R59" s="158">
        <f t="shared" si="27"/>
        <v>0</v>
      </c>
      <c r="S59" s="158">
        <f t="shared" si="27"/>
        <v>0</v>
      </c>
      <c r="T59" s="158">
        <f t="shared" si="27"/>
        <v>0</v>
      </c>
      <c r="U59" s="158">
        <f t="shared" si="27"/>
        <v>0</v>
      </c>
      <c r="V59" s="158">
        <f t="shared" si="27"/>
        <v>0</v>
      </c>
      <c r="W59" s="158">
        <f t="shared" si="27"/>
        <v>0</v>
      </c>
      <c r="X59" s="158">
        <f t="shared" si="27"/>
        <v>0</v>
      </c>
      <c r="Y59" s="160">
        <f t="shared" si="25"/>
        <v>0</v>
      </c>
    </row>
    <row r="60" spans="1:25" s="216" customFormat="1" x14ac:dyDescent="0.2">
      <c r="A60" s="212" t="s">
        <v>210</v>
      </c>
      <c r="B60" s="212"/>
      <c r="C60" s="212"/>
      <c r="D60" s="213"/>
      <c r="E60" s="214" t="e">
        <f>E59/E31</f>
        <v>#DIV/0!</v>
      </c>
      <c r="F60" s="214" t="e">
        <f t="shared" ref="F60:X60" si="28">F59/F31</f>
        <v>#DIV/0!</v>
      </c>
      <c r="G60" s="214" t="e">
        <f t="shared" si="28"/>
        <v>#DIV/0!</v>
      </c>
      <c r="H60" s="214" t="e">
        <f t="shared" si="28"/>
        <v>#DIV/0!</v>
      </c>
      <c r="I60" s="214" t="e">
        <f t="shared" si="28"/>
        <v>#DIV/0!</v>
      </c>
      <c r="J60" s="214" t="e">
        <f t="shared" si="28"/>
        <v>#DIV/0!</v>
      </c>
      <c r="K60" s="214" t="e">
        <f t="shared" si="28"/>
        <v>#DIV/0!</v>
      </c>
      <c r="L60" s="214" t="e">
        <f t="shared" si="28"/>
        <v>#DIV/0!</v>
      </c>
      <c r="M60" s="214" t="e">
        <f t="shared" si="28"/>
        <v>#DIV/0!</v>
      </c>
      <c r="N60" s="214" t="e">
        <f t="shared" si="28"/>
        <v>#DIV/0!</v>
      </c>
      <c r="O60" s="214" t="e">
        <f t="shared" si="28"/>
        <v>#DIV/0!</v>
      </c>
      <c r="P60" s="214" t="e">
        <f t="shared" si="28"/>
        <v>#DIV/0!</v>
      </c>
      <c r="Q60" s="214" t="e">
        <f t="shared" si="28"/>
        <v>#DIV/0!</v>
      </c>
      <c r="R60" s="214" t="e">
        <f t="shared" si="28"/>
        <v>#DIV/0!</v>
      </c>
      <c r="S60" s="214" t="e">
        <f t="shared" si="28"/>
        <v>#DIV/0!</v>
      </c>
      <c r="T60" s="214" t="e">
        <f t="shared" si="28"/>
        <v>#DIV/0!</v>
      </c>
      <c r="U60" s="214" t="e">
        <f t="shared" si="28"/>
        <v>#DIV/0!</v>
      </c>
      <c r="V60" s="214" t="e">
        <f t="shared" si="28"/>
        <v>#DIV/0!</v>
      </c>
      <c r="W60" s="214" t="e">
        <f t="shared" si="28"/>
        <v>#DIV/0!</v>
      </c>
      <c r="X60" s="214" t="e">
        <f t="shared" si="28"/>
        <v>#DIV/0!</v>
      </c>
      <c r="Y60" s="215"/>
    </row>
    <row r="61" spans="1:25" s="161" customFormat="1" x14ac:dyDescent="0.2">
      <c r="A61" s="157" t="s">
        <v>186</v>
      </c>
      <c r="B61" s="157"/>
      <c r="C61" s="157"/>
      <c r="D61" s="174"/>
      <c r="E61" s="158">
        <f>E31/12</f>
        <v>0</v>
      </c>
      <c r="F61" s="158">
        <f t="shared" ref="F61:X61" si="29">F31/12</f>
        <v>0</v>
      </c>
      <c r="G61" s="158">
        <f t="shared" si="29"/>
        <v>0</v>
      </c>
      <c r="H61" s="158">
        <f t="shared" si="29"/>
        <v>0</v>
      </c>
      <c r="I61" s="158">
        <f t="shared" si="29"/>
        <v>0</v>
      </c>
      <c r="J61" s="158">
        <f t="shared" si="29"/>
        <v>0</v>
      </c>
      <c r="K61" s="158">
        <f t="shared" si="29"/>
        <v>0</v>
      </c>
      <c r="L61" s="158">
        <f t="shared" si="29"/>
        <v>0</v>
      </c>
      <c r="M61" s="158">
        <f t="shared" si="29"/>
        <v>0</v>
      </c>
      <c r="N61" s="158">
        <f t="shared" si="29"/>
        <v>0</v>
      </c>
      <c r="O61" s="158">
        <f t="shared" si="29"/>
        <v>0</v>
      </c>
      <c r="P61" s="158">
        <f t="shared" si="29"/>
        <v>0</v>
      </c>
      <c r="Q61" s="158">
        <f t="shared" si="29"/>
        <v>0</v>
      </c>
      <c r="R61" s="158">
        <f t="shared" si="29"/>
        <v>0</v>
      </c>
      <c r="S61" s="158">
        <f t="shared" si="29"/>
        <v>0</v>
      </c>
      <c r="T61" s="158">
        <f t="shared" si="29"/>
        <v>0</v>
      </c>
      <c r="U61" s="158">
        <f t="shared" si="29"/>
        <v>0</v>
      </c>
      <c r="V61" s="158">
        <f t="shared" si="29"/>
        <v>0</v>
      </c>
      <c r="W61" s="158">
        <f t="shared" si="29"/>
        <v>0</v>
      </c>
      <c r="X61" s="158">
        <f t="shared" si="29"/>
        <v>0</v>
      </c>
      <c r="Y61" s="160">
        <f>SUM(E61:X61)</f>
        <v>0</v>
      </c>
    </row>
    <row r="62" spans="1:25" s="161" customFormat="1" x14ac:dyDescent="0.2">
      <c r="A62" s="157" t="s">
        <v>218</v>
      </c>
      <c r="B62" s="157"/>
      <c r="C62" s="157"/>
      <c r="D62" s="158"/>
      <c r="E62" s="158">
        <f>E45/12</f>
        <v>0</v>
      </c>
      <c r="F62" s="158">
        <f t="shared" ref="F62:X62" si="30">F45/12</f>
        <v>0</v>
      </c>
      <c r="G62" s="158">
        <f t="shared" si="30"/>
        <v>0</v>
      </c>
      <c r="H62" s="158">
        <f t="shared" si="30"/>
        <v>0</v>
      </c>
      <c r="I62" s="158">
        <f t="shared" si="30"/>
        <v>0</v>
      </c>
      <c r="J62" s="158">
        <f t="shared" si="30"/>
        <v>0</v>
      </c>
      <c r="K62" s="158">
        <f t="shared" si="30"/>
        <v>0</v>
      </c>
      <c r="L62" s="158">
        <f t="shared" si="30"/>
        <v>0</v>
      </c>
      <c r="M62" s="158">
        <f t="shared" si="30"/>
        <v>0</v>
      </c>
      <c r="N62" s="158">
        <f t="shared" si="30"/>
        <v>0</v>
      </c>
      <c r="O62" s="158">
        <f t="shared" si="30"/>
        <v>0</v>
      </c>
      <c r="P62" s="158">
        <f t="shared" si="30"/>
        <v>0</v>
      </c>
      <c r="Q62" s="158">
        <f t="shared" si="30"/>
        <v>0</v>
      </c>
      <c r="R62" s="158">
        <f t="shared" si="30"/>
        <v>0</v>
      </c>
      <c r="S62" s="158">
        <f t="shared" si="30"/>
        <v>0</v>
      </c>
      <c r="T62" s="158">
        <f t="shared" si="30"/>
        <v>0</v>
      </c>
      <c r="U62" s="158">
        <f t="shared" si="30"/>
        <v>0</v>
      </c>
      <c r="V62" s="158">
        <f t="shared" si="30"/>
        <v>0</v>
      </c>
      <c r="W62" s="158">
        <f t="shared" si="30"/>
        <v>0</v>
      </c>
      <c r="X62" s="158">
        <f t="shared" si="30"/>
        <v>0</v>
      </c>
      <c r="Y62" s="160">
        <f t="shared" ref="Y62:Y64" si="31">SUM(E62:X62)</f>
        <v>0</v>
      </c>
    </row>
    <row r="63" spans="1:25" s="161" customFormat="1" x14ac:dyDescent="0.2">
      <c r="A63" s="157" t="s">
        <v>219</v>
      </c>
      <c r="B63" s="157"/>
      <c r="C63" s="157"/>
      <c r="D63" s="195"/>
      <c r="E63" s="158">
        <f>E61-E62</f>
        <v>0</v>
      </c>
      <c r="F63" s="158">
        <f t="shared" ref="F63:X63" si="32">F61-F62</f>
        <v>0</v>
      </c>
      <c r="G63" s="158">
        <f t="shared" si="32"/>
        <v>0</v>
      </c>
      <c r="H63" s="158">
        <f t="shared" si="32"/>
        <v>0</v>
      </c>
      <c r="I63" s="158">
        <f t="shared" si="32"/>
        <v>0</v>
      </c>
      <c r="J63" s="158">
        <f t="shared" si="32"/>
        <v>0</v>
      </c>
      <c r="K63" s="158">
        <f t="shared" si="32"/>
        <v>0</v>
      </c>
      <c r="L63" s="158">
        <f t="shared" si="32"/>
        <v>0</v>
      </c>
      <c r="M63" s="158">
        <f t="shared" si="32"/>
        <v>0</v>
      </c>
      <c r="N63" s="158">
        <f t="shared" si="32"/>
        <v>0</v>
      </c>
      <c r="O63" s="158">
        <f t="shared" si="32"/>
        <v>0</v>
      </c>
      <c r="P63" s="158">
        <f t="shared" si="32"/>
        <v>0</v>
      </c>
      <c r="Q63" s="158">
        <f t="shared" si="32"/>
        <v>0</v>
      </c>
      <c r="R63" s="158">
        <f t="shared" si="32"/>
        <v>0</v>
      </c>
      <c r="S63" s="158">
        <f t="shared" si="32"/>
        <v>0</v>
      </c>
      <c r="T63" s="158">
        <f t="shared" si="32"/>
        <v>0</v>
      </c>
      <c r="U63" s="158">
        <f t="shared" si="32"/>
        <v>0</v>
      </c>
      <c r="V63" s="158">
        <f t="shared" si="32"/>
        <v>0</v>
      </c>
      <c r="W63" s="158">
        <f t="shared" si="32"/>
        <v>0</v>
      </c>
      <c r="X63" s="158">
        <f t="shared" si="32"/>
        <v>0</v>
      </c>
      <c r="Y63" s="160">
        <f t="shared" si="31"/>
        <v>0</v>
      </c>
    </row>
    <row r="64" spans="1:25" s="171" customFormat="1" x14ac:dyDescent="0.2">
      <c r="A64" s="167" t="s">
        <v>211</v>
      </c>
      <c r="B64" s="167"/>
      <c r="C64" s="167"/>
      <c r="D64" s="287"/>
      <c r="E64" s="168">
        <f>E32-E46</f>
        <v>0</v>
      </c>
      <c r="F64" s="168">
        <f t="shared" ref="F64:X64" si="33">F32-F46</f>
        <v>0</v>
      </c>
      <c r="G64" s="168">
        <f t="shared" si="33"/>
        <v>0</v>
      </c>
      <c r="H64" s="168">
        <f t="shared" si="33"/>
        <v>0</v>
      </c>
      <c r="I64" s="168">
        <f t="shared" si="33"/>
        <v>0</v>
      </c>
      <c r="J64" s="168">
        <f t="shared" si="33"/>
        <v>0</v>
      </c>
      <c r="K64" s="168">
        <f t="shared" si="33"/>
        <v>0</v>
      </c>
      <c r="L64" s="168">
        <f t="shared" si="33"/>
        <v>0</v>
      </c>
      <c r="M64" s="168">
        <f t="shared" si="33"/>
        <v>0</v>
      </c>
      <c r="N64" s="168">
        <f t="shared" si="33"/>
        <v>0</v>
      </c>
      <c r="O64" s="168">
        <f t="shared" si="33"/>
        <v>0</v>
      </c>
      <c r="P64" s="168">
        <f t="shared" si="33"/>
        <v>0</v>
      </c>
      <c r="Q64" s="168">
        <f t="shared" si="33"/>
        <v>0</v>
      </c>
      <c r="R64" s="168">
        <f t="shared" si="33"/>
        <v>0</v>
      </c>
      <c r="S64" s="168">
        <f t="shared" si="33"/>
        <v>0</v>
      </c>
      <c r="T64" s="168">
        <f t="shared" si="33"/>
        <v>0</v>
      </c>
      <c r="U64" s="168">
        <f t="shared" si="33"/>
        <v>0</v>
      </c>
      <c r="V64" s="168">
        <f t="shared" si="33"/>
        <v>0</v>
      </c>
      <c r="W64" s="168">
        <f t="shared" si="33"/>
        <v>0</v>
      </c>
      <c r="X64" s="168">
        <f t="shared" si="33"/>
        <v>0</v>
      </c>
      <c r="Y64" s="170">
        <f t="shared" si="31"/>
        <v>0</v>
      </c>
    </row>
    <row r="65" spans="1:25" s="211" customFormat="1" x14ac:dyDescent="0.2">
      <c r="A65" s="207" t="s">
        <v>212</v>
      </c>
      <c r="B65" s="207"/>
      <c r="C65" s="207"/>
      <c r="D65" s="208"/>
      <c r="E65" s="209" t="e">
        <f>E64/E32</f>
        <v>#DIV/0!</v>
      </c>
      <c r="F65" s="209" t="e">
        <f t="shared" ref="F65:X65" si="34">F64/F32</f>
        <v>#DIV/0!</v>
      </c>
      <c r="G65" s="209" t="e">
        <f t="shared" si="34"/>
        <v>#DIV/0!</v>
      </c>
      <c r="H65" s="209" t="e">
        <f t="shared" si="34"/>
        <v>#DIV/0!</v>
      </c>
      <c r="I65" s="209" t="e">
        <f t="shared" si="34"/>
        <v>#DIV/0!</v>
      </c>
      <c r="J65" s="209" t="e">
        <f t="shared" si="34"/>
        <v>#DIV/0!</v>
      </c>
      <c r="K65" s="209" t="e">
        <f t="shared" si="34"/>
        <v>#DIV/0!</v>
      </c>
      <c r="L65" s="209" t="e">
        <f t="shared" si="34"/>
        <v>#DIV/0!</v>
      </c>
      <c r="M65" s="209" t="e">
        <f t="shared" si="34"/>
        <v>#DIV/0!</v>
      </c>
      <c r="N65" s="209" t="e">
        <f t="shared" si="34"/>
        <v>#DIV/0!</v>
      </c>
      <c r="O65" s="209" t="e">
        <f t="shared" si="34"/>
        <v>#DIV/0!</v>
      </c>
      <c r="P65" s="209" t="e">
        <f t="shared" si="34"/>
        <v>#DIV/0!</v>
      </c>
      <c r="Q65" s="209" t="e">
        <f t="shared" si="34"/>
        <v>#DIV/0!</v>
      </c>
      <c r="R65" s="209" t="e">
        <f t="shared" si="34"/>
        <v>#DIV/0!</v>
      </c>
      <c r="S65" s="209" t="e">
        <f t="shared" si="34"/>
        <v>#DIV/0!</v>
      </c>
      <c r="T65" s="209" t="e">
        <f t="shared" si="34"/>
        <v>#DIV/0!</v>
      </c>
      <c r="U65" s="209" t="e">
        <f t="shared" si="34"/>
        <v>#DIV/0!</v>
      </c>
      <c r="V65" s="209" t="e">
        <f t="shared" si="34"/>
        <v>#DIV/0!</v>
      </c>
      <c r="W65" s="209" t="e">
        <f t="shared" si="34"/>
        <v>#DIV/0!</v>
      </c>
      <c r="X65" s="209" t="e">
        <f t="shared" si="34"/>
        <v>#DIV/0!</v>
      </c>
      <c r="Y65" s="210"/>
    </row>
    <row r="66" spans="1:25" s="171" customFormat="1" x14ac:dyDescent="0.2">
      <c r="A66" s="167" t="s">
        <v>187</v>
      </c>
      <c r="B66" s="167"/>
      <c r="C66" s="167"/>
      <c r="D66" s="177"/>
      <c r="E66" s="168">
        <f>E32/12</f>
        <v>0</v>
      </c>
      <c r="F66" s="168">
        <f t="shared" ref="F66:X66" si="35">F32/12</f>
        <v>0</v>
      </c>
      <c r="G66" s="168">
        <f t="shared" si="35"/>
        <v>0</v>
      </c>
      <c r="H66" s="168">
        <f t="shared" si="35"/>
        <v>0</v>
      </c>
      <c r="I66" s="168">
        <f t="shared" si="35"/>
        <v>0</v>
      </c>
      <c r="J66" s="168">
        <f t="shared" si="35"/>
        <v>0</v>
      </c>
      <c r="K66" s="168">
        <f t="shared" si="35"/>
        <v>0</v>
      </c>
      <c r="L66" s="168">
        <f t="shared" si="35"/>
        <v>0</v>
      </c>
      <c r="M66" s="168">
        <f t="shared" si="35"/>
        <v>0</v>
      </c>
      <c r="N66" s="168">
        <f t="shared" si="35"/>
        <v>0</v>
      </c>
      <c r="O66" s="168">
        <f t="shared" si="35"/>
        <v>0</v>
      </c>
      <c r="P66" s="168">
        <f t="shared" si="35"/>
        <v>0</v>
      </c>
      <c r="Q66" s="168">
        <f t="shared" si="35"/>
        <v>0</v>
      </c>
      <c r="R66" s="168">
        <f t="shared" si="35"/>
        <v>0</v>
      </c>
      <c r="S66" s="168">
        <f t="shared" si="35"/>
        <v>0</v>
      </c>
      <c r="T66" s="168">
        <f t="shared" si="35"/>
        <v>0</v>
      </c>
      <c r="U66" s="168">
        <f t="shared" si="35"/>
        <v>0</v>
      </c>
      <c r="V66" s="168">
        <f t="shared" si="35"/>
        <v>0</v>
      </c>
      <c r="W66" s="168">
        <f t="shared" si="35"/>
        <v>0</v>
      </c>
      <c r="X66" s="168">
        <f t="shared" si="35"/>
        <v>0</v>
      </c>
      <c r="Y66" s="170">
        <f>SUM(E66:X66)</f>
        <v>0</v>
      </c>
    </row>
    <row r="67" spans="1:25" s="171" customFormat="1" x14ac:dyDescent="0.2">
      <c r="A67" s="167" t="s">
        <v>220</v>
      </c>
      <c r="B67" s="167"/>
      <c r="C67" s="167"/>
      <c r="D67" s="168"/>
      <c r="E67" s="168">
        <f>E46/12</f>
        <v>0</v>
      </c>
      <c r="F67" s="168">
        <f t="shared" ref="F67:X67" si="36">F46/12</f>
        <v>0</v>
      </c>
      <c r="G67" s="168">
        <f t="shared" si="36"/>
        <v>0</v>
      </c>
      <c r="H67" s="168">
        <f t="shared" si="36"/>
        <v>0</v>
      </c>
      <c r="I67" s="168">
        <f t="shared" si="36"/>
        <v>0</v>
      </c>
      <c r="J67" s="168">
        <f t="shared" si="36"/>
        <v>0</v>
      </c>
      <c r="K67" s="168">
        <f t="shared" si="36"/>
        <v>0</v>
      </c>
      <c r="L67" s="168">
        <f t="shared" si="36"/>
        <v>0</v>
      </c>
      <c r="M67" s="168">
        <f t="shared" si="36"/>
        <v>0</v>
      </c>
      <c r="N67" s="168">
        <f t="shared" si="36"/>
        <v>0</v>
      </c>
      <c r="O67" s="168">
        <f t="shared" si="36"/>
        <v>0</v>
      </c>
      <c r="P67" s="168">
        <f t="shared" si="36"/>
        <v>0</v>
      </c>
      <c r="Q67" s="168">
        <f t="shared" si="36"/>
        <v>0</v>
      </c>
      <c r="R67" s="168">
        <f t="shared" si="36"/>
        <v>0</v>
      </c>
      <c r="S67" s="168">
        <f t="shared" si="36"/>
        <v>0</v>
      </c>
      <c r="T67" s="168">
        <f t="shared" si="36"/>
        <v>0</v>
      </c>
      <c r="U67" s="168">
        <f t="shared" si="36"/>
        <v>0</v>
      </c>
      <c r="V67" s="168">
        <f t="shared" si="36"/>
        <v>0</v>
      </c>
      <c r="W67" s="168">
        <f t="shared" si="36"/>
        <v>0</v>
      </c>
      <c r="X67" s="168">
        <f t="shared" si="36"/>
        <v>0</v>
      </c>
      <c r="Y67" s="170">
        <f t="shared" ref="Y67:Y69" si="37">SUM(E67:X67)</f>
        <v>0</v>
      </c>
    </row>
    <row r="68" spans="1:25" s="171" customFormat="1" x14ac:dyDescent="0.2">
      <c r="A68" s="167" t="s">
        <v>221</v>
      </c>
      <c r="B68" s="167"/>
      <c r="C68" s="167"/>
      <c r="D68" s="194"/>
      <c r="E68" s="168">
        <f>E66-E67</f>
        <v>0</v>
      </c>
      <c r="F68" s="168">
        <f t="shared" ref="F68:X68" si="38">F66-F67</f>
        <v>0</v>
      </c>
      <c r="G68" s="168">
        <f t="shared" si="38"/>
        <v>0</v>
      </c>
      <c r="H68" s="168">
        <f t="shared" si="38"/>
        <v>0</v>
      </c>
      <c r="I68" s="168">
        <f t="shared" si="38"/>
        <v>0</v>
      </c>
      <c r="J68" s="168">
        <f t="shared" si="38"/>
        <v>0</v>
      </c>
      <c r="K68" s="168">
        <f t="shared" si="38"/>
        <v>0</v>
      </c>
      <c r="L68" s="168">
        <f t="shared" si="38"/>
        <v>0</v>
      </c>
      <c r="M68" s="168">
        <f t="shared" si="38"/>
        <v>0</v>
      </c>
      <c r="N68" s="168">
        <f t="shared" si="38"/>
        <v>0</v>
      </c>
      <c r="O68" s="168">
        <f t="shared" si="38"/>
        <v>0</v>
      </c>
      <c r="P68" s="168">
        <f t="shared" si="38"/>
        <v>0</v>
      </c>
      <c r="Q68" s="168">
        <f t="shared" si="38"/>
        <v>0</v>
      </c>
      <c r="R68" s="168">
        <f t="shared" si="38"/>
        <v>0</v>
      </c>
      <c r="S68" s="168">
        <f t="shared" si="38"/>
        <v>0</v>
      </c>
      <c r="T68" s="168">
        <f t="shared" si="38"/>
        <v>0</v>
      </c>
      <c r="U68" s="168">
        <f t="shared" si="38"/>
        <v>0</v>
      </c>
      <c r="V68" s="168">
        <f t="shared" si="38"/>
        <v>0</v>
      </c>
      <c r="W68" s="168">
        <f t="shared" si="38"/>
        <v>0</v>
      </c>
      <c r="X68" s="168">
        <f t="shared" si="38"/>
        <v>0</v>
      </c>
      <c r="Y68" s="170">
        <f t="shared" si="37"/>
        <v>0</v>
      </c>
    </row>
    <row r="69" spans="1:25" s="166" customFormat="1" x14ac:dyDescent="0.2">
      <c r="A69" s="162" t="s">
        <v>213</v>
      </c>
      <c r="B69" s="162"/>
      <c r="C69" s="162"/>
      <c r="D69" s="286"/>
      <c r="E69" s="163">
        <f>E33-E47</f>
        <v>0</v>
      </c>
      <c r="F69" s="163">
        <f t="shared" ref="F69:X69" si="39">F33-F47</f>
        <v>0</v>
      </c>
      <c r="G69" s="163">
        <f t="shared" si="39"/>
        <v>0</v>
      </c>
      <c r="H69" s="163">
        <f t="shared" si="39"/>
        <v>0</v>
      </c>
      <c r="I69" s="163">
        <f t="shared" si="39"/>
        <v>0</v>
      </c>
      <c r="J69" s="163">
        <f t="shared" si="39"/>
        <v>0</v>
      </c>
      <c r="K69" s="163">
        <f t="shared" si="39"/>
        <v>0</v>
      </c>
      <c r="L69" s="163">
        <f t="shared" si="39"/>
        <v>0</v>
      </c>
      <c r="M69" s="163">
        <f t="shared" si="39"/>
        <v>0</v>
      </c>
      <c r="N69" s="163">
        <f t="shared" si="39"/>
        <v>0</v>
      </c>
      <c r="O69" s="163">
        <f t="shared" si="39"/>
        <v>0</v>
      </c>
      <c r="P69" s="163">
        <f t="shared" si="39"/>
        <v>0</v>
      </c>
      <c r="Q69" s="163">
        <f t="shared" si="39"/>
        <v>0</v>
      </c>
      <c r="R69" s="163">
        <f t="shared" si="39"/>
        <v>0</v>
      </c>
      <c r="S69" s="163">
        <f t="shared" si="39"/>
        <v>0</v>
      </c>
      <c r="T69" s="163">
        <f t="shared" si="39"/>
        <v>0</v>
      </c>
      <c r="U69" s="163">
        <f t="shared" si="39"/>
        <v>0</v>
      </c>
      <c r="V69" s="163">
        <f t="shared" si="39"/>
        <v>0</v>
      </c>
      <c r="W69" s="163">
        <f t="shared" si="39"/>
        <v>0</v>
      </c>
      <c r="X69" s="163">
        <f t="shared" si="39"/>
        <v>0</v>
      </c>
      <c r="Y69" s="165">
        <f t="shared" si="37"/>
        <v>0</v>
      </c>
    </row>
    <row r="70" spans="1:25" s="206" customFormat="1" x14ac:dyDescent="0.2">
      <c r="A70" s="202" t="s">
        <v>214</v>
      </c>
      <c r="B70" s="202"/>
      <c r="C70" s="202"/>
      <c r="D70" s="203"/>
      <c r="E70" s="204" t="e">
        <f>E69/E33</f>
        <v>#DIV/0!</v>
      </c>
      <c r="F70" s="204" t="e">
        <f t="shared" ref="F70:X70" si="40">F69/F33</f>
        <v>#DIV/0!</v>
      </c>
      <c r="G70" s="204" t="e">
        <f t="shared" si="40"/>
        <v>#DIV/0!</v>
      </c>
      <c r="H70" s="204" t="e">
        <f t="shared" si="40"/>
        <v>#DIV/0!</v>
      </c>
      <c r="I70" s="204" t="e">
        <f t="shared" si="40"/>
        <v>#DIV/0!</v>
      </c>
      <c r="J70" s="204" t="e">
        <f t="shared" si="40"/>
        <v>#DIV/0!</v>
      </c>
      <c r="K70" s="204" t="e">
        <f t="shared" si="40"/>
        <v>#DIV/0!</v>
      </c>
      <c r="L70" s="204" t="e">
        <f t="shared" si="40"/>
        <v>#DIV/0!</v>
      </c>
      <c r="M70" s="204" t="e">
        <f t="shared" si="40"/>
        <v>#DIV/0!</v>
      </c>
      <c r="N70" s="204" t="e">
        <f t="shared" si="40"/>
        <v>#DIV/0!</v>
      </c>
      <c r="O70" s="204" t="e">
        <f t="shared" si="40"/>
        <v>#DIV/0!</v>
      </c>
      <c r="P70" s="204" t="e">
        <f t="shared" si="40"/>
        <v>#DIV/0!</v>
      </c>
      <c r="Q70" s="204" t="e">
        <f t="shared" si="40"/>
        <v>#DIV/0!</v>
      </c>
      <c r="R70" s="204" t="e">
        <f t="shared" si="40"/>
        <v>#DIV/0!</v>
      </c>
      <c r="S70" s="204" t="e">
        <f t="shared" si="40"/>
        <v>#DIV/0!</v>
      </c>
      <c r="T70" s="204" t="e">
        <f t="shared" si="40"/>
        <v>#DIV/0!</v>
      </c>
      <c r="U70" s="204" t="e">
        <f t="shared" si="40"/>
        <v>#DIV/0!</v>
      </c>
      <c r="V70" s="204" t="e">
        <f t="shared" si="40"/>
        <v>#DIV/0!</v>
      </c>
      <c r="W70" s="204" t="e">
        <f t="shared" si="40"/>
        <v>#DIV/0!</v>
      </c>
      <c r="X70" s="204" t="e">
        <f t="shared" si="40"/>
        <v>#DIV/0!</v>
      </c>
      <c r="Y70" s="205"/>
    </row>
    <row r="71" spans="1:25" s="166" customFormat="1" x14ac:dyDescent="0.2">
      <c r="A71" s="162" t="s">
        <v>188</v>
      </c>
      <c r="B71" s="162"/>
      <c r="C71" s="162"/>
      <c r="D71" s="173"/>
      <c r="E71" s="163">
        <f>E33/12</f>
        <v>0</v>
      </c>
      <c r="F71" s="163">
        <f t="shared" ref="F71:X71" si="41">F33/12</f>
        <v>0</v>
      </c>
      <c r="G71" s="163">
        <f t="shared" si="41"/>
        <v>0</v>
      </c>
      <c r="H71" s="163">
        <f t="shared" si="41"/>
        <v>0</v>
      </c>
      <c r="I71" s="163">
        <f t="shared" si="41"/>
        <v>0</v>
      </c>
      <c r="J71" s="163">
        <f t="shared" si="41"/>
        <v>0</v>
      </c>
      <c r="K71" s="163">
        <f t="shared" si="41"/>
        <v>0</v>
      </c>
      <c r="L71" s="163">
        <f t="shared" si="41"/>
        <v>0</v>
      </c>
      <c r="M71" s="163">
        <f t="shared" si="41"/>
        <v>0</v>
      </c>
      <c r="N71" s="163">
        <f t="shared" si="41"/>
        <v>0</v>
      </c>
      <c r="O71" s="163">
        <f t="shared" si="41"/>
        <v>0</v>
      </c>
      <c r="P71" s="163">
        <f t="shared" si="41"/>
        <v>0</v>
      </c>
      <c r="Q71" s="163">
        <f t="shared" si="41"/>
        <v>0</v>
      </c>
      <c r="R71" s="163">
        <f t="shared" si="41"/>
        <v>0</v>
      </c>
      <c r="S71" s="163">
        <f t="shared" si="41"/>
        <v>0</v>
      </c>
      <c r="T71" s="163">
        <f t="shared" si="41"/>
        <v>0</v>
      </c>
      <c r="U71" s="163">
        <f t="shared" si="41"/>
        <v>0</v>
      </c>
      <c r="V71" s="163">
        <f t="shared" si="41"/>
        <v>0</v>
      </c>
      <c r="W71" s="163">
        <f t="shared" si="41"/>
        <v>0</v>
      </c>
      <c r="X71" s="163">
        <f t="shared" si="41"/>
        <v>0</v>
      </c>
      <c r="Y71" s="165">
        <f>SUM(E71:X71)</f>
        <v>0</v>
      </c>
    </row>
    <row r="72" spans="1:25" s="166" customFormat="1" x14ac:dyDescent="0.2">
      <c r="A72" s="162" t="s">
        <v>222</v>
      </c>
      <c r="B72" s="162"/>
      <c r="C72" s="162"/>
      <c r="D72" s="163"/>
      <c r="E72" s="163">
        <f>E47/12</f>
        <v>0</v>
      </c>
      <c r="F72" s="163">
        <f t="shared" ref="F72:X72" si="42">F47/12</f>
        <v>0</v>
      </c>
      <c r="G72" s="163">
        <f t="shared" si="42"/>
        <v>0</v>
      </c>
      <c r="H72" s="163">
        <f t="shared" si="42"/>
        <v>0</v>
      </c>
      <c r="I72" s="163">
        <f t="shared" si="42"/>
        <v>0</v>
      </c>
      <c r="J72" s="163">
        <f t="shared" si="42"/>
        <v>0</v>
      </c>
      <c r="K72" s="163">
        <f t="shared" si="42"/>
        <v>0</v>
      </c>
      <c r="L72" s="163">
        <f t="shared" si="42"/>
        <v>0</v>
      </c>
      <c r="M72" s="163">
        <f t="shared" si="42"/>
        <v>0</v>
      </c>
      <c r="N72" s="163">
        <f t="shared" si="42"/>
        <v>0</v>
      </c>
      <c r="O72" s="163">
        <f t="shared" si="42"/>
        <v>0</v>
      </c>
      <c r="P72" s="163">
        <f t="shared" si="42"/>
        <v>0</v>
      </c>
      <c r="Q72" s="163">
        <f t="shared" si="42"/>
        <v>0</v>
      </c>
      <c r="R72" s="163">
        <f t="shared" si="42"/>
        <v>0</v>
      </c>
      <c r="S72" s="163">
        <f t="shared" si="42"/>
        <v>0</v>
      </c>
      <c r="T72" s="163">
        <f t="shared" si="42"/>
        <v>0</v>
      </c>
      <c r="U72" s="163">
        <f t="shared" si="42"/>
        <v>0</v>
      </c>
      <c r="V72" s="163">
        <f t="shared" si="42"/>
        <v>0</v>
      </c>
      <c r="W72" s="163">
        <f t="shared" si="42"/>
        <v>0</v>
      </c>
      <c r="X72" s="163">
        <f t="shared" si="42"/>
        <v>0</v>
      </c>
      <c r="Y72" s="165">
        <f t="shared" ref="Y72:Y73" si="43">SUM(E72:X72)</f>
        <v>0</v>
      </c>
    </row>
    <row r="73" spans="1:25" s="166" customFormat="1" x14ac:dyDescent="0.2">
      <c r="A73" s="162" t="s">
        <v>223</v>
      </c>
      <c r="B73" s="162"/>
      <c r="C73" s="162"/>
      <c r="D73" s="192"/>
      <c r="E73" s="163">
        <f>E71-E72</f>
        <v>0</v>
      </c>
      <c r="F73" s="163">
        <f t="shared" ref="F73:X73" si="44">F71-F72</f>
        <v>0</v>
      </c>
      <c r="G73" s="163">
        <f t="shared" si="44"/>
        <v>0</v>
      </c>
      <c r="H73" s="163">
        <f t="shared" si="44"/>
        <v>0</v>
      </c>
      <c r="I73" s="163">
        <f t="shared" si="44"/>
        <v>0</v>
      </c>
      <c r="J73" s="163">
        <f t="shared" si="44"/>
        <v>0</v>
      </c>
      <c r="K73" s="163">
        <f t="shared" si="44"/>
        <v>0</v>
      </c>
      <c r="L73" s="163">
        <f t="shared" si="44"/>
        <v>0</v>
      </c>
      <c r="M73" s="163">
        <f t="shared" si="44"/>
        <v>0</v>
      </c>
      <c r="N73" s="163">
        <f t="shared" si="44"/>
        <v>0</v>
      </c>
      <c r="O73" s="163">
        <f t="shared" si="44"/>
        <v>0</v>
      </c>
      <c r="P73" s="163">
        <f t="shared" si="44"/>
        <v>0</v>
      </c>
      <c r="Q73" s="163">
        <f t="shared" si="44"/>
        <v>0</v>
      </c>
      <c r="R73" s="163">
        <f t="shared" si="44"/>
        <v>0</v>
      </c>
      <c r="S73" s="163">
        <f t="shared" si="44"/>
        <v>0</v>
      </c>
      <c r="T73" s="163">
        <f t="shared" si="44"/>
        <v>0</v>
      </c>
      <c r="U73" s="163">
        <f t="shared" si="44"/>
        <v>0</v>
      </c>
      <c r="V73" s="163">
        <f t="shared" si="44"/>
        <v>0</v>
      </c>
      <c r="W73" s="163">
        <f t="shared" si="44"/>
        <v>0</v>
      </c>
      <c r="X73" s="163">
        <f t="shared" si="44"/>
        <v>0</v>
      </c>
      <c r="Y73" s="165">
        <f t="shared" si="43"/>
        <v>0</v>
      </c>
    </row>
    <row r="74" spans="1:25" s="14" customFormat="1" ht="13" x14ac:dyDescent="0.15">
      <c r="K74" s="40"/>
    </row>
    <row r="75" spans="1:25" s="14" customFormat="1" ht="13" x14ac:dyDescent="0.15">
      <c r="K75" s="40"/>
    </row>
    <row r="76" spans="1:25" s="65" customFormat="1" x14ac:dyDescent="0.2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</row>
    <row r="77" spans="1:25" s="24" customFormat="1" x14ac:dyDescent="0.2">
      <c r="A77" s="272"/>
      <c r="F77" s="280"/>
      <c r="H77" s="282"/>
      <c r="J77" s="40"/>
      <c r="K77" s="40"/>
    </row>
    <row r="78" spans="1:25" s="24" customFormat="1" ht="13" x14ac:dyDescent="0.15">
      <c r="A78" s="272"/>
      <c r="J78" s="40"/>
      <c r="K78" s="40"/>
    </row>
    <row r="79" spans="1:25" s="24" customFormat="1" x14ac:dyDescent="0.2">
      <c r="A79" s="272"/>
      <c r="F79" s="275"/>
      <c r="H79" s="276"/>
      <c r="J79" s="40"/>
      <c r="K79" s="40"/>
    </row>
    <row r="80" spans="1:25" s="24" customFormat="1" ht="13" x14ac:dyDescent="0.15">
      <c r="J80" s="40"/>
      <c r="K80" s="40"/>
    </row>
    <row r="81" spans="1:25" s="24" customFormat="1" x14ac:dyDescent="0.2">
      <c r="A81" s="272"/>
      <c r="H81" s="230"/>
      <c r="I81" s="283"/>
      <c r="J81" s="40"/>
      <c r="K81" s="40"/>
    </row>
    <row r="82" spans="1:25" s="24" customFormat="1" ht="13" x14ac:dyDescent="0.15">
      <c r="A82" s="272"/>
      <c r="H82" s="230"/>
      <c r="J82" s="40"/>
      <c r="K82" s="40"/>
    </row>
    <row r="83" spans="1:25" s="65" customFormat="1" x14ac:dyDescent="0.2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</row>
  </sheetData>
  <sheetProtection algorithmName="SHA-512" hashValue="gij/N0g6pzYYM+O8aS/wIn7B+N6NXnu5fpbIdzFbIpXTfhO50hp2nGb00okYWBYrN2SdeFZg23fF1nm6KVTRGg==" saltValue="WhBh+cusf/18jKHEe+3P1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"/>
  <sheetViews>
    <sheetView topLeftCell="A10" workbookViewId="0">
      <selection activeCell="E45" sqref="E45"/>
    </sheetView>
  </sheetViews>
  <sheetFormatPr baseColWidth="10" defaultColWidth="8.83203125" defaultRowHeight="15" x14ac:dyDescent="0.2"/>
  <cols>
    <col min="1" max="1" width="17.1640625" style="44" customWidth="1"/>
    <col min="2" max="2" width="10.5" style="44" customWidth="1"/>
    <col min="3" max="3" width="10.83203125" style="44" customWidth="1"/>
    <col min="4" max="4" width="16.5" style="44" customWidth="1"/>
    <col min="5" max="5" width="12.5" style="44" bestFit="1" customWidth="1"/>
    <col min="6" max="6" width="15.83203125" style="44" customWidth="1"/>
    <col min="7" max="7" width="12.5" style="44" bestFit="1" customWidth="1"/>
    <col min="8" max="8" width="14.1640625" style="44" bestFit="1" customWidth="1"/>
    <col min="9" max="9" width="12.5" style="44" bestFit="1" customWidth="1"/>
    <col min="10" max="10" width="14.5" style="44" customWidth="1"/>
    <col min="11" max="11" width="14.1640625" style="44" bestFit="1" customWidth="1"/>
    <col min="12" max="23" width="12.5" style="44" bestFit="1" customWidth="1"/>
    <col min="24" max="24" width="14.1640625" style="44" bestFit="1" customWidth="1"/>
    <col min="25" max="25" width="15.1640625" style="44" bestFit="1" customWidth="1"/>
    <col min="26" max="27" width="11.1640625" bestFit="1" customWidth="1"/>
  </cols>
  <sheetData>
    <row r="1" spans="1:25" x14ac:dyDescent="0.2">
      <c r="A1" s="121" t="s">
        <v>250</v>
      </c>
      <c r="F1" s="21" t="s">
        <v>84</v>
      </c>
      <c r="G1" s="21"/>
      <c r="H1" s="116">
        <f>Eligibility!N73</f>
        <v>2100</v>
      </c>
    </row>
    <row r="2" spans="1:25" x14ac:dyDescent="0.2">
      <c r="A2" s="21" t="s">
        <v>111</v>
      </c>
      <c r="D2" s="21" t="str">
        <f>Eligibility!D23</f>
        <v>Mickey Mouse</v>
      </c>
      <c r="E2" s="21"/>
      <c r="F2" s="21" t="s">
        <v>85</v>
      </c>
      <c r="G2" s="21"/>
      <c r="H2" s="142" t="e">
        <f>Eligibility!N77</f>
        <v>#DIV/0!</v>
      </c>
      <c r="M2" s="310" t="s">
        <v>262</v>
      </c>
    </row>
    <row r="3" spans="1:25" x14ac:dyDescent="0.2">
      <c r="A3" s="21" t="s">
        <v>119</v>
      </c>
      <c r="D3" s="21" t="str">
        <f>Eligibility!D11</f>
        <v>Olani Street</v>
      </c>
      <c r="E3" s="21"/>
      <c r="F3" s="240" t="s">
        <v>224</v>
      </c>
      <c r="G3" s="240"/>
      <c r="H3" s="149" t="e">
        <f>Y66</f>
        <v>#REF!</v>
      </c>
      <c r="I3" s="240"/>
      <c r="J3" s="231" t="s">
        <v>229</v>
      </c>
      <c r="K3" s="246" t="e">
        <f>IF(Eligibility!$J$12="HECO",$H$1+$H$2+H3,0)</f>
        <v>#DIV/0!</v>
      </c>
      <c r="M3" s="305" t="e">
        <f>IF(Eligibility!$J$12="HECO",(Y66+H1+H2)/Y33,"")</f>
        <v>#REF!</v>
      </c>
    </row>
    <row r="4" spans="1:25" x14ac:dyDescent="0.2">
      <c r="A4" s="21"/>
      <c r="D4" s="21" t="str">
        <f>Eligibility!D12</f>
        <v>Kapolei, HI 96707</v>
      </c>
      <c r="E4" s="21"/>
      <c r="F4" s="241" t="s">
        <v>225</v>
      </c>
      <c r="G4" s="241"/>
      <c r="H4" s="235">
        <f>Y71</f>
        <v>0</v>
      </c>
      <c r="I4" s="241"/>
      <c r="J4" s="234" t="s">
        <v>230</v>
      </c>
      <c r="K4" s="247">
        <f>IF(Eligibility!$J$12="HELCO",$H$1+$H$2+H4,0)</f>
        <v>0</v>
      </c>
      <c r="M4" s="309" t="str">
        <f>IF(Eligibility!$J$12="HELCO",(Y71+H1+H2)/Y34,"")</f>
        <v/>
      </c>
    </row>
    <row r="5" spans="1:25" x14ac:dyDescent="0.2">
      <c r="A5" s="21" t="s">
        <v>80</v>
      </c>
      <c r="D5" s="122">
        <f>Eligibility!J59</f>
        <v>7000</v>
      </c>
      <c r="E5" s="21"/>
      <c r="F5" s="242" t="s">
        <v>226</v>
      </c>
      <c r="G5" s="242"/>
      <c r="H5" s="233">
        <f>Y76</f>
        <v>0</v>
      </c>
      <c r="I5" s="242"/>
      <c r="J5" s="236" t="s">
        <v>231</v>
      </c>
      <c r="K5" s="248">
        <f>IF(Eligibility!$J$12="MECO - Maui",$H$1+$H$2+H5,0)</f>
        <v>0</v>
      </c>
      <c r="L5" s="290"/>
      <c r="M5" s="308" t="str">
        <f>IF(Eligibility!$J$12="MECO - Maui",(Y76+H1+H2)/Y35,"")</f>
        <v/>
      </c>
    </row>
    <row r="6" spans="1:25" x14ac:dyDescent="0.2">
      <c r="A6" s="21" t="s">
        <v>112</v>
      </c>
      <c r="D6" s="255">
        <f>Eligibility!N78</f>
        <v>0</v>
      </c>
      <c r="E6" s="21"/>
      <c r="F6" s="237" t="s">
        <v>227</v>
      </c>
      <c r="G6" s="243"/>
      <c r="H6" s="232">
        <f>Y81</f>
        <v>0</v>
      </c>
      <c r="I6" s="243"/>
      <c r="J6" s="238" t="s">
        <v>232</v>
      </c>
      <c r="K6" s="249">
        <f>IF(Eligibility!$J$12="MECO - Lanai",$H$1+$H$2+H6,0)</f>
        <v>0</v>
      </c>
      <c r="M6" s="307" t="str">
        <f>IF(Eligibility!$J$12="MECO - Lanai",(Y81+H1+H2)/Y36,"")</f>
        <v/>
      </c>
    </row>
    <row r="7" spans="1:25" x14ac:dyDescent="0.2">
      <c r="A7" s="28" t="s">
        <v>115</v>
      </c>
      <c r="D7" s="52" t="e">
        <f>Eligibility!N81</f>
        <v>#DIV/0!</v>
      </c>
      <c r="E7" s="21"/>
      <c r="F7" s="244" t="s">
        <v>228</v>
      </c>
      <c r="G7" s="244"/>
      <c r="H7" s="245">
        <f>Y86</f>
        <v>0</v>
      </c>
      <c r="I7" s="244"/>
      <c r="J7" s="239" t="s">
        <v>233</v>
      </c>
      <c r="K7" s="250">
        <f>IF(Eligibility!$J$12="H=MECO - Molokai",$H$1+$H$2+H7,0)</f>
        <v>0</v>
      </c>
      <c r="M7" s="306" t="str">
        <f>IF(Eligibility!$J$12="MECO - Molokai",(Y86+H1+H2)/Y37,"")</f>
        <v/>
      </c>
      <c r="O7" s="386"/>
    </row>
    <row r="8" spans="1:25" x14ac:dyDescent="0.2">
      <c r="A8" s="28" t="s">
        <v>118</v>
      </c>
      <c r="D8" s="255">
        <f>Eligibility!N79</f>
        <v>0</v>
      </c>
      <c r="E8" s="21"/>
      <c r="O8" s="386"/>
    </row>
    <row r="9" spans="1:25" x14ac:dyDescent="0.2">
      <c r="A9" s="21" t="s">
        <v>114</v>
      </c>
      <c r="D9" s="122">
        <f>Eligibility!J66</f>
        <v>9300</v>
      </c>
      <c r="E9" s="21"/>
      <c r="F9" s="47" t="s">
        <v>156</v>
      </c>
      <c r="G9" s="143">
        <f>Eligibility!Q56</f>
        <v>0.44999999999999996</v>
      </c>
    </row>
    <row r="10" spans="1:25" x14ac:dyDescent="0.2">
      <c r="A10" s="418" t="s">
        <v>62</v>
      </c>
      <c r="B10" s="419"/>
      <c r="C10" s="419"/>
      <c r="D10" s="420">
        <f>Eligibility!J67</f>
        <v>5.5E-2</v>
      </c>
      <c r="E10" s="21"/>
      <c r="F10" s="229" t="s">
        <v>253</v>
      </c>
      <c r="G10" s="291">
        <f>1-G9</f>
        <v>0.55000000000000004</v>
      </c>
      <c r="H10" s="50"/>
      <c r="J10" s="53"/>
    </row>
    <row r="11" spans="1:25" x14ac:dyDescent="0.2">
      <c r="A11" s="21" t="s">
        <v>394</v>
      </c>
      <c r="D11" s="124">
        <f>Eligibility!V62</f>
        <v>0</v>
      </c>
      <c r="E11" s="21"/>
      <c r="F11" s="229" t="s">
        <v>252</v>
      </c>
      <c r="G11" s="44">
        <f>D18*G9</f>
        <v>6367.95</v>
      </c>
      <c r="H11" s="50"/>
    </row>
    <row r="12" spans="1:25" x14ac:dyDescent="0.2">
      <c r="A12" s="121"/>
      <c r="F12" s="47" t="s">
        <v>251</v>
      </c>
      <c r="G12" s="44">
        <f>E14-G11</f>
        <v>-6367.95</v>
      </c>
    </row>
    <row r="13" spans="1:25" x14ac:dyDescent="0.2">
      <c r="A13" s="44" t="s">
        <v>103</v>
      </c>
      <c r="E13" s="138">
        <v>1</v>
      </c>
      <c r="F13" s="125">
        <v>2</v>
      </c>
      <c r="G13" s="126">
        <v>3</v>
      </c>
      <c r="H13" s="126">
        <v>4</v>
      </c>
      <c r="I13" s="126">
        <v>5</v>
      </c>
      <c r="J13" s="126">
        <v>6</v>
      </c>
      <c r="K13" s="125">
        <v>7</v>
      </c>
      <c r="L13" s="125">
        <v>8</v>
      </c>
      <c r="M13" s="125">
        <v>9</v>
      </c>
      <c r="N13" s="125">
        <v>10</v>
      </c>
      <c r="O13" s="125">
        <v>11</v>
      </c>
      <c r="P13" s="125">
        <v>12</v>
      </c>
      <c r="Q13" s="125">
        <v>13</v>
      </c>
      <c r="R13" s="125">
        <v>14</v>
      </c>
      <c r="S13" s="125">
        <v>15</v>
      </c>
      <c r="T13" s="125">
        <v>16</v>
      </c>
      <c r="U13" s="125">
        <v>17</v>
      </c>
      <c r="V13" s="125">
        <v>18</v>
      </c>
      <c r="W13" s="125">
        <v>19</v>
      </c>
      <c r="X13" s="125">
        <v>20</v>
      </c>
      <c r="Y13" s="53"/>
    </row>
    <row r="14" spans="1:25" x14ac:dyDescent="0.2">
      <c r="A14" s="44" t="s">
        <v>108</v>
      </c>
      <c r="D14" s="44" t="s">
        <v>104</v>
      </c>
      <c r="E14" s="292">
        <f>Eligibility!N79</f>
        <v>0</v>
      </c>
      <c r="F14" s="51">
        <f>E14*0.995</f>
        <v>0</v>
      </c>
      <c r="G14" s="51">
        <f t="shared" ref="G14:X14" si="0">F14*0.995</f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51">
        <f t="shared" si="0"/>
        <v>0</v>
      </c>
      <c r="P14" s="51">
        <f t="shared" si="0"/>
        <v>0</v>
      </c>
      <c r="Q14" s="51">
        <f t="shared" si="0"/>
        <v>0</v>
      </c>
      <c r="R14" s="51">
        <f t="shared" si="0"/>
        <v>0</v>
      </c>
      <c r="S14" s="51">
        <f t="shared" si="0"/>
        <v>0</v>
      </c>
      <c r="T14" s="51">
        <f t="shared" si="0"/>
        <v>0</v>
      </c>
      <c r="U14" s="51">
        <f t="shared" si="0"/>
        <v>0</v>
      </c>
      <c r="V14" s="51">
        <f t="shared" si="0"/>
        <v>0</v>
      </c>
      <c r="W14" s="51">
        <f t="shared" si="0"/>
        <v>0</v>
      </c>
      <c r="X14" s="51">
        <f t="shared" si="0"/>
        <v>0</v>
      </c>
      <c r="Y14" s="117">
        <f>SUM(E14:X14)</f>
        <v>0</v>
      </c>
    </row>
    <row r="15" spans="1:25" x14ac:dyDescent="0.2">
      <c r="A15" s="44" t="s">
        <v>254</v>
      </c>
      <c r="E15" s="292">
        <f>G11</f>
        <v>6367.95</v>
      </c>
      <c r="F15" s="51">
        <f>E15</f>
        <v>6367.95</v>
      </c>
      <c r="G15" s="51">
        <f t="shared" ref="G15:X15" si="1">F15</f>
        <v>6367.95</v>
      </c>
      <c r="H15" s="51">
        <f t="shared" si="1"/>
        <v>6367.95</v>
      </c>
      <c r="I15" s="51">
        <f t="shared" si="1"/>
        <v>6367.95</v>
      </c>
      <c r="J15" s="51">
        <f t="shared" si="1"/>
        <v>6367.95</v>
      </c>
      <c r="K15" s="51">
        <f t="shared" si="1"/>
        <v>6367.95</v>
      </c>
      <c r="L15" s="51">
        <f t="shared" si="1"/>
        <v>6367.95</v>
      </c>
      <c r="M15" s="51">
        <f t="shared" si="1"/>
        <v>6367.95</v>
      </c>
      <c r="N15" s="51">
        <f t="shared" si="1"/>
        <v>6367.95</v>
      </c>
      <c r="O15" s="51">
        <f t="shared" si="1"/>
        <v>6367.95</v>
      </c>
      <c r="P15" s="51">
        <f t="shared" si="1"/>
        <v>6367.95</v>
      </c>
      <c r="Q15" s="51">
        <f t="shared" si="1"/>
        <v>6367.95</v>
      </c>
      <c r="R15" s="51">
        <f t="shared" si="1"/>
        <v>6367.95</v>
      </c>
      <c r="S15" s="51">
        <f t="shared" si="1"/>
        <v>6367.95</v>
      </c>
      <c r="T15" s="51">
        <f t="shared" si="1"/>
        <v>6367.95</v>
      </c>
      <c r="U15" s="51">
        <f t="shared" si="1"/>
        <v>6367.95</v>
      </c>
      <c r="V15" s="51">
        <f t="shared" si="1"/>
        <v>6367.95</v>
      </c>
      <c r="W15" s="51">
        <f t="shared" si="1"/>
        <v>6367.95</v>
      </c>
      <c r="X15" s="51">
        <f t="shared" si="1"/>
        <v>6367.95</v>
      </c>
      <c r="Y15" s="117"/>
    </row>
    <row r="16" spans="1:25" x14ac:dyDescent="0.2">
      <c r="A16" s="44" t="s">
        <v>407</v>
      </c>
      <c r="E16" s="292">
        <f>E14-$G$11</f>
        <v>-6367.95</v>
      </c>
      <c r="F16" s="292">
        <f t="shared" ref="F16:X16" si="2">F14-$G$11</f>
        <v>-6367.95</v>
      </c>
      <c r="G16" s="292">
        <f t="shared" si="2"/>
        <v>-6367.95</v>
      </c>
      <c r="H16" s="292">
        <f t="shared" si="2"/>
        <v>-6367.95</v>
      </c>
      <c r="I16" s="292">
        <f t="shared" si="2"/>
        <v>-6367.95</v>
      </c>
      <c r="J16" s="292">
        <f t="shared" si="2"/>
        <v>-6367.95</v>
      </c>
      <c r="K16" s="292">
        <f t="shared" si="2"/>
        <v>-6367.95</v>
      </c>
      <c r="L16" s="292">
        <f t="shared" si="2"/>
        <v>-6367.95</v>
      </c>
      <c r="M16" s="292">
        <f t="shared" si="2"/>
        <v>-6367.95</v>
      </c>
      <c r="N16" s="292">
        <f t="shared" si="2"/>
        <v>-6367.95</v>
      </c>
      <c r="O16" s="292">
        <f t="shared" si="2"/>
        <v>-6367.95</v>
      </c>
      <c r="P16" s="292">
        <f t="shared" si="2"/>
        <v>-6367.95</v>
      </c>
      <c r="Q16" s="292">
        <f t="shared" si="2"/>
        <v>-6367.95</v>
      </c>
      <c r="R16" s="292">
        <f t="shared" si="2"/>
        <v>-6367.95</v>
      </c>
      <c r="S16" s="292">
        <f t="shared" si="2"/>
        <v>-6367.95</v>
      </c>
      <c r="T16" s="292">
        <f t="shared" si="2"/>
        <v>-6367.95</v>
      </c>
      <c r="U16" s="292">
        <f t="shared" si="2"/>
        <v>-6367.95</v>
      </c>
      <c r="V16" s="292">
        <f t="shared" si="2"/>
        <v>-6367.95</v>
      </c>
      <c r="W16" s="292">
        <f t="shared" si="2"/>
        <v>-6367.95</v>
      </c>
      <c r="X16" s="292">
        <f t="shared" si="2"/>
        <v>-6367.95</v>
      </c>
      <c r="Y16" s="117"/>
    </row>
    <row r="17" spans="1:25" x14ac:dyDescent="0.2">
      <c r="E17" s="88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17"/>
    </row>
    <row r="18" spans="1:25" x14ac:dyDescent="0.2">
      <c r="A18" s="44" t="s">
        <v>109</v>
      </c>
      <c r="D18" s="140">
        <f>Eligibility!D66</f>
        <v>14151</v>
      </c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17"/>
    </row>
    <row r="19" spans="1:25" x14ac:dyDescent="0.2">
      <c r="A19" s="44" t="s">
        <v>398</v>
      </c>
      <c r="E19" s="257">
        <f>E14-$D$18</f>
        <v>-14151</v>
      </c>
      <c r="F19" s="257">
        <f t="shared" ref="F19:X19" si="3">F14-$D$18</f>
        <v>-14151</v>
      </c>
      <c r="G19" s="257">
        <f t="shared" si="3"/>
        <v>-14151</v>
      </c>
      <c r="H19" s="257">
        <f t="shared" si="3"/>
        <v>-14151</v>
      </c>
      <c r="I19" s="257">
        <f t="shared" si="3"/>
        <v>-14151</v>
      </c>
      <c r="J19" s="257">
        <f t="shared" si="3"/>
        <v>-14151</v>
      </c>
      <c r="K19" s="257">
        <f t="shared" si="3"/>
        <v>-14151</v>
      </c>
      <c r="L19" s="257">
        <f t="shared" si="3"/>
        <v>-14151</v>
      </c>
      <c r="M19" s="257">
        <f t="shared" si="3"/>
        <v>-14151</v>
      </c>
      <c r="N19" s="257">
        <f t="shared" si="3"/>
        <v>-14151</v>
      </c>
      <c r="O19" s="257">
        <f t="shared" si="3"/>
        <v>-14151</v>
      </c>
      <c r="P19" s="257">
        <f t="shared" si="3"/>
        <v>-14151</v>
      </c>
      <c r="Q19" s="257">
        <f t="shared" si="3"/>
        <v>-14151</v>
      </c>
      <c r="R19" s="257">
        <f t="shared" si="3"/>
        <v>-14151</v>
      </c>
      <c r="S19" s="257">
        <f t="shared" si="3"/>
        <v>-14151</v>
      </c>
      <c r="T19" s="257">
        <f t="shared" si="3"/>
        <v>-14151</v>
      </c>
      <c r="U19" s="257">
        <f t="shared" si="3"/>
        <v>-14151</v>
      </c>
      <c r="V19" s="257">
        <f t="shared" si="3"/>
        <v>-14151</v>
      </c>
      <c r="W19" s="257">
        <f t="shared" si="3"/>
        <v>-14151</v>
      </c>
      <c r="X19" s="257">
        <f t="shared" si="3"/>
        <v>-14151</v>
      </c>
      <c r="Y19" s="117"/>
    </row>
    <row r="20" spans="1:25" x14ac:dyDescent="0.2">
      <c r="A20" s="44" t="s">
        <v>255</v>
      </c>
      <c r="E20" s="292">
        <f t="shared" ref="E20:X20" si="4">E14-E15</f>
        <v>-6367.95</v>
      </c>
      <c r="F20" s="292">
        <f t="shared" si="4"/>
        <v>-6367.95</v>
      </c>
      <c r="G20" s="292">
        <f t="shared" si="4"/>
        <v>-6367.95</v>
      </c>
      <c r="H20" s="292">
        <f t="shared" si="4"/>
        <v>-6367.95</v>
      </c>
      <c r="I20" s="292">
        <f t="shared" si="4"/>
        <v>-6367.95</v>
      </c>
      <c r="J20" s="292">
        <f t="shared" si="4"/>
        <v>-6367.95</v>
      </c>
      <c r="K20" s="292">
        <f t="shared" si="4"/>
        <v>-6367.95</v>
      </c>
      <c r="L20" s="292">
        <f t="shared" si="4"/>
        <v>-6367.95</v>
      </c>
      <c r="M20" s="292">
        <f t="shared" si="4"/>
        <v>-6367.95</v>
      </c>
      <c r="N20" s="292">
        <f t="shared" si="4"/>
        <v>-6367.95</v>
      </c>
      <c r="O20" s="292">
        <f t="shared" si="4"/>
        <v>-6367.95</v>
      </c>
      <c r="P20" s="292">
        <f t="shared" si="4"/>
        <v>-6367.95</v>
      </c>
      <c r="Q20" s="292">
        <f t="shared" si="4"/>
        <v>-6367.95</v>
      </c>
      <c r="R20" s="292">
        <f t="shared" si="4"/>
        <v>-6367.95</v>
      </c>
      <c r="S20" s="292">
        <f t="shared" si="4"/>
        <v>-6367.95</v>
      </c>
      <c r="T20" s="292">
        <f t="shared" si="4"/>
        <v>-6367.95</v>
      </c>
      <c r="U20" s="292">
        <f t="shared" si="4"/>
        <v>-6367.95</v>
      </c>
      <c r="V20" s="292">
        <f t="shared" si="4"/>
        <v>-6367.95</v>
      </c>
      <c r="W20" s="292">
        <f t="shared" si="4"/>
        <v>-6367.95</v>
      </c>
      <c r="X20" s="292">
        <f t="shared" si="4"/>
        <v>-6367.95</v>
      </c>
      <c r="Y20" s="117"/>
    </row>
    <row r="21" spans="1:25" x14ac:dyDescent="0.2">
      <c r="A21" s="44" t="s">
        <v>256</v>
      </c>
      <c r="E21" s="431">
        <f>$D$18-E15</f>
        <v>7783.05</v>
      </c>
      <c r="F21" s="431">
        <f t="shared" ref="F21:X21" si="5">$D$18-F15</f>
        <v>7783.05</v>
      </c>
      <c r="G21" s="431">
        <f t="shared" si="5"/>
        <v>7783.05</v>
      </c>
      <c r="H21" s="431">
        <f t="shared" si="5"/>
        <v>7783.05</v>
      </c>
      <c r="I21" s="431">
        <f t="shared" si="5"/>
        <v>7783.05</v>
      </c>
      <c r="J21" s="431">
        <f t="shared" si="5"/>
        <v>7783.05</v>
      </c>
      <c r="K21" s="431">
        <f t="shared" si="5"/>
        <v>7783.05</v>
      </c>
      <c r="L21" s="431">
        <f t="shared" si="5"/>
        <v>7783.05</v>
      </c>
      <c r="M21" s="431">
        <f t="shared" si="5"/>
        <v>7783.05</v>
      </c>
      <c r="N21" s="431">
        <f t="shared" si="5"/>
        <v>7783.05</v>
      </c>
      <c r="O21" s="431">
        <f t="shared" si="5"/>
        <v>7783.05</v>
      </c>
      <c r="P21" s="431">
        <f t="shared" si="5"/>
        <v>7783.05</v>
      </c>
      <c r="Q21" s="431">
        <f t="shared" si="5"/>
        <v>7783.05</v>
      </c>
      <c r="R21" s="431">
        <f t="shared" si="5"/>
        <v>7783.05</v>
      </c>
      <c r="S21" s="431">
        <f t="shared" si="5"/>
        <v>7783.05</v>
      </c>
      <c r="T21" s="431">
        <f t="shared" si="5"/>
        <v>7783.05</v>
      </c>
      <c r="U21" s="431">
        <f t="shared" si="5"/>
        <v>7783.05</v>
      </c>
      <c r="V21" s="431">
        <f t="shared" si="5"/>
        <v>7783.05</v>
      </c>
      <c r="W21" s="431">
        <f t="shared" si="5"/>
        <v>7783.05</v>
      </c>
      <c r="X21" s="431">
        <f t="shared" si="5"/>
        <v>7783.05</v>
      </c>
      <c r="Y21" s="117"/>
    </row>
    <row r="22" spans="1:25" x14ac:dyDescent="0.2">
      <c r="E22" s="25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</row>
    <row r="23" spans="1:25" x14ac:dyDescent="0.2">
      <c r="A23" s="44" t="s">
        <v>117</v>
      </c>
      <c r="D23" s="128">
        <f>D18/12</f>
        <v>1179.25</v>
      </c>
      <c r="E23" s="128">
        <f>IF(E21&lt;=0,0,E21/12)</f>
        <v>648.58749999999998</v>
      </c>
      <c r="F23" s="128">
        <f t="shared" ref="F23:X23" si="6">IF(F21&lt;=0,0,F21/12)</f>
        <v>648.58749999999998</v>
      </c>
      <c r="G23" s="128">
        <f t="shared" si="6"/>
        <v>648.58749999999998</v>
      </c>
      <c r="H23" s="128">
        <f t="shared" si="6"/>
        <v>648.58749999999998</v>
      </c>
      <c r="I23" s="128">
        <f t="shared" si="6"/>
        <v>648.58749999999998</v>
      </c>
      <c r="J23" s="128">
        <f t="shared" si="6"/>
        <v>648.58749999999998</v>
      </c>
      <c r="K23" s="128">
        <f t="shared" si="6"/>
        <v>648.58749999999998</v>
      </c>
      <c r="L23" s="128">
        <f t="shared" si="6"/>
        <v>648.58749999999998</v>
      </c>
      <c r="M23" s="128">
        <f t="shared" si="6"/>
        <v>648.58749999999998</v>
      </c>
      <c r="N23" s="128">
        <f t="shared" si="6"/>
        <v>648.58749999999998</v>
      </c>
      <c r="O23" s="128">
        <f t="shared" si="6"/>
        <v>648.58749999999998</v>
      </c>
      <c r="P23" s="128">
        <f t="shared" si="6"/>
        <v>648.58749999999998</v>
      </c>
      <c r="Q23" s="128">
        <f t="shared" si="6"/>
        <v>648.58749999999998</v>
      </c>
      <c r="R23" s="128">
        <f t="shared" si="6"/>
        <v>648.58749999999998</v>
      </c>
      <c r="S23" s="128">
        <f t="shared" si="6"/>
        <v>648.58749999999998</v>
      </c>
      <c r="T23" s="128">
        <f t="shared" si="6"/>
        <v>648.58749999999998</v>
      </c>
      <c r="U23" s="128">
        <f t="shared" si="6"/>
        <v>648.58749999999998</v>
      </c>
      <c r="V23" s="128">
        <f t="shared" si="6"/>
        <v>648.58749999999998</v>
      </c>
      <c r="W23" s="128">
        <f t="shared" si="6"/>
        <v>648.58749999999998</v>
      </c>
      <c r="X23" s="128">
        <f t="shared" si="6"/>
        <v>648.58749999999998</v>
      </c>
      <c r="Y23" s="117"/>
    </row>
    <row r="24" spans="1:25" x14ac:dyDescent="0.2">
      <c r="B24" s="87" t="s">
        <v>29</v>
      </c>
      <c r="C24" s="87" t="s">
        <v>139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17"/>
    </row>
    <row r="25" spans="1:25" hidden="1" x14ac:dyDescent="0.2">
      <c r="D25" s="128"/>
      <c r="E25" s="128"/>
      <c r="F25" s="388" t="e">
        <f>IF(Eligibility!$J$12="HECO",#REF!*C28,IF(Eligibility!$J$12="HELCO",#REF!*C28,IF(Eligibility!$J$12="MECO - Maui",#REF!*C28,IF(Eligibility!$J$12="MECO - Lanai",#REF!*C28,IF(Eligibility!$J$12="MECO -Molokai",#REF!*$C28,0)))))</f>
        <v>#REF!</v>
      </c>
      <c r="G25" s="388" t="e">
        <f>IF(Eligibility!$J$12="HECO",#REF!*F25,IF(Eligibility!$J$12="HELCO",#REF!*F25,IF(Eligibility!$J$12="MECO - Maui",#REF!*F25,IF(Eligibility!$J$12="MECO - Lanai",#REF!*F25,IF(Eligibility!$J$12="MECO -Molokai",#REF!*F25,0)))))</f>
        <v>#REF!</v>
      </c>
      <c r="H25" s="388" t="e">
        <f>IF(Eligibility!$J$12="HECO",#REF!*G25,IF(Eligibility!$J$12="HELCO",#REF!*G25,IF(Eligibility!$J$12="MECO - Maui",#REF!*G25,IF(Eligibility!$J$12="MECO - Lanai",#REF!*G25,IF(Eligibility!$J$12="MECO -Molokai",#REF!*G25,0)))))</f>
        <v>#REF!</v>
      </c>
      <c r="I25" s="388" t="e">
        <f>IF(Eligibility!$J$12="HECO",#REF!*H25,IF(Eligibility!$J$12="HELCO",#REF!*H25,IF(Eligibility!$J$12="MECO - Maui",#REF!*H25,IF(Eligibility!$J$12="MECO - Lanai",#REF!*H25,IF(Eligibility!$J$12="MECO -Molokai",#REF!*H25,0)))))</f>
        <v>#REF!</v>
      </c>
      <c r="J25" s="389" t="e">
        <f>IF(Eligibility!$J$12="HECO",#REF!*I25,IF(Eligibility!$J$12="HELCO",#REF!*I25,IF(Eligibility!$J$12="MECO - Maui",#REF!*I25,IF(Eligibility!$J$12="MECO - Lanai",#REF!*I25,IF(Eligibility!$J$12="MECO -Molokai",#REF!*I25,0)))))</f>
        <v>#REF!</v>
      </c>
      <c r="K25" s="390" t="e">
        <f>IF(Eligibility!$J$12="HECO",#REF!*J25,IF(Eligibility!$J$12="HELCO",#REF!*J25,IF(Eligibility!$J$12="MECO - Maui",#REF!*J25,IF(Eligibility!$J$12="MECO - Lanai",#REF!*J25,IF(Eligibility!$J$12="MECO -Molokai",#REF!*J25,0)))))</f>
        <v>#REF!</v>
      </c>
      <c r="L25" s="390" t="e">
        <f>IF(Eligibility!$J$12="HECO",#REF!*K25,IF(Eligibility!$J$12="HELCO",#REF!*K25,IF(Eligibility!$J$12="MECO - Maui",#REF!*K25,IF(Eligibility!$J$12="MECO - Lanai",#REF!*K25,IF(Eligibility!$J$12="MECO -Molokai",#REF!*K25,0)))))</f>
        <v>#REF!</v>
      </c>
      <c r="M25" s="390" t="e">
        <f>IF(Eligibility!$J$12="HECO",#REF!*L25,IF(Eligibility!$J$12="HELCO",#REF!*L25,IF(Eligibility!$J$12="MECO - Maui",#REF!*L25,IF(Eligibility!$J$12="MECO - Lanai",#REF!*L25,IF(Eligibility!$J$12="MECO -Molokai",#REF!*L25,0)))))</f>
        <v>#REF!</v>
      </c>
      <c r="N25" s="390" t="e">
        <f>IF(Eligibility!$J$12="HECO",#REF!*M25,IF(Eligibility!$J$12="HELCO",#REF!*M25,IF(Eligibility!$J$12="MECO - Maui",#REF!*M25,IF(Eligibility!$J$12="MECO - Lanai",#REF!*M25,IF(Eligibility!$J$12="MECO -Molokai",#REF!*M25,0)))))</f>
        <v>#REF!</v>
      </c>
      <c r="O25" s="390" t="e">
        <f>IF(Eligibility!$J$12="HECO",#REF!*N25,IF(Eligibility!$J$12="HELCO",#REF!*N25,IF(Eligibility!$J$12="MECO - Maui",#REF!*N25,IF(Eligibility!$J$12="MECO - Lanai",#REF!*N25,IF(Eligibility!$J$12="MECO -Molokai",#REF!*N25,0)))))</f>
        <v>#REF!</v>
      </c>
      <c r="P25" s="390" t="e">
        <f>IF(Eligibility!$J$12="HECO",#REF!*O25,IF(Eligibility!$J$12="HELCO",#REF!*O25,IF(Eligibility!$J$12="MECO - Maui",#REF!*O25,IF(Eligibility!$J$12="MECO - Lanai",#REF!*O25,IF(Eligibility!$J$12="MECO -Molokai",#REF!*O25,0)))))</f>
        <v>#REF!</v>
      </c>
      <c r="Q25" s="390" t="e">
        <f>IF(Eligibility!$J$12="HECO",#REF!*P25,IF(Eligibility!$J$12="HELCO",#REF!*P25,IF(Eligibility!$J$12="MECO - Maui",#REF!*P25,IF(Eligibility!$J$12="MECO - Lanai",#REF!*P25,IF(Eligibility!$J$12="MECO -Molokai",#REF!*P25,0)))))</f>
        <v>#REF!</v>
      </c>
      <c r="R25" s="390" t="e">
        <f>IF(Eligibility!$J$12="HECO",#REF!*Q25,IF(Eligibility!$J$12="HELCO",#REF!*Q25,IF(Eligibility!$J$12="MECO - Maui",#REF!*Q25,IF(Eligibility!$J$12="MECO - Lanai",#REF!*Q25,IF(Eligibility!$J$12="MECO -Molokai",#REF!*Q25,0)))))</f>
        <v>#REF!</v>
      </c>
      <c r="S25" s="390" t="e">
        <f>IF(Eligibility!$J$12="HECO",#REF!*R25,IF(Eligibility!$J$12="HELCO",#REF!*R25,IF(Eligibility!$J$12="MECO - Maui",#REF!*R25,IF(Eligibility!$J$12="MECO - Lanai",#REF!*R25,IF(Eligibility!$J$12="MECO -Molokai",#REF!*R25,0)))))</f>
        <v>#REF!</v>
      </c>
      <c r="T25" s="390" t="e">
        <f>IF(Eligibility!$J$12="HECO",#REF!*S25,IF(Eligibility!$J$12="HELCO",#REF!*S25,IF(Eligibility!$J$12="MECO - Maui",#REF!*S25,IF(Eligibility!$J$12="MECO - Lanai",#REF!*S25,IF(Eligibility!$J$12="MECO -Molokai",#REF!*S25,0)))))</f>
        <v>#REF!</v>
      </c>
      <c r="U25" s="390" t="e">
        <f>IF(Eligibility!$J$12="HECO",#REF!*T25,IF(Eligibility!$J$12="HELCO",#REF!*T25,IF(Eligibility!$J$12="MECO - Maui",#REF!*T25,IF(Eligibility!$J$12="MECO - Lanai",#REF!*T25,IF(Eligibility!$J$12="MECO -Molokai",#REF!*T25,0)))))</f>
        <v>#REF!</v>
      </c>
      <c r="V25" s="390" t="e">
        <f>IF(Eligibility!$J$12="HECO",#REF!*U25,IF(Eligibility!$J$12="HELCO",#REF!*U25,IF(Eligibility!$J$12="MECO - Maui",#REF!*U25,IF(Eligibility!$J$12="MECO - Lanai",#REF!*U25,IF(Eligibility!$J$12="MECO -Molokai",#REF!*U25,0)))))</f>
        <v>#REF!</v>
      </c>
      <c r="W25" s="390" t="e">
        <f>IF(Eligibility!$J$12="HECO",#REF!*V25,IF(Eligibility!$J$12="HELCO",#REF!*V25,IF(Eligibility!$J$12="MECO - Maui",#REF!*V25,IF(Eligibility!$J$12="MECO - Lanai",#REF!*V25,IF(Eligibility!$J$12="MECO -Molokai",#REF!*V25,0)))))</f>
        <v>#REF!</v>
      </c>
      <c r="X25" s="391" t="e">
        <f>IF(Eligibility!$J$12="HECO",#REF!*W25,IF(Eligibility!$J$12="HELCO",#REF!*W25,IF(Eligibility!$J$12="MECO - Maui",#REF!*W25,IF(Eligibility!$J$12="MECO - Lanai",#REF!*W25,IF(Eligibility!$J$12="MECO -Molokai",#REF!*W25,0)))))</f>
        <v>#REF!</v>
      </c>
      <c r="Y25" s="117"/>
    </row>
    <row r="26" spans="1:25" hidden="1" x14ac:dyDescent="0.2">
      <c r="D26" s="128"/>
      <c r="E26" s="128"/>
      <c r="F26" s="388" t="e">
        <f>IF(Eligibility!$J$12="HECO",#REF!*C29,IF(Eligibility!$J$12="HELCO",#REF!*C29,IF(Eligibility!$J$12="MECO - Maui",#REF!*C29,IF(Eligibility!$J$12="MECO - Lanai",#REF!*C29,IF(Eligibility!$J$12="MECO -Molokai",#REF!*$C29,0)))))</f>
        <v>#REF!</v>
      </c>
      <c r="G26" s="388" t="e">
        <f>IF(Eligibility!$J$12="HECO",#REF!*F26,IF(Eligibility!$J$12="HELCO",#REF!*F26,IF(Eligibility!$J$12="MECO - Maui",#REF!*F26,IF(Eligibility!$J$12="MECO - Lanai",#REF!*F26,IF(Eligibility!$J$12="MECO -Molokai",#REF!*F26,0)))))</f>
        <v>#REF!</v>
      </c>
      <c r="H26" s="388" t="e">
        <f>IF(Eligibility!$J$12="HECO",#REF!*G26,IF(Eligibility!$J$12="HELCO",#REF!*G26,IF(Eligibility!$J$12="MECO - Maui",#REF!*G26,IF(Eligibility!$J$12="MECO - Lanai",#REF!*G26,IF(Eligibility!$J$12="MECO -Molokai",#REF!*G26,0)))))</f>
        <v>#REF!</v>
      </c>
      <c r="I26" s="388" t="e">
        <f>IF(Eligibility!$J$12="HECO",#REF!*H26,IF(Eligibility!$J$12="HELCO",#REF!*H26,IF(Eligibility!$J$12="MECO - Maui",#REF!*H26,IF(Eligibility!$J$12="MECO - Lanai",#REF!*H26,IF(Eligibility!$J$12="MECO -Molokai",#REF!*H26,0)))))</f>
        <v>#REF!</v>
      </c>
      <c r="J26" s="389" t="e">
        <f>IF(Eligibility!$J$12="HECO",#REF!*I26,IF(Eligibility!$J$12="HELCO",#REF!*I26,IF(Eligibility!$J$12="MECO - Maui",#REF!*I26,IF(Eligibility!$J$12="MECO - Lanai",#REF!*I26,IF(Eligibility!$J$12="MECO -Molokai",#REF!*I26,0)))))</f>
        <v>#REF!</v>
      </c>
      <c r="K26" s="390" t="e">
        <f>IF(Eligibility!$J$12="HECO",#REF!*J26,IF(Eligibility!$J$12="HELCO",#REF!*J26,IF(Eligibility!$J$12="MECO - Maui",#REF!*J26,IF(Eligibility!$J$12="MECO - Lanai",#REF!*J26,IF(Eligibility!$J$12="MECO -Molokai",#REF!*J26,0)))))</f>
        <v>#REF!</v>
      </c>
      <c r="L26" s="390" t="e">
        <f>IF(Eligibility!$J$12="HECO",#REF!*K26,IF(Eligibility!$J$12="HELCO",#REF!*K26,IF(Eligibility!$J$12="MECO - Maui",#REF!*K26,IF(Eligibility!$J$12="MECO - Lanai",#REF!*K26,IF(Eligibility!$J$12="MECO -Molokai",#REF!*K26,0)))))</f>
        <v>#REF!</v>
      </c>
      <c r="M26" s="390" t="e">
        <f>IF(Eligibility!$J$12="HECO",#REF!*L26,IF(Eligibility!$J$12="HELCO",#REF!*L26,IF(Eligibility!$J$12="MECO - Maui",#REF!*L26,IF(Eligibility!$J$12="MECO - Lanai",#REF!*L26,IF(Eligibility!$J$12="MECO -Molokai",#REF!*L26,0)))))</f>
        <v>#REF!</v>
      </c>
      <c r="N26" s="390" t="e">
        <f>IF(Eligibility!$J$12="HECO",#REF!*M26,IF(Eligibility!$J$12="HELCO",#REF!*M26,IF(Eligibility!$J$12="MECO - Maui",#REF!*M26,IF(Eligibility!$J$12="MECO - Lanai",#REF!*M26,IF(Eligibility!$J$12="MECO -Molokai",#REF!*M26,0)))))</f>
        <v>#REF!</v>
      </c>
      <c r="O26" s="390" t="e">
        <f>IF(Eligibility!$J$12="HECO",#REF!*N26,IF(Eligibility!$J$12="HELCO",#REF!*N26,IF(Eligibility!$J$12="MECO - Maui",#REF!*N26,IF(Eligibility!$J$12="MECO - Lanai",#REF!*N26,IF(Eligibility!$J$12="MECO -Molokai",#REF!*N26,0)))))</f>
        <v>#REF!</v>
      </c>
      <c r="P26" s="390" t="e">
        <f>IF(Eligibility!$J$12="HECO",#REF!*O26,IF(Eligibility!$J$12="HELCO",#REF!*O26,IF(Eligibility!$J$12="MECO - Maui",#REF!*O26,IF(Eligibility!$J$12="MECO - Lanai",#REF!*O26,IF(Eligibility!$J$12="MECO -Molokai",#REF!*O26,0)))))</f>
        <v>#REF!</v>
      </c>
      <c r="Q26" s="390" t="e">
        <f>IF(Eligibility!$J$12="HECO",#REF!*P26,IF(Eligibility!$J$12="HELCO",#REF!*P26,IF(Eligibility!$J$12="MECO - Maui",#REF!*P26,IF(Eligibility!$J$12="MECO - Lanai",#REF!*P26,IF(Eligibility!$J$12="MECO -Molokai",#REF!*P26,0)))))</f>
        <v>#REF!</v>
      </c>
      <c r="R26" s="390" t="e">
        <f>IF(Eligibility!$J$12="HECO",#REF!*Q26,IF(Eligibility!$J$12="HELCO",#REF!*Q26,IF(Eligibility!$J$12="MECO - Maui",#REF!*Q26,IF(Eligibility!$J$12="MECO - Lanai",#REF!*Q26,IF(Eligibility!$J$12="MECO -Molokai",#REF!*Q26,0)))))</f>
        <v>#REF!</v>
      </c>
      <c r="S26" s="390" t="e">
        <f>IF(Eligibility!$J$12="HECO",#REF!*R26,IF(Eligibility!$J$12="HELCO",#REF!*R26,IF(Eligibility!$J$12="MECO - Maui",#REF!*R26,IF(Eligibility!$J$12="MECO - Lanai",#REF!*R26,IF(Eligibility!$J$12="MECO -Molokai",#REF!*R26,0)))))</f>
        <v>#REF!</v>
      </c>
      <c r="T26" s="390" t="e">
        <f>IF(Eligibility!$J$12="HECO",#REF!*S26,IF(Eligibility!$J$12="HELCO",#REF!*S26,IF(Eligibility!$J$12="MECO - Maui",#REF!*S26,IF(Eligibility!$J$12="MECO - Lanai",#REF!*S26,IF(Eligibility!$J$12="MECO -Molokai",#REF!*S26,0)))))</f>
        <v>#REF!</v>
      </c>
      <c r="U26" s="390" t="e">
        <f>IF(Eligibility!$J$12="HECO",#REF!*T26,IF(Eligibility!$J$12="HELCO",#REF!*T26,IF(Eligibility!$J$12="MECO - Maui",#REF!*T26,IF(Eligibility!$J$12="MECO - Lanai",#REF!*T26,IF(Eligibility!$J$12="MECO -Molokai",#REF!*T26,0)))))</f>
        <v>#REF!</v>
      </c>
      <c r="V26" s="390" t="e">
        <f>IF(Eligibility!$J$12="HECO",#REF!*U26,IF(Eligibility!$J$12="HELCO",#REF!*U26,IF(Eligibility!$J$12="MECO - Maui",#REF!*U26,IF(Eligibility!$J$12="MECO - Lanai",#REF!*U26,IF(Eligibility!$J$12="MECO -Molokai",#REF!*U26,0)))))</f>
        <v>#REF!</v>
      </c>
      <c r="W26" s="390" t="e">
        <f>IF(Eligibility!$J$12="HECO",#REF!*V26,IF(Eligibility!$J$12="HELCO",#REF!*V26,IF(Eligibility!$J$12="MECO - Maui",#REF!*V26,IF(Eligibility!$J$12="MECO - Lanai",#REF!*V26,IF(Eligibility!$J$12="MECO -Molokai",#REF!*V26,0)))))</f>
        <v>#REF!</v>
      </c>
      <c r="X26" s="391" t="e">
        <f>IF(Eligibility!$J$12="HECO",#REF!*W26,IF(Eligibility!$J$12="HELCO",#REF!*W26,IF(Eligibility!$J$12="MECO - Maui",#REF!*W26,IF(Eligibility!$J$12="MECO - Lanai",#REF!*W26,IF(Eligibility!$J$12="MECO -Molokai",#REF!*W26,0)))))</f>
        <v>#REF!</v>
      </c>
      <c r="Y26" s="117"/>
    </row>
    <row r="27" spans="1:25" hidden="1" x14ac:dyDescent="0.2">
      <c r="A27" s="14"/>
      <c r="B27" s="87"/>
      <c r="C27" s="87"/>
      <c r="D27" s="90"/>
      <c r="E27" s="387"/>
      <c r="F27" s="388" t="e">
        <f>IF(Eligibility!$J$12="HECO",#REF!*C30,IF(Eligibility!$J$12="HELCO",#REF!*C30,IF(Eligibility!$J$12="MECO - Maui",#REF!*C30,IF(Eligibility!$J$12="MECO - Lanai",#REF!*C30,IF(Eligibility!$J$12="MECO -Molokai",#REF!*$C30,0)))))</f>
        <v>#REF!</v>
      </c>
      <c r="G27" s="388" t="e">
        <f>IF(Eligibility!$J$12="HECO",#REF!*F27,IF(Eligibility!$J$12="HELCO",#REF!*F27,IF(Eligibility!$J$12="MECO - Maui",#REF!*F27,IF(Eligibility!$J$12="MECO - Lanai",#REF!*F27,IF(Eligibility!$J$12="MECO -Molokai",#REF!*F27,0)))))</f>
        <v>#REF!</v>
      </c>
      <c r="H27" s="388" t="e">
        <f>IF(Eligibility!$J$12="HECO",#REF!*G27,IF(Eligibility!$J$12="HELCO",#REF!*G27,IF(Eligibility!$J$12="MECO - Maui",#REF!*G27,IF(Eligibility!$J$12="MECO - Lanai",#REF!*G27,IF(Eligibility!$J$12="MECO -Molokai",#REF!*G27,0)))))</f>
        <v>#REF!</v>
      </c>
      <c r="I27" s="388" t="e">
        <f>IF(Eligibility!$J$12="HECO",#REF!*H27,IF(Eligibility!$J$12="HELCO",#REF!*H27,IF(Eligibility!$J$12="MECO - Maui",#REF!*H27,IF(Eligibility!$J$12="MECO - Lanai",#REF!*H27,IF(Eligibility!$J$12="MECO -Molokai",#REF!*H27,0)))))</f>
        <v>#REF!</v>
      </c>
      <c r="J27" s="389" t="e">
        <f>IF(Eligibility!$J$12="HECO",#REF!*I27,IF(Eligibility!$J$12="HELCO",#REF!*I27,IF(Eligibility!$J$12="MECO - Maui",#REF!*I27,IF(Eligibility!$J$12="MECO - Lanai",#REF!*I27,IF(Eligibility!$J$12="MECO -Molokai",#REF!*I27,0)))))</f>
        <v>#REF!</v>
      </c>
      <c r="K27" s="390" t="e">
        <f>IF(Eligibility!$J$12="HECO",#REF!*J27,IF(Eligibility!$J$12="HELCO",#REF!*J27,IF(Eligibility!$J$12="MECO - Maui",#REF!*J27,IF(Eligibility!$J$12="MECO - Lanai",#REF!*J27,IF(Eligibility!$J$12="MECO -Molokai",#REF!*J27,0)))))</f>
        <v>#REF!</v>
      </c>
      <c r="L27" s="390" t="e">
        <f>IF(Eligibility!$J$12="HECO",#REF!*K27,IF(Eligibility!$J$12="HELCO",#REF!*K27,IF(Eligibility!$J$12="MECO - Maui",#REF!*K27,IF(Eligibility!$J$12="MECO - Lanai",#REF!*K27,IF(Eligibility!$J$12="MECO -Molokai",#REF!*K27,0)))))</f>
        <v>#REF!</v>
      </c>
      <c r="M27" s="390" t="e">
        <f>IF(Eligibility!$J$12="HECO",#REF!*L27,IF(Eligibility!$J$12="HELCO",#REF!*L27,IF(Eligibility!$J$12="MECO - Maui",#REF!*L27,IF(Eligibility!$J$12="MECO - Lanai",#REF!*L27,IF(Eligibility!$J$12="MECO -Molokai",#REF!*L27,0)))))</f>
        <v>#REF!</v>
      </c>
      <c r="N27" s="390" t="e">
        <f>IF(Eligibility!$J$12="HECO",#REF!*M27,IF(Eligibility!$J$12="HELCO",#REF!*M27,IF(Eligibility!$J$12="MECO - Maui",#REF!*M27,IF(Eligibility!$J$12="MECO - Lanai",#REF!*M27,IF(Eligibility!$J$12="MECO -Molokai",#REF!*M27,0)))))</f>
        <v>#REF!</v>
      </c>
      <c r="O27" s="390" t="e">
        <f>IF(Eligibility!$J$12="HECO",#REF!*N27,IF(Eligibility!$J$12="HELCO",#REF!*N27,IF(Eligibility!$J$12="MECO - Maui",#REF!*N27,IF(Eligibility!$J$12="MECO - Lanai",#REF!*N27,IF(Eligibility!$J$12="MECO -Molokai",#REF!*N27,0)))))</f>
        <v>#REF!</v>
      </c>
      <c r="P27" s="390" t="e">
        <f>IF(Eligibility!$J$12="HECO",#REF!*O27,IF(Eligibility!$J$12="HELCO",#REF!*O27,IF(Eligibility!$J$12="MECO - Maui",#REF!*O27,IF(Eligibility!$J$12="MECO - Lanai",#REF!*O27,IF(Eligibility!$J$12="MECO -Molokai",#REF!*O27,0)))))</f>
        <v>#REF!</v>
      </c>
      <c r="Q27" s="390" t="e">
        <f>IF(Eligibility!$J$12="HECO",#REF!*P27,IF(Eligibility!$J$12="HELCO",#REF!*P27,IF(Eligibility!$J$12="MECO - Maui",#REF!*P27,IF(Eligibility!$J$12="MECO - Lanai",#REF!*P27,IF(Eligibility!$J$12="MECO -Molokai",#REF!*P27,0)))))</f>
        <v>#REF!</v>
      </c>
      <c r="R27" s="390" t="e">
        <f>IF(Eligibility!$J$12="HECO",#REF!*Q27,IF(Eligibility!$J$12="HELCO",#REF!*Q27,IF(Eligibility!$J$12="MECO - Maui",#REF!*Q27,IF(Eligibility!$J$12="MECO - Lanai",#REF!*Q27,IF(Eligibility!$J$12="MECO -Molokai",#REF!*Q27,0)))))</f>
        <v>#REF!</v>
      </c>
      <c r="S27" s="390" t="e">
        <f>IF(Eligibility!$J$12="HECO",#REF!*R27,IF(Eligibility!$J$12="HELCO",#REF!*R27,IF(Eligibility!$J$12="MECO - Maui",#REF!*R27,IF(Eligibility!$J$12="MECO - Lanai",#REF!*R27,IF(Eligibility!$J$12="MECO -Molokai",#REF!*R27,0)))))</f>
        <v>#REF!</v>
      </c>
      <c r="T27" s="390" t="e">
        <f>IF(Eligibility!$J$12="HECO",#REF!*S27,IF(Eligibility!$J$12="HELCO",#REF!*S27,IF(Eligibility!$J$12="MECO - Maui",#REF!*S27,IF(Eligibility!$J$12="MECO - Lanai",#REF!*S27,IF(Eligibility!$J$12="MECO -Molokai",#REF!*S27,0)))))</f>
        <v>#REF!</v>
      </c>
      <c r="U27" s="390" t="e">
        <f>IF(Eligibility!$J$12="HECO",#REF!*T27,IF(Eligibility!$J$12="HELCO",#REF!*T27,IF(Eligibility!$J$12="MECO - Maui",#REF!*T27,IF(Eligibility!$J$12="MECO - Lanai",#REF!*T27,IF(Eligibility!$J$12="MECO -Molokai",#REF!*T27,0)))))</f>
        <v>#REF!</v>
      </c>
      <c r="V27" s="390" t="e">
        <f>IF(Eligibility!$J$12="HECO",#REF!*U27,IF(Eligibility!$J$12="HELCO",#REF!*U27,IF(Eligibility!$J$12="MECO - Maui",#REF!*U27,IF(Eligibility!$J$12="MECO - Lanai",#REF!*U27,IF(Eligibility!$J$12="MECO -Molokai",#REF!*U27,0)))))</f>
        <v>#REF!</v>
      </c>
      <c r="W27" s="390" t="e">
        <f>IF(Eligibility!$J$12="HECO",#REF!*V27,IF(Eligibility!$J$12="HELCO",#REF!*V27,IF(Eligibility!$J$12="MECO - Maui",#REF!*V27,IF(Eligibility!$J$12="MECO - Lanai",#REF!*V27,IF(Eligibility!$J$12="MECO -Molokai",#REF!*V27,0)))))</f>
        <v>#REF!</v>
      </c>
      <c r="X27" s="391" t="e">
        <f>IF(Eligibility!$J$12="HECO",#REF!*W27,IF(Eligibility!$J$12="HELCO",#REF!*W27,IF(Eligibility!$J$12="MECO - Maui",#REF!*W27,IF(Eligibility!$J$12="MECO - Lanai",#REF!*W27,IF(Eligibility!$J$12="MECO -Molokai",#REF!*W27,0)))))</f>
        <v>#REF!</v>
      </c>
      <c r="Y27" s="117"/>
    </row>
    <row r="28" spans="1:25" x14ac:dyDescent="0.2">
      <c r="A28" s="86" t="s">
        <v>136</v>
      </c>
      <c r="B28" s="89">
        <f>IF(Eligibility!$J$12="HECO",Eligibility!O14,IF(Eligibility!$J$12="HELCO",Eligibility!S14,IF(Eligibility!$J$12="MECO - Maui",Eligibility!W14,IF(Eligibility!$J$12="MECO - Lanai",Eligibility!AA14,IF(Eligibility!$J$12="MECO - Molokai",Eligibility!AE14,0)))))</f>
        <v>350</v>
      </c>
      <c r="C28" s="89">
        <f>IF(Eligibility!$J$12="HECO",Eligibility!P14,IF(Eligibility!$J$12="HELCO",Eligibility!T14,IF(Eligibility!$J$12="MECO - Maui",Eligibility!X14,IF(Eligibility!$J$12="MECO - Lanai",Eligibility!AB14,IF(Eligibility!$J$12="MECO - Molokai",Eligibility!AF14,0)))))</f>
        <v>0.27848099999999998</v>
      </c>
      <c r="D28" s="137">
        <f>IF(D23&lt;=$B$28,D23*$C$28,$B$28*$C$28)</f>
        <v>97.468349999999987</v>
      </c>
      <c r="E28" s="137">
        <f>IF(E23&lt;=$B$28,E23*$C$28,$B$28*$C$28)</f>
        <v>97.468349999999987</v>
      </c>
      <c r="F28" s="137" t="e">
        <f t="shared" ref="F28:X28" si="7">IF(F23&lt;=$B$28,F23*F25,$B$28*F25)</f>
        <v>#REF!</v>
      </c>
      <c r="G28" s="137" t="e">
        <f t="shared" si="7"/>
        <v>#REF!</v>
      </c>
      <c r="H28" s="137" t="e">
        <f t="shared" si="7"/>
        <v>#REF!</v>
      </c>
      <c r="I28" s="137" t="e">
        <f t="shared" si="7"/>
        <v>#REF!</v>
      </c>
      <c r="J28" s="137" t="e">
        <f t="shared" si="7"/>
        <v>#REF!</v>
      </c>
      <c r="K28" s="137" t="e">
        <f t="shared" si="7"/>
        <v>#REF!</v>
      </c>
      <c r="L28" s="137" t="e">
        <f t="shared" si="7"/>
        <v>#REF!</v>
      </c>
      <c r="M28" s="137" t="e">
        <f t="shared" si="7"/>
        <v>#REF!</v>
      </c>
      <c r="N28" s="137" t="e">
        <f t="shared" si="7"/>
        <v>#REF!</v>
      </c>
      <c r="O28" s="137" t="e">
        <f t="shared" si="7"/>
        <v>#REF!</v>
      </c>
      <c r="P28" s="137" t="e">
        <f t="shared" si="7"/>
        <v>#REF!</v>
      </c>
      <c r="Q28" s="137" t="e">
        <f t="shared" si="7"/>
        <v>#REF!</v>
      </c>
      <c r="R28" s="137" t="e">
        <f t="shared" si="7"/>
        <v>#REF!</v>
      </c>
      <c r="S28" s="137" t="e">
        <f t="shared" si="7"/>
        <v>#REF!</v>
      </c>
      <c r="T28" s="137" t="e">
        <f t="shared" si="7"/>
        <v>#REF!</v>
      </c>
      <c r="U28" s="137" t="e">
        <f t="shared" si="7"/>
        <v>#REF!</v>
      </c>
      <c r="V28" s="137" t="e">
        <f t="shared" si="7"/>
        <v>#REF!</v>
      </c>
      <c r="W28" s="137" t="e">
        <f t="shared" si="7"/>
        <v>#REF!</v>
      </c>
      <c r="X28" s="137" t="e">
        <f t="shared" si="7"/>
        <v>#REF!</v>
      </c>
      <c r="Y28" s="117"/>
    </row>
    <row r="29" spans="1:25" x14ac:dyDescent="0.2">
      <c r="A29" s="86" t="s">
        <v>137</v>
      </c>
      <c r="B29" s="89">
        <f>IF(Eligibility!$J$12="HECO",Eligibility!O15,IF(Eligibility!$J$12="HELCO",Eligibility!S15,IF(Eligibility!$J$12="MECO - Maui",Eligibility!W15,IF(Eligibility!$J$12="MECO - Lanai",Eligibility!AA15,IF(Eligibility!$J$12="MECO - Molokai",Eligibility!AE15,0)))))</f>
        <v>850</v>
      </c>
      <c r="C29" s="89">
        <f>IF(Eligibility!$J$12="HECO",Eligibility!P15,IF(Eligibility!$J$12="HELCO",Eligibility!T15,IF(Eligibility!$J$12="MECO - Maui",Eligibility!X15,IF(Eligibility!$J$12="MECO - Lanai",Eligibility!AB15,IF(Eligibility!$J$12="MECO - Molokai",Eligibility!AF15,0)))))</f>
        <v>0.290016</v>
      </c>
      <c r="D29" s="137">
        <f>IF(AND(D23&gt;$B$28,D23&lt;$B$30),(D23-$B$28)*$C$29,IF(D23&lt;$B$28,0,$B$29*$C$29))</f>
        <v>240.495768</v>
      </c>
      <c r="E29" s="137">
        <f>IF(AND(E23&gt;$B$28,E23&lt;$B$30),(E23-$B$28)*$C$29,IF(E23&lt;$B$28,0,$B$29*$C$29))</f>
        <v>86.595152399999989</v>
      </c>
      <c r="F29" s="137" t="e">
        <f>IF(AND(F23&gt;$B$28,F23&lt;$B$30),(F23-$B$28)*(F26),IF(F23&lt;$B$28,0,$B$29*(F26)))</f>
        <v>#REF!</v>
      </c>
      <c r="G29" s="137" t="e">
        <f t="shared" ref="G29:X29" si="8">IF(AND(G23&gt;$B$28,G23&lt;$B$30),(G23-$B$28)*(G26),IF(G23&lt;$B$28,0,$B$29*(G26)))</f>
        <v>#REF!</v>
      </c>
      <c r="H29" s="137" t="e">
        <f t="shared" si="8"/>
        <v>#REF!</v>
      </c>
      <c r="I29" s="137" t="e">
        <f t="shared" si="8"/>
        <v>#REF!</v>
      </c>
      <c r="J29" s="137" t="e">
        <f t="shared" si="8"/>
        <v>#REF!</v>
      </c>
      <c r="K29" s="137" t="e">
        <f t="shared" si="8"/>
        <v>#REF!</v>
      </c>
      <c r="L29" s="137" t="e">
        <f t="shared" si="8"/>
        <v>#REF!</v>
      </c>
      <c r="M29" s="137" t="e">
        <f t="shared" si="8"/>
        <v>#REF!</v>
      </c>
      <c r="N29" s="137" t="e">
        <f t="shared" si="8"/>
        <v>#REF!</v>
      </c>
      <c r="O29" s="137" t="e">
        <f t="shared" si="8"/>
        <v>#REF!</v>
      </c>
      <c r="P29" s="137" t="e">
        <f t="shared" si="8"/>
        <v>#REF!</v>
      </c>
      <c r="Q29" s="137" t="e">
        <f t="shared" si="8"/>
        <v>#REF!</v>
      </c>
      <c r="R29" s="137" t="e">
        <f t="shared" si="8"/>
        <v>#REF!</v>
      </c>
      <c r="S29" s="137" t="e">
        <f t="shared" si="8"/>
        <v>#REF!</v>
      </c>
      <c r="T29" s="137" t="e">
        <f t="shared" si="8"/>
        <v>#REF!</v>
      </c>
      <c r="U29" s="137" t="e">
        <f t="shared" si="8"/>
        <v>#REF!</v>
      </c>
      <c r="V29" s="137" t="e">
        <f t="shared" si="8"/>
        <v>#REF!</v>
      </c>
      <c r="W29" s="137" t="e">
        <f t="shared" si="8"/>
        <v>#REF!</v>
      </c>
      <c r="X29" s="137" t="e">
        <f t="shared" si="8"/>
        <v>#REF!</v>
      </c>
      <c r="Y29" s="117"/>
    </row>
    <row r="30" spans="1:25" x14ac:dyDescent="0.2">
      <c r="A30" s="86" t="s">
        <v>138</v>
      </c>
      <c r="B30" s="89">
        <f>IF(Eligibility!$J$12="HECO",Eligibility!O16,IF(Eligibility!$J$12="HELCO",Eligibility!S16,IF(Eligibility!$J$12="MECO - Maui",Eligibility!W16,IF(Eligibility!$J$12="MECO - Lanai",Eligibility!AA16,IF(Eligibility!$J$12="MECO - Molokai",Eligibility!AE16,0)))))</f>
        <v>1200</v>
      </c>
      <c r="C30" s="89">
        <f>IF(Eligibility!$J$12="HECO",Eligibility!P16,IF(Eligibility!$J$12="HELCO",Eligibility!T16,IF(Eligibility!$J$12="MECO - Maui",Eligibility!X16,IF(Eligibility!$J$12="MECO - Lanai",Eligibility!AB16,IF(Eligibility!$J$12="MECO - Molokai",Eligibility!AF16,0)))))</f>
        <v>0.30879000000000001</v>
      </c>
      <c r="D30" s="137">
        <f>IF(D23&gt;=$B$30,(D23-$B$30)*$C$30,0)</f>
        <v>0</v>
      </c>
      <c r="E30" s="137">
        <f>IF(E23&gt;=$B$30,(E23-$B$30)*$C$30,0)</f>
        <v>0</v>
      </c>
      <c r="F30" s="137">
        <f>IF(F23&gt;=$B$30,(F23-$B$30)*F27,0)</f>
        <v>0</v>
      </c>
      <c r="G30" s="137">
        <f t="shared" ref="G30:X30" si="9">IF(G23&gt;=$B$30,(G23-$B$30)*G27,0)</f>
        <v>0</v>
      </c>
      <c r="H30" s="137">
        <f t="shared" si="9"/>
        <v>0</v>
      </c>
      <c r="I30" s="137">
        <f t="shared" si="9"/>
        <v>0</v>
      </c>
      <c r="J30" s="137">
        <f t="shared" si="9"/>
        <v>0</v>
      </c>
      <c r="K30" s="137">
        <f t="shared" si="9"/>
        <v>0</v>
      </c>
      <c r="L30" s="137">
        <f t="shared" si="9"/>
        <v>0</v>
      </c>
      <c r="M30" s="137">
        <f t="shared" si="9"/>
        <v>0</v>
      </c>
      <c r="N30" s="137">
        <f t="shared" si="9"/>
        <v>0</v>
      </c>
      <c r="O30" s="137">
        <f t="shared" si="9"/>
        <v>0</v>
      </c>
      <c r="P30" s="137">
        <f t="shared" si="9"/>
        <v>0</v>
      </c>
      <c r="Q30" s="137">
        <f t="shared" si="9"/>
        <v>0</v>
      </c>
      <c r="R30" s="137">
        <f t="shared" si="9"/>
        <v>0</v>
      </c>
      <c r="S30" s="137">
        <f t="shared" si="9"/>
        <v>0</v>
      </c>
      <c r="T30" s="137">
        <f t="shared" si="9"/>
        <v>0</v>
      </c>
      <c r="U30" s="137">
        <f t="shared" si="9"/>
        <v>0</v>
      </c>
      <c r="V30" s="137">
        <f t="shared" si="9"/>
        <v>0</v>
      </c>
      <c r="W30" s="137">
        <f t="shared" si="9"/>
        <v>0</v>
      </c>
      <c r="X30" s="137">
        <f t="shared" si="9"/>
        <v>0</v>
      </c>
      <c r="Y30" s="117"/>
    </row>
    <row r="31" spans="1:25" x14ac:dyDescent="0.2">
      <c r="D31" s="285">
        <f>SUM(D28:D30)</f>
        <v>337.96411799999998</v>
      </c>
      <c r="E31" s="285">
        <f>SUM(E28:E30)</f>
        <v>184.06350239999998</v>
      </c>
      <c r="F31" s="285" t="e">
        <f t="shared" ref="F31:X31" si="10">SUM(F28:F30)</f>
        <v>#REF!</v>
      </c>
      <c r="G31" s="285" t="e">
        <f t="shared" si="10"/>
        <v>#REF!</v>
      </c>
      <c r="H31" s="285" t="e">
        <f t="shared" si="10"/>
        <v>#REF!</v>
      </c>
      <c r="I31" s="285" t="e">
        <f t="shared" si="10"/>
        <v>#REF!</v>
      </c>
      <c r="J31" s="285" t="e">
        <f t="shared" si="10"/>
        <v>#REF!</v>
      </c>
      <c r="K31" s="285" t="e">
        <f t="shared" si="10"/>
        <v>#REF!</v>
      </c>
      <c r="L31" s="285" t="e">
        <f t="shared" si="10"/>
        <v>#REF!</v>
      </c>
      <c r="M31" s="285" t="e">
        <f t="shared" si="10"/>
        <v>#REF!</v>
      </c>
      <c r="N31" s="285" t="e">
        <f t="shared" si="10"/>
        <v>#REF!</v>
      </c>
      <c r="O31" s="285" t="e">
        <f t="shared" si="10"/>
        <v>#REF!</v>
      </c>
      <c r="P31" s="285" t="e">
        <f t="shared" si="10"/>
        <v>#REF!</v>
      </c>
      <c r="Q31" s="285" t="e">
        <f t="shared" si="10"/>
        <v>#REF!</v>
      </c>
      <c r="R31" s="285" t="e">
        <f t="shared" si="10"/>
        <v>#REF!</v>
      </c>
      <c r="S31" s="285" t="e">
        <f t="shared" si="10"/>
        <v>#REF!</v>
      </c>
      <c r="T31" s="285" t="e">
        <f t="shared" si="10"/>
        <v>#REF!</v>
      </c>
      <c r="U31" s="285" t="e">
        <f t="shared" si="10"/>
        <v>#REF!</v>
      </c>
      <c r="V31" s="285" t="e">
        <f t="shared" si="10"/>
        <v>#REF!</v>
      </c>
      <c r="W31" s="285" t="e">
        <f t="shared" si="10"/>
        <v>#REF!</v>
      </c>
      <c r="X31" s="285" t="e">
        <f t="shared" si="10"/>
        <v>#REF!</v>
      </c>
      <c r="Y31" s="117"/>
    </row>
    <row r="32" spans="1:25" x14ac:dyDescent="0.2">
      <c r="D32" s="380" t="s">
        <v>361</v>
      </c>
      <c r="E32" s="136"/>
      <c r="F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117"/>
    </row>
    <row r="33" spans="1:25" s="151" customFormat="1" x14ac:dyDescent="0.2">
      <c r="A33" s="147" t="s">
        <v>267</v>
      </c>
      <c r="B33" s="147"/>
      <c r="C33" s="147"/>
      <c r="D33" s="375">
        <v>1.0501</v>
      </c>
      <c r="E33" s="148">
        <f>IF(Eligibility!$J$12="HECO",$D$31*12,0)</f>
        <v>4055.5694159999998</v>
      </c>
      <c r="F33" s="149">
        <f>E33*$D$33</f>
        <v>4258.7534437415998</v>
      </c>
      <c r="G33" s="149">
        <f t="shared" ref="G33:X33" si="11">F33*$D$33</f>
        <v>4472.1169912730538</v>
      </c>
      <c r="H33" s="149">
        <f t="shared" si="11"/>
        <v>4696.1700525358337</v>
      </c>
      <c r="I33" s="149">
        <f t="shared" si="11"/>
        <v>4931.4481721678794</v>
      </c>
      <c r="J33" s="149">
        <f t="shared" si="11"/>
        <v>5178.5137255934906</v>
      </c>
      <c r="K33" s="149">
        <f t="shared" si="11"/>
        <v>5437.9572632457248</v>
      </c>
      <c r="L33" s="149">
        <f t="shared" si="11"/>
        <v>5710.3989221343354</v>
      </c>
      <c r="M33" s="149">
        <f t="shared" si="11"/>
        <v>5996.489908133266</v>
      </c>
      <c r="N33" s="149">
        <f t="shared" si="11"/>
        <v>6296.914052530743</v>
      </c>
      <c r="O33" s="149">
        <f t="shared" si="11"/>
        <v>6612.3894465625335</v>
      </c>
      <c r="P33" s="149">
        <f t="shared" si="11"/>
        <v>6943.6701578353168</v>
      </c>
      <c r="Q33" s="149">
        <f t="shared" si="11"/>
        <v>7291.5480327428668</v>
      </c>
      <c r="R33" s="149">
        <f t="shared" si="11"/>
        <v>7656.8545891832846</v>
      </c>
      <c r="S33" s="149">
        <f t="shared" si="11"/>
        <v>8040.463004101367</v>
      </c>
      <c r="T33" s="149">
        <f t="shared" si="11"/>
        <v>8443.2902006068452</v>
      </c>
      <c r="U33" s="149">
        <f t="shared" si="11"/>
        <v>8866.2990396572477</v>
      </c>
      <c r="V33" s="149">
        <f t="shared" si="11"/>
        <v>9310.5006215440753</v>
      </c>
      <c r="W33" s="149">
        <f t="shared" si="11"/>
        <v>9776.9567026834338</v>
      </c>
      <c r="X33" s="149">
        <f t="shared" si="11"/>
        <v>10266.782233487875</v>
      </c>
      <c r="Y33" s="150">
        <f>SUM(E33:X33)</f>
        <v>134243.08597576077</v>
      </c>
    </row>
    <row r="34" spans="1:25" s="156" customFormat="1" x14ac:dyDescent="0.2">
      <c r="A34" s="152" t="s">
        <v>174</v>
      </c>
      <c r="B34" s="152"/>
      <c r="C34" s="152"/>
      <c r="D34" s="376">
        <v>1.0133000000000001</v>
      </c>
      <c r="E34" s="153">
        <f>IF(Eligibility!$J$12="HELCO",$D$31*12,0)</f>
        <v>0</v>
      </c>
      <c r="F34" s="154">
        <f>E34*$D$34</f>
        <v>0</v>
      </c>
      <c r="G34" s="154">
        <f t="shared" ref="G34:X34" si="12">F34*$D$34</f>
        <v>0</v>
      </c>
      <c r="H34" s="154">
        <f t="shared" si="12"/>
        <v>0</v>
      </c>
      <c r="I34" s="154">
        <f t="shared" si="12"/>
        <v>0</v>
      </c>
      <c r="J34" s="154">
        <f t="shared" si="12"/>
        <v>0</v>
      </c>
      <c r="K34" s="154">
        <f t="shared" si="12"/>
        <v>0</v>
      </c>
      <c r="L34" s="154">
        <f t="shared" si="12"/>
        <v>0</v>
      </c>
      <c r="M34" s="154">
        <f t="shared" si="12"/>
        <v>0</v>
      </c>
      <c r="N34" s="154">
        <f t="shared" si="12"/>
        <v>0</v>
      </c>
      <c r="O34" s="154">
        <f t="shared" si="12"/>
        <v>0</v>
      </c>
      <c r="P34" s="154">
        <f t="shared" si="12"/>
        <v>0</v>
      </c>
      <c r="Q34" s="154">
        <f t="shared" si="12"/>
        <v>0</v>
      </c>
      <c r="R34" s="154">
        <f t="shared" si="12"/>
        <v>0</v>
      </c>
      <c r="S34" s="154">
        <f t="shared" si="12"/>
        <v>0</v>
      </c>
      <c r="T34" s="154">
        <f t="shared" si="12"/>
        <v>0</v>
      </c>
      <c r="U34" s="154">
        <f t="shared" si="12"/>
        <v>0</v>
      </c>
      <c r="V34" s="154">
        <f t="shared" si="12"/>
        <v>0</v>
      </c>
      <c r="W34" s="154">
        <f t="shared" si="12"/>
        <v>0</v>
      </c>
      <c r="X34" s="154">
        <f t="shared" si="12"/>
        <v>0</v>
      </c>
      <c r="Y34" s="155">
        <f t="shared" ref="Y34:Y58" si="13">SUM(E34:X34)</f>
        <v>0</v>
      </c>
    </row>
    <row r="35" spans="1:25" s="161" customFormat="1" x14ac:dyDescent="0.2">
      <c r="A35" s="157" t="s">
        <v>175</v>
      </c>
      <c r="B35" s="157"/>
      <c r="C35" s="157"/>
      <c r="D35" s="377">
        <v>1.0239</v>
      </c>
      <c r="E35" s="158">
        <f>IF(Eligibility!$J$12="MECO - Maui",$D$31*12,0)</f>
        <v>0</v>
      </c>
      <c r="F35" s="159">
        <f>E35*$D$35</f>
        <v>0</v>
      </c>
      <c r="G35" s="159">
        <f t="shared" ref="G35:X35" si="14">F35*$D$35</f>
        <v>0</v>
      </c>
      <c r="H35" s="159">
        <f t="shared" si="14"/>
        <v>0</v>
      </c>
      <c r="I35" s="159">
        <f t="shared" si="14"/>
        <v>0</v>
      </c>
      <c r="J35" s="159">
        <f t="shared" si="14"/>
        <v>0</v>
      </c>
      <c r="K35" s="159">
        <f t="shared" si="14"/>
        <v>0</v>
      </c>
      <c r="L35" s="159">
        <f t="shared" si="14"/>
        <v>0</v>
      </c>
      <c r="M35" s="159">
        <f t="shared" si="14"/>
        <v>0</v>
      </c>
      <c r="N35" s="159">
        <f t="shared" si="14"/>
        <v>0</v>
      </c>
      <c r="O35" s="159">
        <f t="shared" si="14"/>
        <v>0</v>
      </c>
      <c r="P35" s="159">
        <f t="shared" si="14"/>
        <v>0</v>
      </c>
      <c r="Q35" s="159">
        <f t="shared" si="14"/>
        <v>0</v>
      </c>
      <c r="R35" s="159">
        <f t="shared" si="14"/>
        <v>0</v>
      </c>
      <c r="S35" s="159">
        <f t="shared" si="14"/>
        <v>0</v>
      </c>
      <c r="T35" s="159">
        <f t="shared" si="14"/>
        <v>0</v>
      </c>
      <c r="U35" s="159">
        <f t="shared" si="14"/>
        <v>0</v>
      </c>
      <c r="V35" s="159">
        <f t="shared" si="14"/>
        <v>0</v>
      </c>
      <c r="W35" s="159">
        <f t="shared" si="14"/>
        <v>0</v>
      </c>
      <c r="X35" s="159">
        <f t="shared" si="14"/>
        <v>0</v>
      </c>
      <c r="Y35" s="160">
        <f t="shared" si="13"/>
        <v>0</v>
      </c>
    </row>
    <row r="36" spans="1:25" s="171" customFormat="1" x14ac:dyDescent="0.2">
      <c r="A36" s="167" t="s">
        <v>176</v>
      </c>
      <c r="B36" s="167"/>
      <c r="C36" s="167"/>
      <c r="D36" s="378">
        <v>1.0228999999999999</v>
      </c>
      <c r="E36" s="168">
        <f>IF(Eligibility!$J$12="MECO - Lanai",$D$31*12,0)</f>
        <v>0</v>
      </c>
      <c r="F36" s="169">
        <f>E36*$D$36</f>
        <v>0</v>
      </c>
      <c r="G36" s="169">
        <f t="shared" ref="G36:X36" si="15">F36*$D$36</f>
        <v>0</v>
      </c>
      <c r="H36" s="169">
        <f t="shared" si="15"/>
        <v>0</v>
      </c>
      <c r="I36" s="169">
        <f t="shared" si="15"/>
        <v>0</v>
      </c>
      <c r="J36" s="169">
        <f t="shared" si="15"/>
        <v>0</v>
      </c>
      <c r="K36" s="169">
        <f t="shared" si="15"/>
        <v>0</v>
      </c>
      <c r="L36" s="169">
        <f t="shared" si="15"/>
        <v>0</v>
      </c>
      <c r="M36" s="169">
        <f t="shared" si="15"/>
        <v>0</v>
      </c>
      <c r="N36" s="169">
        <f t="shared" si="15"/>
        <v>0</v>
      </c>
      <c r="O36" s="169">
        <f t="shared" si="15"/>
        <v>0</v>
      </c>
      <c r="P36" s="169">
        <f t="shared" si="15"/>
        <v>0</v>
      </c>
      <c r="Q36" s="169">
        <f t="shared" si="15"/>
        <v>0</v>
      </c>
      <c r="R36" s="169">
        <f t="shared" si="15"/>
        <v>0</v>
      </c>
      <c r="S36" s="169">
        <f t="shared" si="15"/>
        <v>0</v>
      </c>
      <c r="T36" s="169">
        <f t="shared" si="15"/>
        <v>0</v>
      </c>
      <c r="U36" s="169">
        <f t="shared" si="15"/>
        <v>0</v>
      </c>
      <c r="V36" s="169">
        <f t="shared" si="15"/>
        <v>0</v>
      </c>
      <c r="W36" s="169">
        <f t="shared" si="15"/>
        <v>0</v>
      </c>
      <c r="X36" s="169">
        <f t="shared" si="15"/>
        <v>0</v>
      </c>
      <c r="Y36" s="170">
        <f t="shared" si="13"/>
        <v>0</v>
      </c>
    </row>
    <row r="37" spans="1:25" s="166" customFormat="1" x14ac:dyDescent="0.2">
      <c r="A37" s="162" t="s">
        <v>177</v>
      </c>
      <c r="B37" s="162"/>
      <c r="C37" s="162"/>
      <c r="D37" s="379">
        <v>1.0172000000000001</v>
      </c>
      <c r="E37" s="163">
        <f>IF(Eligibility!$J$12="MECO - Molokai",$D$31*12,0)</f>
        <v>0</v>
      </c>
      <c r="F37" s="164">
        <f>E37*$D$37</f>
        <v>0</v>
      </c>
      <c r="G37" s="164">
        <f t="shared" ref="G37:X37" si="16">F37*$D$37</f>
        <v>0</v>
      </c>
      <c r="H37" s="164">
        <f t="shared" si="16"/>
        <v>0</v>
      </c>
      <c r="I37" s="164">
        <f t="shared" si="16"/>
        <v>0</v>
      </c>
      <c r="J37" s="164">
        <f t="shared" si="16"/>
        <v>0</v>
      </c>
      <c r="K37" s="164">
        <f t="shared" si="16"/>
        <v>0</v>
      </c>
      <c r="L37" s="164">
        <f t="shared" si="16"/>
        <v>0</v>
      </c>
      <c r="M37" s="164">
        <f t="shared" si="16"/>
        <v>0</v>
      </c>
      <c r="N37" s="164">
        <f t="shared" si="16"/>
        <v>0</v>
      </c>
      <c r="O37" s="164">
        <f t="shared" si="16"/>
        <v>0</v>
      </c>
      <c r="P37" s="164">
        <f t="shared" si="16"/>
        <v>0</v>
      </c>
      <c r="Q37" s="164">
        <f t="shared" si="16"/>
        <v>0</v>
      </c>
      <c r="R37" s="164">
        <f t="shared" si="16"/>
        <v>0</v>
      </c>
      <c r="S37" s="164">
        <f t="shared" si="16"/>
        <v>0</v>
      </c>
      <c r="T37" s="164">
        <f t="shared" si="16"/>
        <v>0</v>
      </c>
      <c r="U37" s="164">
        <f t="shared" si="16"/>
        <v>0</v>
      </c>
      <c r="V37" s="164">
        <f t="shared" si="16"/>
        <v>0</v>
      </c>
      <c r="W37" s="164">
        <f t="shared" si="16"/>
        <v>0</v>
      </c>
      <c r="X37" s="164">
        <f t="shared" si="16"/>
        <v>0</v>
      </c>
      <c r="Y37" s="165">
        <f t="shared" si="13"/>
        <v>0</v>
      </c>
    </row>
    <row r="38" spans="1:25" s="414" customFormat="1" hidden="1" x14ac:dyDescent="0.2">
      <c r="A38" s="411"/>
      <c r="B38" s="411"/>
      <c r="C38" s="411"/>
      <c r="D38" s="410"/>
      <c r="E38" s="415">
        <f>IF((E14/12)&lt;$B$28,(E14/12)*C28,$B$28*C28)</f>
        <v>0</v>
      </c>
      <c r="F38" s="412" t="e">
        <f>IF((F14/12)&lt;=$B$28,(F14/12)*F$25,$B$28*F$25)</f>
        <v>#REF!</v>
      </c>
      <c r="G38" s="412" t="e">
        <f t="shared" ref="G38:X38" si="17">IF((G14/12)&lt;=$B$28,(G14/12)*G$25,$B$28*G$25)</f>
        <v>#REF!</v>
      </c>
      <c r="H38" s="412" t="e">
        <f t="shared" si="17"/>
        <v>#REF!</v>
      </c>
      <c r="I38" s="412" t="e">
        <f t="shared" si="17"/>
        <v>#REF!</v>
      </c>
      <c r="J38" s="412" t="e">
        <f t="shared" si="17"/>
        <v>#REF!</v>
      </c>
      <c r="K38" s="412" t="e">
        <f t="shared" si="17"/>
        <v>#REF!</v>
      </c>
      <c r="L38" s="412" t="e">
        <f t="shared" si="17"/>
        <v>#REF!</v>
      </c>
      <c r="M38" s="412" t="e">
        <f t="shared" si="17"/>
        <v>#REF!</v>
      </c>
      <c r="N38" s="412" t="e">
        <f t="shared" si="17"/>
        <v>#REF!</v>
      </c>
      <c r="O38" s="412" t="e">
        <f t="shared" si="17"/>
        <v>#REF!</v>
      </c>
      <c r="P38" s="412" t="e">
        <f t="shared" si="17"/>
        <v>#REF!</v>
      </c>
      <c r="Q38" s="412" t="e">
        <f t="shared" si="17"/>
        <v>#REF!</v>
      </c>
      <c r="R38" s="412" t="e">
        <f t="shared" si="17"/>
        <v>#REF!</v>
      </c>
      <c r="S38" s="412" t="e">
        <f t="shared" si="17"/>
        <v>#REF!</v>
      </c>
      <c r="T38" s="412" t="e">
        <f t="shared" si="17"/>
        <v>#REF!</v>
      </c>
      <c r="U38" s="412" t="e">
        <f t="shared" si="17"/>
        <v>#REF!</v>
      </c>
      <c r="V38" s="412" t="e">
        <f t="shared" si="17"/>
        <v>#REF!</v>
      </c>
      <c r="W38" s="412" t="e">
        <f t="shared" si="17"/>
        <v>#REF!</v>
      </c>
      <c r="X38" s="412" t="e">
        <f t="shared" si="17"/>
        <v>#REF!</v>
      </c>
      <c r="Y38" s="172"/>
    </row>
    <row r="39" spans="1:25" s="414" customFormat="1" hidden="1" x14ac:dyDescent="0.2">
      <c r="A39" s="411"/>
      <c r="B39" s="411"/>
      <c r="C39" s="411"/>
      <c r="D39" s="410"/>
      <c r="E39" s="416">
        <f>IF(AND((E14/12)&gt;$B$28,(E14/12)&lt;$B$30),((E14/12)-$B$28)*$C$29,IF((E14/12)&lt;$B$28,0,$B$29*$C$29))</f>
        <v>0</v>
      </c>
      <c r="F39" s="416">
        <f>IF(AND((F14/12)&gt;$B$28,(F14/12)&lt;$B$30),((F14/12)-$B$28)*(F$26),IF((F14/12)&lt;$B$28,0,$B$29*(F$26)))</f>
        <v>0</v>
      </c>
      <c r="G39" s="416">
        <f t="shared" ref="G39:X39" si="18">IF(AND((G14/12)&gt;$B$28,(G14/12)&lt;$B$30),((G14/12)-$B$28)*(G$26),IF((G14/12)&lt;$B$28,0,$B$29*(G$26)))</f>
        <v>0</v>
      </c>
      <c r="H39" s="416">
        <f t="shared" si="18"/>
        <v>0</v>
      </c>
      <c r="I39" s="416">
        <f t="shared" si="18"/>
        <v>0</v>
      </c>
      <c r="J39" s="416">
        <f t="shared" si="18"/>
        <v>0</v>
      </c>
      <c r="K39" s="416">
        <f t="shared" si="18"/>
        <v>0</v>
      </c>
      <c r="L39" s="416">
        <f t="shared" si="18"/>
        <v>0</v>
      </c>
      <c r="M39" s="416">
        <f t="shared" si="18"/>
        <v>0</v>
      </c>
      <c r="N39" s="416">
        <f t="shared" si="18"/>
        <v>0</v>
      </c>
      <c r="O39" s="416">
        <f t="shared" si="18"/>
        <v>0</v>
      </c>
      <c r="P39" s="416">
        <f t="shared" si="18"/>
        <v>0</v>
      </c>
      <c r="Q39" s="416">
        <f t="shared" si="18"/>
        <v>0</v>
      </c>
      <c r="R39" s="416">
        <f t="shared" si="18"/>
        <v>0</v>
      </c>
      <c r="S39" s="416">
        <f t="shared" si="18"/>
        <v>0</v>
      </c>
      <c r="T39" s="416">
        <f t="shared" si="18"/>
        <v>0</v>
      </c>
      <c r="U39" s="416">
        <f t="shared" si="18"/>
        <v>0</v>
      </c>
      <c r="V39" s="416">
        <f t="shared" si="18"/>
        <v>0</v>
      </c>
      <c r="W39" s="416">
        <f t="shared" si="18"/>
        <v>0</v>
      </c>
      <c r="X39" s="416">
        <f t="shared" si="18"/>
        <v>0</v>
      </c>
      <c r="Y39" s="172"/>
    </row>
    <row r="40" spans="1:25" s="414" customFormat="1" hidden="1" x14ac:dyDescent="0.2">
      <c r="A40" s="411"/>
      <c r="B40" s="411"/>
      <c r="C40" s="411"/>
      <c r="D40" s="410"/>
      <c r="E40" s="415">
        <f>IF((E14/12)&gt;=$B$30,((E14/12)-$B$30)*$C$30,0)</f>
        <v>0</v>
      </c>
      <c r="F40" s="417">
        <f>IF((F14/12)&gt;=$B$30,((F14/12)-$B$30)*F$27,0)</f>
        <v>0</v>
      </c>
      <c r="G40" s="417">
        <f t="shared" ref="G40:X40" si="19">IF((G14/12)&gt;=$B$30,((G14/12)-$B$30)*G$27,0)</f>
        <v>0</v>
      </c>
      <c r="H40" s="417">
        <f t="shared" si="19"/>
        <v>0</v>
      </c>
      <c r="I40" s="417">
        <f t="shared" si="19"/>
        <v>0</v>
      </c>
      <c r="J40" s="417">
        <f t="shared" si="19"/>
        <v>0</v>
      </c>
      <c r="K40" s="417">
        <f t="shared" si="19"/>
        <v>0</v>
      </c>
      <c r="L40" s="417">
        <f t="shared" si="19"/>
        <v>0</v>
      </c>
      <c r="M40" s="417">
        <f t="shared" si="19"/>
        <v>0</v>
      </c>
      <c r="N40" s="417">
        <f t="shared" si="19"/>
        <v>0</v>
      </c>
      <c r="O40" s="417">
        <f t="shared" si="19"/>
        <v>0</v>
      </c>
      <c r="P40" s="417">
        <f t="shared" si="19"/>
        <v>0</v>
      </c>
      <c r="Q40" s="417">
        <f t="shared" si="19"/>
        <v>0</v>
      </c>
      <c r="R40" s="417">
        <f t="shared" si="19"/>
        <v>0</v>
      </c>
      <c r="S40" s="417">
        <f t="shared" si="19"/>
        <v>0</v>
      </c>
      <c r="T40" s="417">
        <f t="shared" si="19"/>
        <v>0</v>
      </c>
      <c r="U40" s="417">
        <f t="shared" si="19"/>
        <v>0</v>
      </c>
      <c r="V40" s="417">
        <f t="shared" si="19"/>
        <v>0</v>
      </c>
      <c r="W40" s="417">
        <f t="shared" si="19"/>
        <v>0</v>
      </c>
      <c r="X40" s="417">
        <f t="shared" si="19"/>
        <v>0</v>
      </c>
      <c r="Y40" s="413"/>
    </row>
    <row r="41" spans="1:25" s="66" customFormat="1" x14ac:dyDescent="0.2">
      <c r="A41" s="129" t="s">
        <v>391</v>
      </c>
      <c r="B41" s="129"/>
      <c r="C41" s="129"/>
      <c r="D41" s="129"/>
      <c r="E41" s="141">
        <f>SUM(E38:E40)*12</f>
        <v>0</v>
      </c>
      <c r="F41" s="141" t="e">
        <f t="shared" ref="F41:X41" si="20">SUM(F38:F40)*12</f>
        <v>#REF!</v>
      </c>
      <c r="G41" s="141" t="e">
        <f t="shared" si="20"/>
        <v>#REF!</v>
      </c>
      <c r="H41" s="141" t="e">
        <f t="shared" si="20"/>
        <v>#REF!</v>
      </c>
      <c r="I41" s="141" t="e">
        <f t="shared" si="20"/>
        <v>#REF!</v>
      </c>
      <c r="J41" s="141" t="e">
        <f t="shared" si="20"/>
        <v>#REF!</v>
      </c>
      <c r="K41" s="141" t="e">
        <f t="shared" si="20"/>
        <v>#REF!</v>
      </c>
      <c r="L41" s="141" t="e">
        <f t="shared" si="20"/>
        <v>#REF!</v>
      </c>
      <c r="M41" s="141" t="e">
        <f t="shared" si="20"/>
        <v>#REF!</v>
      </c>
      <c r="N41" s="141" t="e">
        <f t="shared" si="20"/>
        <v>#REF!</v>
      </c>
      <c r="O41" s="141" t="e">
        <f t="shared" si="20"/>
        <v>#REF!</v>
      </c>
      <c r="P41" s="141" t="e">
        <f t="shared" si="20"/>
        <v>#REF!</v>
      </c>
      <c r="Q41" s="141" t="e">
        <f t="shared" si="20"/>
        <v>#REF!</v>
      </c>
      <c r="R41" s="141" t="e">
        <f t="shared" si="20"/>
        <v>#REF!</v>
      </c>
      <c r="S41" s="141" t="e">
        <f t="shared" si="20"/>
        <v>#REF!</v>
      </c>
      <c r="T41" s="141" t="e">
        <f t="shared" si="20"/>
        <v>#REF!</v>
      </c>
      <c r="U41" s="141" t="e">
        <f t="shared" si="20"/>
        <v>#REF!</v>
      </c>
      <c r="V41" s="141" t="e">
        <f t="shared" si="20"/>
        <v>#REF!</v>
      </c>
      <c r="W41" s="141" t="e">
        <f t="shared" si="20"/>
        <v>#REF!</v>
      </c>
      <c r="X41" s="141" t="e">
        <f t="shared" si="20"/>
        <v>#REF!</v>
      </c>
      <c r="Y41" s="131" t="e">
        <f>SUM(E41:X41)</f>
        <v>#REF!</v>
      </c>
    </row>
    <row r="42" spans="1:25" s="66" customFormat="1" x14ac:dyDescent="0.2">
      <c r="A42" s="129" t="s">
        <v>397</v>
      </c>
      <c r="B42" s="129"/>
      <c r="C42" s="129"/>
      <c r="D42" s="132"/>
      <c r="E42" s="141">
        <f>D11*12</f>
        <v>0</v>
      </c>
      <c r="F42" s="130">
        <f>E42</f>
        <v>0</v>
      </c>
      <c r="G42" s="130">
        <f t="shared" ref="G42:X42" si="21">F42</f>
        <v>0</v>
      </c>
      <c r="H42" s="130">
        <f t="shared" si="21"/>
        <v>0</v>
      </c>
      <c r="I42" s="130">
        <f t="shared" si="21"/>
        <v>0</v>
      </c>
      <c r="J42" s="130">
        <f t="shared" si="21"/>
        <v>0</v>
      </c>
      <c r="K42" s="130">
        <f t="shared" si="21"/>
        <v>0</v>
      </c>
      <c r="L42" s="130">
        <f t="shared" si="21"/>
        <v>0</v>
      </c>
      <c r="M42" s="130">
        <f t="shared" si="21"/>
        <v>0</v>
      </c>
      <c r="N42" s="130">
        <f t="shared" si="21"/>
        <v>0</v>
      </c>
      <c r="O42" s="130">
        <f t="shared" si="21"/>
        <v>0</v>
      </c>
      <c r="P42" s="130">
        <f t="shared" si="21"/>
        <v>0</v>
      </c>
      <c r="Q42" s="130">
        <f t="shared" si="21"/>
        <v>0</v>
      </c>
      <c r="R42" s="130">
        <f t="shared" si="21"/>
        <v>0</v>
      </c>
      <c r="S42" s="130">
        <f t="shared" si="21"/>
        <v>0</v>
      </c>
      <c r="T42" s="130">
        <f t="shared" si="21"/>
        <v>0</v>
      </c>
      <c r="U42" s="130">
        <f t="shared" si="21"/>
        <v>0</v>
      </c>
      <c r="V42" s="130">
        <f t="shared" si="21"/>
        <v>0</v>
      </c>
      <c r="W42" s="130">
        <f t="shared" si="21"/>
        <v>0</v>
      </c>
      <c r="X42" s="130">
        <f t="shared" si="21"/>
        <v>0</v>
      </c>
      <c r="Y42" s="131">
        <f t="shared" si="13"/>
        <v>0</v>
      </c>
    </row>
    <row r="43" spans="1:25" s="66" customFormat="1" x14ac:dyDescent="0.2">
      <c r="A43" s="129"/>
      <c r="B43" s="129"/>
      <c r="C43" s="129"/>
      <c r="D43" s="132"/>
      <c r="E43" s="141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1"/>
    </row>
    <row r="44" spans="1:25" s="151" customFormat="1" x14ac:dyDescent="0.2">
      <c r="A44" s="147" t="s">
        <v>246</v>
      </c>
      <c r="B44" s="147"/>
      <c r="C44" s="147"/>
      <c r="D44" s="178"/>
      <c r="E44" s="179">
        <f>IF(Eligibility!$J$12="HECO",SUM(E28:E30)*12,0)</f>
        <v>2208.7620287999998</v>
      </c>
      <c r="F44" s="179" t="e">
        <f>IF(Eligibility!$J$12="HECO",SUM(F28:F30)*12,0)</f>
        <v>#REF!</v>
      </c>
      <c r="G44" s="179" t="e">
        <f>IF(Eligibility!$J$12="HECO",SUM(G28:G30)*12,0)</f>
        <v>#REF!</v>
      </c>
      <c r="H44" s="179" t="e">
        <f>IF(Eligibility!$J$12="HECO",SUM(H28:H30)*12,0)</f>
        <v>#REF!</v>
      </c>
      <c r="I44" s="179" t="e">
        <f>IF(Eligibility!$J$12="HECO",SUM(I28:I30)*12,0)</f>
        <v>#REF!</v>
      </c>
      <c r="J44" s="179" t="e">
        <f>IF(Eligibility!$J$12="HECO",SUM(J28:J30)*12,0)</f>
        <v>#REF!</v>
      </c>
      <c r="K44" s="179" t="e">
        <f>IF(Eligibility!$J$12="HECO",SUM(K28:K30)*12,0)</f>
        <v>#REF!</v>
      </c>
      <c r="L44" s="179" t="e">
        <f>IF(Eligibility!$J$12="HECO",SUM(L28:L30)*12,0)</f>
        <v>#REF!</v>
      </c>
      <c r="M44" s="179" t="e">
        <f>IF(Eligibility!$J$12="HECO",SUM(M28:M30)*12,0)</f>
        <v>#REF!</v>
      </c>
      <c r="N44" s="179" t="e">
        <f>IF(Eligibility!$J$12="HECO",SUM(N28:N30)*12,0)</f>
        <v>#REF!</v>
      </c>
      <c r="O44" s="179" t="e">
        <f>IF(Eligibility!$J$12="HECO",SUM(O28:O30)*12,0)</f>
        <v>#REF!</v>
      </c>
      <c r="P44" s="179" t="e">
        <f>IF(Eligibility!$J$12="HECO",SUM(P28:P30)*12,0)</f>
        <v>#REF!</v>
      </c>
      <c r="Q44" s="179" t="e">
        <f>IF(Eligibility!$J$12="HECO",SUM(Q28:Q30)*12,0)</f>
        <v>#REF!</v>
      </c>
      <c r="R44" s="179" t="e">
        <f>IF(Eligibility!$J$12="HECO",SUM(R28:R30)*12,0)</f>
        <v>#REF!</v>
      </c>
      <c r="S44" s="179" t="e">
        <f>IF(Eligibility!$J$12="HECO",SUM(S28:S30)*12,0)</f>
        <v>#REF!</v>
      </c>
      <c r="T44" s="179" t="e">
        <f>IF(Eligibility!$J$12="HECO",SUM(T28:T30)*12,0)</f>
        <v>#REF!</v>
      </c>
      <c r="U44" s="179" t="e">
        <f>IF(Eligibility!$J$12="HECO",SUM(U28:U30)*12,0)</f>
        <v>#REF!</v>
      </c>
      <c r="V44" s="179" t="e">
        <f>IF(Eligibility!$J$12="HECO",SUM(V28:V30)*12,0)</f>
        <v>#REF!</v>
      </c>
      <c r="W44" s="179" t="e">
        <f>IF(Eligibility!$J$12="HECO",SUM(W28:W30)*12,0)</f>
        <v>#REF!</v>
      </c>
      <c r="X44" s="179" t="e">
        <f>IF(Eligibility!$J$12="HECO",SUM(X28:X30)*12,0)</f>
        <v>#REF!</v>
      </c>
      <c r="Y44" s="150" t="e">
        <f t="shared" si="13"/>
        <v>#REF!</v>
      </c>
    </row>
    <row r="45" spans="1:25" s="151" customFormat="1" ht="17" x14ac:dyDescent="0.3">
      <c r="A45" s="147" t="s">
        <v>362</v>
      </c>
      <c r="B45" s="147"/>
      <c r="C45" s="147"/>
      <c r="D45" s="381">
        <v>0.1507</v>
      </c>
      <c r="E45" s="293">
        <f>IF(Eligibility!$J$12="HECO",IF((AND(E16&gt;0,E21&gt;0)),IF(E21&lt;=E16,-E21*$D$45,-E16*$D$45),0),0)</f>
        <v>0</v>
      </c>
      <c r="F45" s="293">
        <f>IF(Eligibility!$J$12="HECO",IF((AND(F16&gt;0,F21&gt;0)),IF(F21&lt;=F16,-F21*$D$45,-F16*$D$45),0),0)</f>
        <v>0</v>
      </c>
      <c r="G45" s="293">
        <f>IF(Eligibility!$J$12="HECO",IF((AND(G16&gt;0,G21&gt;0)),IF(G21&lt;=G16,-G21*$D$45,-G16*$D$45),0),0)</f>
        <v>0</v>
      </c>
      <c r="H45" s="293">
        <f>IF(Eligibility!$J$12="HECO",IF((AND(H16&gt;0,H21&gt;0)),IF(H21&lt;=H16,-H21*$D$45,-H16*$D$45),0),0)</f>
        <v>0</v>
      </c>
      <c r="I45" s="293">
        <f>IF(Eligibility!$J$12="HECO",IF((AND(I16&gt;0,I21&gt;0)),IF(I21&lt;=I16,-I21*$D$45,-I16*$D$45),0),0)</f>
        <v>0</v>
      </c>
      <c r="J45" s="293">
        <f>IF(Eligibility!$J$12="HECO",IF((AND(J16&gt;0,J21&gt;0)),IF(J21&lt;=J16,-J21*$D$45,-J16*$D$45),0),0)</f>
        <v>0</v>
      </c>
      <c r="K45" s="293">
        <f>IF(Eligibility!$J$12="HECO",IF((AND(K16&gt;0,K21&gt;0)),IF(K21&lt;=K16,-K21*$D$45,-K16*$D$45),0),0)</f>
        <v>0</v>
      </c>
      <c r="L45" s="293">
        <f>IF(Eligibility!$J$12="HECO",IF((AND(L16&gt;0,L21&gt;0)),IF(L21&lt;=L16,-L21*$D$45,-L16*$D$45),0),0)</f>
        <v>0</v>
      </c>
      <c r="M45" s="293">
        <f>IF(Eligibility!$J$12="HECO",IF((AND(M16&gt;0,M21&gt;0)),IF(M21&lt;=M16,-M21*$D$45,-M16*$D$45),0),0)</f>
        <v>0</v>
      </c>
      <c r="N45" s="293">
        <f>IF(Eligibility!$J$12="HECO",IF((AND(N16&gt;0,N21&gt;0)),IF(N21&lt;=N16,-N21*$D$45,-N16*$D$45),0),0)</f>
        <v>0</v>
      </c>
      <c r="O45" s="293">
        <f>IF(Eligibility!$J$12="HECO",IF((AND(O16&gt;0,O21&gt;0)),IF(O21&lt;=O16,-O21*$D$45,-O16*$D$45),0),0)</f>
        <v>0</v>
      </c>
      <c r="P45" s="293">
        <f>IF(Eligibility!$J$12="HECO",IF((AND(P16&gt;0,P21&gt;0)),IF(P21&lt;=P16,-P21*$D$45,-P16*$D$45),0),0)</f>
        <v>0</v>
      </c>
      <c r="Q45" s="293">
        <f>IF(Eligibility!$J$12="HECO",IF((AND(Q16&gt;0,Q21&gt;0)),IF(Q21&lt;=Q16,-Q21*$D$45,-Q16*$D$45),0),0)</f>
        <v>0</v>
      </c>
      <c r="R45" s="293">
        <f>IF(Eligibility!$J$12="HECO",IF((AND(R16&gt;0,R21&gt;0)),IF(R21&lt;=R16,-R21*$D$45,-R16*$D$45),0),0)</f>
        <v>0</v>
      </c>
      <c r="S45" s="293">
        <f>IF(Eligibility!$J$12="HECO",IF((AND(S16&gt;0,S21&gt;0)),IF(S21&lt;=S16,-S21*$D$45,-S16*$D$45),0),0)</f>
        <v>0</v>
      </c>
      <c r="T45" s="293">
        <f>IF(Eligibility!$J$12="HECO",IF((AND(T16&gt;0,T21&gt;0)),IF(T21&lt;=T16,-T21*$D$45,-T16*$D$45),0),0)</f>
        <v>0</v>
      </c>
      <c r="U45" s="293">
        <f>IF(Eligibility!$J$12="HECO",IF((AND(U16&gt;0,U21&gt;0)),IF(U21&lt;=U16,-U21*$D$45,-U16*$D$45),0),0)</f>
        <v>0</v>
      </c>
      <c r="V45" s="293">
        <f>IF(Eligibility!$J$12="HECO",IF((AND(V16&gt;0,V21&gt;0)),IF(V21&lt;=V16,-V21*$D$45,-V16*$D$45),0),0)</f>
        <v>0</v>
      </c>
      <c r="W45" s="293">
        <f>IF(Eligibility!$J$12="HECO",IF((AND(W16&gt;0,W21&gt;0)),IF(W21&lt;=W16,-W21*$D$45,-W16*$D$45),0),0)</f>
        <v>0</v>
      </c>
      <c r="X45" s="293">
        <f>IF(Eligibility!$J$12="HECO",IF((AND(X16&gt;0,X21&gt;0)),IF(X21&lt;=X16,-X21*$D$45,-X16*$D$45),0),0)</f>
        <v>0</v>
      </c>
      <c r="Y45" s="294">
        <f t="shared" si="13"/>
        <v>0</v>
      </c>
    </row>
    <row r="46" spans="1:25" s="151" customFormat="1" x14ac:dyDescent="0.2">
      <c r="A46" s="147" t="s">
        <v>257</v>
      </c>
      <c r="B46" s="147"/>
      <c r="C46" s="147"/>
      <c r="D46" s="178"/>
      <c r="E46" s="179">
        <f>SUM(E44:E45)</f>
        <v>2208.7620287999998</v>
      </c>
      <c r="F46" s="179" t="e">
        <f t="shared" ref="F46:X46" si="22">SUM(F44:F45)</f>
        <v>#REF!</v>
      </c>
      <c r="G46" s="179" t="e">
        <f t="shared" si="22"/>
        <v>#REF!</v>
      </c>
      <c r="H46" s="179" t="e">
        <f t="shared" si="22"/>
        <v>#REF!</v>
      </c>
      <c r="I46" s="179" t="e">
        <f t="shared" si="22"/>
        <v>#REF!</v>
      </c>
      <c r="J46" s="179" t="e">
        <f t="shared" si="22"/>
        <v>#REF!</v>
      </c>
      <c r="K46" s="179" t="e">
        <f t="shared" si="22"/>
        <v>#REF!</v>
      </c>
      <c r="L46" s="179" t="e">
        <f t="shared" si="22"/>
        <v>#REF!</v>
      </c>
      <c r="M46" s="179" t="e">
        <f t="shared" si="22"/>
        <v>#REF!</v>
      </c>
      <c r="N46" s="179" t="e">
        <f t="shared" si="22"/>
        <v>#REF!</v>
      </c>
      <c r="O46" s="179" t="e">
        <f t="shared" si="22"/>
        <v>#REF!</v>
      </c>
      <c r="P46" s="179" t="e">
        <f t="shared" si="22"/>
        <v>#REF!</v>
      </c>
      <c r="Q46" s="179" t="e">
        <f t="shared" si="22"/>
        <v>#REF!</v>
      </c>
      <c r="R46" s="179" t="e">
        <f t="shared" si="22"/>
        <v>#REF!</v>
      </c>
      <c r="S46" s="179" t="e">
        <f t="shared" si="22"/>
        <v>#REF!</v>
      </c>
      <c r="T46" s="179" t="e">
        <f t="shared" si="22"/>
        <v>#REF!</v>
      </c>
      <c r="U46" s="179" t="e">
        <f t="shared" si="22"/>
        <v>#REF!</v>
      </c>
      <c r="V46" s="179" t="e">
        <f t="shared" si="22"/>
        <v>#REF!</v>
      </c>
      <c r="W46" s="179" t="e">
        <f t="shared" si="22"/>
        <v>#REF!</v>
      </c>
      <c r="X46" s="179" t="e">
        <f t="shared" si="22"/>
        <v>#REF!</v>
      </c>
      <c r="Y46" s="150" t="e">
        <f t="shared" si="13"/>
        <v>#REF!</v>
      </c>
    </row>
    <row r="47" spans="1:25" s="156" customFormat="1" x14ac:dyDescent="0.2">
      <c r="A47" s="152" t="s">
        <v>189</v>
      </c>
      <c r="B47" s="152"/>
      <c r="C47" s="152"/>
      <c r="D47" s="183"/>
      <c r="E47" s="184">
        <f>IF(Eligibility!$J$12="HELCO",SUM(E28:E30)*12,0)</f>
        <v>0</v>
      </c>
      <c r="F47" s="184">
        <f>IF(Eligibility!$J$12="HELCO",SUM(F28:F30)*12,0)</f>
        <v>0</v>
      </c>
      <c r="G47" s="184">
        <f>IF(Eligibility!$J$12="HELCO",SUM(G28:G30)*12,0)</f>
        <v>0</v>
      </c>
      <c r="H47" s="184">
        <f>IF(Eligibility!$J$12="HELCO",SUM(H28:H30)*12,0)</f>
        <v>0</v>
      </c>
      <c r="I47" s="184">
        <f>IF(Eligibility!$J$12="HELCO",SUM(I28:I30)*12,0)</f>
        <v>0</v>
      </c>
      <c r="J47" s="184">
        <f>IF(Eligibility!$J$12="HELCO",SUM(J28:J30)*12,0)</f>
        <v>0</v>
      </c>
      <c r="K47" s="184">
        <f>IF(Eligibility!$J$12="HELCO",SUM(K28:K30)*12,0)</f>
        <v>0</v>
      </c>
      <c r="L47" s="184">
        <f>IF(Eligibility!$J$12="HELCO",SUM(L28:L30)*12,0)</f>
        <v>0</v>
      </c>
      <c r="M47" s="184">
        <f>IF(Eligibility!$J$12="HELCO",SUM(M28:M30)*12,0)</f>
        <v>0</v>
      </c>
      <c r="N47" s="184">
        <f>IF(Eligibility!$J$12="HELCO",SUM(N28:N30)*12,0)</f>
        <v>0</v>
      </c>
      <c r="O47" s="184">
        <f>IF(Eligibility!$J$12="HELCO",SUM(O28:O30)*12,0)</f>
        <v>0</v>
      </c>
      <c r="P47" s="184">
        <f>IF(Eligibility!$J$12="HELCO",SUM(P28:P30)*12,0)</f>
        <v>0</v>
      </c>
      <c r="Q47" s="184">
        <f>IF(Eligibility!$J$12="HELCO",SUM(Q28:Q30)*12,0)</f>
        <v>0</v>
      </c>
      <c r="R47" s="184">
        <f>IF(Eligibility!$J$12="HELCO",SUM(R28:R30)*12,0)</f>
        <v>0</v>
      </c>
      <c r="S47" s="184">
        <f>IF(Eligibility!$J$12="HELCO",SUM(S28:S30)*12,0)</f>
        <v>0</v>
      </c>
      <c r="T47" s="184">
        <f>IF(Eligibility!$J$12="HELCO",SUM(T28:T30)*12,0)</f>
        <v>0</v>
      </c>
      <c r="U47" s="184">
        <f>IF(Eligibility!$J$12="HELCO",SUM(U28:U30)*12,0)</f>
        <v>0</v>
      </c>
      <c r="V47" s="184">
        <f>IF(Eligibility!$J$12="HELCO",SUM(V28:V30)*12,0)</f>
        <v>0</v>
      </c>
      <c r="W47" s="184">
        <f>IF(Eligibility!$J$12="HELCO",SUM(W28:W30)*12,0)</f>
        <v>0</v>
      </c>
      <c r="X47" s="184">
        <f>IF(Eligibility!$J$12="HELCO",SUM(X28:X30)*12,0)</f>
        <v>0</v>
      </c>
      <c r="Y47" s="155">
        <f t="shared" si="13"/>
        <v>0</v>
      </c>
    </row>
    <row r="48" spans="1:25" s="156" customFormat="1" ht="17" x14ac:dyDescent="0.3">
      <c r="A48" s="152" t="s">
        <v>362</v>
      </c>
      <c r="B48" s="152"/>
      <c r="C48" s="152"/>
      <c r="D48" s="382">
        <v>0.15140000000000001</v>
      </c>
      <c r="E48" s="295">
        <f>IF(Eligibility!$J$12="HELCO",-(E$20*$D$48),0)</f>
        <v>0</v>
      </c>
      <c r="F48" s="295">
        <f>IF(Eligibility!$J$12="HELCO",-(F$20*$D$48),0)</f>
        <v>0</v>
      </c>
      <c r="G48" s="295">
        <f>IF(Eligibility!$J$12="HELCO",-(G$20*$D$48),0)</f>
        <v>0</v>
      </c>
      <c r="H48" s="295">
        <f>IF(Eligibility!$J$12="HELCO",-(H$20*$D$48),0)</f>
        <v>0</v>
      </c>
      <c r="I48" s="295">
        <f>IF(Eligibility!$J$12="HELCO",-(I$20*$D$48),0)</f>
        <v>0</v>
      </c>
      <c r="J48" s="295">
        <f>IF(Eligibility!$J$12="HELCO",-(J$20*$D$48),0)</f>
        <v>0</v>
      </c>
      <c r="K48" s="295">
        <f>IF(Eligibility!$J$12="HELCO",-(K$20*$D$48),0)</f>
        <v>0</v>
      </c>
      <c r="L48" s="295">
        <f>IF(Eligibility!$J$12="HELCO",-(L$20*$D$48),0)</f>
        <v>0</v>
      </c>
      <c r="M48" s="295">
        <f>IF(Eligibility!$J$12="HELCO",-(M$20*$D$48),0)</f>
        <v>0</v>
      </c>
      <c r="N48" s="295">
        <f>IF(Eligibility!$J$12="HELCO",-(N$20*$D$48),0)</f>
        <v>0</v>
      </c>
      <c r="O48" s="295">
        <f>IF(Eligibility!$J$12="HELCO",-(O$20*$D$48),0)</f>
        <v>0</v>
      </c>
      <c r="P48" s="295">
        <f>IF(Eligibility!$J$12="HELCO",-(P$20*$D$48),0)</f>
        <v>0</v>
      </c>
      <c r="Q48" s="295">
        <f>IF(Eligibility!$J$12="HELCO",-(Q$20*$D$48),0)</f>
        <v>0</v>
      </c>
      <c r="R48" s="295">
        <f>IF(Eligibility!$J$12="HELCO",-(R$20*$D$48),0)</f>
        <v>0</v>
      </c>
      <c r="S48" s="295">
        <f>IF(Eligibility!$J$12="HELCO",-(S$20*$D$48),0)</f>
        <v>0</v>
      </c>
      <c r="T48" s="295">
        <f>IF(Eligibility!$J$12="HELCO",-(T$20*$D$48),0)</f>
        <v>0</v>
      </c>
      <c r="U48" s="295">
        <f>IF(Eligibility!$J$12="HELCO",-(U$20*$D$48),0)</f>
        <v>0</v>
      </c>
      <c r="V48" s="295">
        <f>IF(Eligibility!$J$12="HELCO",-(V$20*$D$48),0)</f>
        <v>0</v>
      </c>
      <c r="W48" s="295">
        <f>IF(Eligibility!$J$12="HELCO",-(W$20*$D$48),0)</f>
        <v>0</v>
      </c>
      <c r="X48" s="295">
        <f>IF(Eligibility!$J$12="HELCO",-(X$20*$D$48),0)</f>
        <v>0</v>
      </c>
      <c r="Y48" s="296">
        <f t="shared" si="13"/>
        <v>0</v>
      </c>
    </row>
    <row r="49" spans="1:27" s="156" customFormat="1" x14ac:dyDescent="0.2">
      <c r="A49" s="152" t="s">
        <v>259</v>
      </c>
      <c r="B49" s="152"/>
      <c r="C49" s="152"/>
      <c r="D49" s="183"/>
      <c r="E49" s="184">
        <f>SUM(E47:E48)</f>
        <v>0</v>
      </c>
      <c r="F49" s="184">
        <f t="shared" ref="F49:X49" si="23">SUM(F47:F48)</f>
        <v>0</v>
      </c>
      <c r="G49" s="184">
        <f t="shared" si="23"/>
        <v>0</v>
      </c>
      <c r="H49" s="184">
        <f t="shared" si="23"/>
        <v>0</v>
      </c>
      <c r="I49" s="184">
        <f t="shared" si="23"/>
        <v>0</v>
      </c>
      <c r="J49" s="184">
        <f t="shared" si="23"/>
        <v>0</v>
      </c>
      <c r="K49" s="184">
        <f t="shared" si="23"/>
        <v>0</v>
      </c>
      <c r="L49" s="184">
        <f t="shared" si="23"/>
        <v>0</v>
      </c>
      <c r="M49" s="184">
        <f t="shared" si="23"/>
        <v>0</v>
      </c>
      <c r="N49" s="184">
        <f t="shared" si="23"/>
        <v>0</v>
      </c>
      <c r="O49" s="184">
        <f t="shared" si="23"/>
        <v>0</v>
      </c>
      <c r="P49" s="184">
        <f t="shared" si="23"/>
        <v>0</v>
      </c>
      <c r="Q49" s="184">
        <f t="shared" si="23"/>
        <v>0</v>
      </c>
      <c r="R49" s="184">
        <f t="shared" si="23"/>
        <v>0</v>
      </c>
      <c r="S49" s="184">
        <f t="shared" si="23"/>
        <v>0</v>
      </c>
      <c r="T49" s="184">
        <f t="shared" si="23"/>
        <v>0</v>
      </c>
      <c r="U49" s="184">
        <f t="shared" si="23"/>
        <v>0</v>
      </c>
      <c r="V49" s="184">
        <f t="shared" si="23"/>
        <v>0</v>
      </c>
      <c r="W49" s="184">
        <f t="shared" si="23"/>
        <v>0</v>
      </c>
      <c r="X49" s="184">
        <f t="shared" si="23"/>
        <v>0</v>
      </c>
      <c r="Y49" s="155">
        <f t="shared" si="13"/>
        <v>0</v>
      </c>
    </row>
    <row r="50" spans="1:27" s="161" customFormat="1" x14ac:dyDescent="0.2">
      <c r="A50" s="157" t="s">
        <v>190</v>
      </c>
      <c r="B50" s="157"/>
      <c r="C50" s="157"/>
      <c r="D50" s="180"/>
      <c r="E50" s="181">
        <f>IF(Eligibility!$J$12="MECO - Maui",SUM(E28:E30)*12,0)</f>
        <v>0</v>
      </c>
      <c r="F50" s="181">
        <f>IF(Eligibility!$J$12="MECO - Maui",SUM(F28:F30)*12,0)</f>
        <v>0</v>
      </c>
      <c r="G50" s="181">
        <f>IF(Eligibility!$J$12="MECO - Maui",SUM(G28:G30)*12,0)</f>
        <v>0</v>
      </c>
      <c r="H50" s="181">
        <f>IF(Eligibility!$J$12="MECO - Maui",SUM(H28:H30)*12,0)</f>
        <v>0</v>
      </c>
      <c r="I50" s="181">
        <f>IF(Eligibility!$J$12="MECO - Maui",SUM(I28:I30)*12,0)</f>
        <v>0</v>
      </c>
      <c r="J50" s="181">
        <f>IF(Eligibility!$J$12="MECO - Maui",SUM(J28:J30)*12,0)</f>
        <v>0</v>
      </c>
      <c r="K50" s="181">
        <f>IF(Eligibility!$J$12="MECO - Maui",SUM(K28:K30)*12,0)</f>
        <v>0</v>
      </c>
      <c r="L50" s="181">
        <f>IF(Eligibility!$J$12="MECO - Maui",SUM(L28:L30)*12,0)</f>
        <v>0</v>
      </c>
      <c r="M50" s="181">
        <f>IF(Eligibility!$J$12="MECO - Maui",SUM(M28:M30)*12,0)</f>
        <v>0</v>
      </c>
      <c r="N50" s="181">
        <f>IF(Eligibility!$J$12="MECO - Maui",SUM(N28:N30)*12,0)</f>
        <v>0</v>
      </c>
      <c r="O50" s="181">
        <f>IF(Eligibility!$J$12="MECO - Maui",SUM(O28:O30)*12,0)</f>
        <v>0</v>
      </c>
      <c r="P50" s="181">
        <f>IF(Eligibility!$J$12="MECO - Maui",SUM(P28:P30)*12,0)</f>
        <v>0</v>
      </c>
      <c r="Q50" s="181">
        <f>IF(Eligibility!$J$12="MECO - Maui",SUM(Q28:Q30)*12,0)</f>
        <v>0</v>
      </c>
      <c r="R50" s="181">
        <f>IF(Eligibility!$J$12="MECO - Maui",SUM(R28:R30)*12,0)</f>
        <v>0</v>
      </c>
      <c r="S50" s="181">
        <f>IF(Eligibility!$J$12="MECO - Maui",SUM(S28:S30)*12,0)</f>
        <v>0</v>
      </c>
      <c r="T50" s="181">
        <f>IF(Eligibility!$J$12="MECO - Maui",SUM(T28:T30)*12,0)</f>
        <v>0</v>
      </c>
      <c r="U50" s="181">
        <f>IF(Eligibility!$J$12="MECO - Maui",SUM(U28:U30)*12,0)</f>
        <v>0</v>
      </c>
      <c r="V50" s="181">
        <f>IF(Eligibility!$J$12="MECO - Maui",SUM(V28:V30)*12,0)</f>
        <v>0</v>
      </c>
      <c r="W50" s="181">
        <f>IF(Eligibility!$J$12="MECO - Maui",SUM(W28:W30)*12,0)</f>
        <v>0</v>
      </c>
      <c r="X50" s="181">
        <f>IF(Eligibility!$J$12="MECO - Maui",SUM(X28:X30)*12,0)</f>
        <v>0</v>
      </c>
      <c r="Y50" s="160">
        <f t="shared" si="13"/>
        <v>0</v>
      </c>
    </row>
    <row r="51" spans="1:27" s="161" customFormat="1" ht="17" x14ac:dyDescent="0.3">
      <c r="A51" s="157" t="s">
        <v>363</v>
      </c>
      <c r="B51" s="157"/>
      <c r="C51" s="157"/>
      <c r="D51" s="383">
        <v>0.1716</v>
      </c>
      <c r="E51" s="297">
        <f>IF(Eligibility!$J$12="MECO - Maui",-(E$20*$D$51),0)</f>
        <v>0</v>
      </c>
      <c r="F51" s="297">
        <f>IF(Eligibility!$J$12="MECO - Maui",-(F$20*$D$51),0)</f>
        <v>0</v>
      </c>
      <c r="G51" s="297">
        <f>IF(Eligibility!$J$12="MECO - Maui",-(G$20*$D$51),0)</f>
        <v>0</v>
      </c>
      <c r="H51" s="297">
        <f>IF(Eligibility!$J$12="MECO - Maui",-(H$20*$D$51),0)</f>
        <v>0</v>
      </c>
      <c r="I51" s="297">
        <f>IF(Eligibility!$J$12="MECO - Maui",-(I$20*$D$51),0)</f>
        <v>0</v>
      </c>
      <c r="J51" s="297">
        <f>IF(Eligibility!$J$12="MECO - Maui",-(J$20*$D$51),0)</f>
        <v>0</v>
      </c>
      <c r="K51" s="297">
        <f>IF(Eligibility!$J$12="MECO - Maui",-(K$20*$D$51),0)</f>
        <v>0</v>
      </c>
      <c r="L51" s="297">
        <f>IF(Eligibility!$J$12="MECO - Maui",-(L$20*$D$51),0)</f>
        <v>0</v>
      </c>
      <c r="M51" s="297">
        <f>IF(Eligibility!$J$12="MECO - Maui",-(M$20*$D$51),0)</f>
        <v>0</v>
      </c>
      <c r="N51" s="297">
        <f>IF(Eligibility!$J$12="MECO - Maui",-(N$20*$D$51),0)</f>
        <v>0</v>
      </c>
      <c r="O51" s="297">
        <f>IF(Eligibility!$J$12="MECO - Maui",-(O$20*$D$51),0)</f>
        <v>0</v>
      </c>
      <c r="P51" s="297">
        <f>IF(Eligibility!$J$12="MECO - Maui",-(P$20*$D$51),0)</f>
        <v>0</v>
      </c>
      <c r="Q51" s="297">
        <f>IF(Eligibility!$J$12="MECO - Maui",-(Q$20*$D$51),0)</f>
        <v>0</v>
      </c>
      <c r="R51" s="297">
        <f>IF(Eligibility!$J$12="MECO - Maui",-(R$20*$D$51),0)</f>
        <v>0</v>
      </c>
      <c r="S51" s="297">
        <f>IF(Eligibility!$J$12="MECO - Maui",-(S$20*$D$51),0)</f>
        <v>0</v>
      </c>
      <c r="T51" s="297">
        <f>IF(Eligibility!$J$12="MECO - Maui",-(T$20*$D$51),0)</f>
        <v>0</v>
      </c>
      <c r="U51" s="297">
        <f>IF(Eligibility!$J$12="MECO - Maui",-(U$20*$D$51),0)</f>
        <v>0</v>
      </c>
      <c r="V51" s="297">
        <f>IF(Eligibility!$J$12="MECO - Maui",-(V$20*$D$51),0)</f>
        <v>0</v>
      </c>
      <c r="W51" s="297">
        <f>IF(Eligibility!$J$12="MECO - Maui",-(W$20*$D$51),0)</f>
        <v>0</v>
      </c>
      <c r="X51" s="297">
        <f>IF(Eligibility!$J$12="MECO - Maui",-(X$20*$D$51),0)</f>
        <v>0</v>
      </c>
      <c r="Y51" s="298">
        <f t="shared" si="13"/>
        <v>0</v>
      </c>
    </row>
    <row r="52" spans="1:27" s="161" customFormat="1" x14ac:dyDescent="0.2">
      <c r="A52" s="157" t="s">
        <v>258</v>
      </c>
      <c r="B52" s="157"/>
      <c r="C52" s="157"/>
      <c r="D52" s="180"/>
      <c r="E52" s="181">
        <f>SUM(E50:E51)</f>
        <v>0</v>
      </c>
      <c r="F52" s="181">
        <f t="shared" ref="F52:X52" si="24">SUM(F50:F51)</f>
        <v>0</v>
      </c>
      <c r="G52" s="181">
        <f t="shared" si="24"/>
        <v>0</v>
      </c>
      <c r="H52" s="181">
        <f t="shared" si="24"/>
        <v>0</v>
      </c>
      <c r="I52" s="181">
        <f t="shared" si="24"/>
        <v>0</v>
      </c>
      <c r="J52" s="181">
        <f t="shared" si="24"/>
        <v>0</v>
      </c>
      <c r="K52" s="181">
        <f t="shared" si="24"/>
        <v>0</v>
      </c>
      <c r="L52" s="181">
        <f t="shared" si="24"/>
        <v>0</v>
      </c>
      <c r="M52" s="181">
        <f t="shared" si="24"/>
        <v>0</v>
      </c>
      <c r="N52" s="181">
        <f t="shared" si="24"/>
        <v>0</v>
      </c>
      <c r="O52" s="181">
        <f t="shared" si="24"/>
        <v>0</v>
      </c>
      <c r="P52" s="181">
        <f t="shared" si="24"/>
        <v>0</v>
      </c>
      <c r="Q52" s="181">
        <f t="shared" si="24"/>
        <v>0</v>
      </c>
      <c r="R52" s="181">
        <f t="shared" si="24"/>
        <v>0</v>
      </c>
      <c r="S52" s="181">
        <f t="shared" si="24"/>
        <v>0</v>
      </c>
      <c r="T52" s="181">
        <f t="shared" si="24"/>
        <v>0</v>
      </c>
      <c r="U52" s="181">
        <f t="shared" si="24"/>
        <v>0</v>
      </c>
      <c r="V52" s="181">
        <f t="shared" si="24"/>
        <v>0</v>
      </c>
      <c r="W52" s="181">
        <f t="shared" si="24"/>
        <v>0</v>
      </c>
      <c r="X52" s="181">
        <f t="shared" si="24"/>
        <v>0</v>
      </c>
      <c r="Y52" s="160">
        <f t="shared" si="13"/>
        <v>0</v>
      </c>
    </row>
    <row r="53" spans="1:27" s="171" customFormat="1" x14ac:dyDescent="0.2">
      <c r="A53" s="167" t="s">
        <v>191</v>
      </c>
      <c r="B53" s="167"/>
      <c r="C53" s="167"/>
      <c r="D53" s="186"/>
      <c r="E53" s="187">
        <f>IF(Eligibility!$J$12="MECO - Lanai",SUM(E28:E30)*12,0)</f>
        <v>0</v>
      </c>
      <c r="F53" s="187">
        <f>IF(Eligibility!$J$12="MECO - Lanai",SUM(F28:F30)*12,0)</f>
        <v>0</v>
      </c>
      <c r="G53" s="187">
        <f>IF(Eligibility!$J$12="MECO - Lanai",SUM(G28:G30)*12,0)</f>
        <v>0</v>
      </c>
      <c r="H53" s="187">
        <f>IF(Eligibility!$J$12="MECO - Lanai",SUM(H28:H30)*12,0)</f>
        <v>0</v>
      </c>
      <c r="I53" s="187">
        <f>IF(Eligibility!$J$12="MECO - Lanai",SUM(I28:I30)*12,0)</f>
        <v>0</v>
      </c>
      <c r="J53" s="187">
        <f>IF(Eligibility!$J$12="MECO - Lanai",SUM(J28:J30)*12,0)</f>
        <v>0</v>
      </c>
      <c r="K53" s="187">
        <f>IF(Eligibility!$J$12="MECO - Lanai",SUM(K28:K30)*12,0)</f>
        <v>0</v>
      </c>
      <c r="L53" s="187">
        <f>IF(Eligibility!$J$12="MECO - Lanai",SUM(L28:L30)*12,0)</f>
        <v>0</v>
      </c>
      <c r="M53" s="187">
        <f>IF(Eligibility!$J$12="MECO - Lanai",SUM(M28:M30)*12,0)</f>
        <v>0</v>
      </c>
      <c r="N53" s="187">
        <f>IF(Eligibility!$J$12="MECO - Lanai",SUM(N28:N30)*12,0)</f>
        <v>0</v>
      </c>
      <c r="O53" s="187">
        <f>IF(Eligibility!$J$12="MECO - Lanai",SUM(O28:O30)*12,0)</f>
        <v>0</v>
      </c>
      <c r="P53" s="187">
        <f>IF(Eligibility!$J$12="MECO - Lanai",SUM(P28:P30)*12,0)</f>
        <v>0</v>
      </c>
      <c r="Q53" s="187">
        <f>IF(Eligibility!$J$12="MECO - Lanai",SUM(Q28:Q30)*12,0)</f>
        <v>0</v>
      </c>
      <c r="R53" s="187">
        <f>IF(Eligibility!$J$12="MECO - Lanai",SUM(R28:R30)*12,0)</f>
        <v>0</v>
      </c>
      <c r="S53" s="187">
        <f>IF(Eligibility!$J$12="MECO - Lanai",SUM(S28:S30)*12,0)</f>
        <v>0</v>
      </c>
      <c r="T53" s="187">
        <f>IF(Eligibility!$J$12="MECO - Lanai",SUM(T28:T30)*12,0)</f>
        <v>0</v>
      </c>
      <c r="U53" s="187">
        <f>IF(Eligibility!$J$12="MECO - Lanai",SUM(U28:U30)*12,0)</f>
        <v>0</v>
      </c>
      <c r="V53" s="187">
        <f>IF(Eligibility!$J$12="MECO - Lanai",SUM(V28:V30)*12,0)</f>
        <v>0</v>
      </c>
      <c r="W53" s="187">
        <f>IF(Eligibility!$J$12="MECO - Lanai",SUM(W28:W30)*12,0)</f>
        <v>0</v>
      </c>
      <c r="X53" s="187">
        <f>IF(Eligibility!$J$12="MECO - Lanai",SUM(X28:X30)*12,0)</f>
        <v>0</v>
      </c>
      <c r="Y53" s="170">
        <f t="shared" si="13"/>
        <v>0</v>
      </c>
    </row>
    <row r="54" spans="1:27" s="171" customFormat="1" ht="17" x14ac:dyDescent="0.3">
      <c r="A54" s="167" t="s">
        <v>363</v>
      </c>
      <c r="B54" s="167"/>
      <c r="C54" s="167"/>
      <c r="D54" s="384">
        <v>0.27879999999999999</v>
      </c>
      <c r="E54" s="299">
        <f>IF(Eligibility!$J$12="MECO - Lanai",-(E$20*$D$54),0)</f>
        <v>0</v>
      </c>
      <c r="F54" s="299">
        <f>IF(Eligibility!$J$12="MECO - Lanai",-(F$20*$D$54),0)</f>
        <v>0</v>
      </c>
      <c r="G54" s="299">
        <f>IF(Eligibility!$J$12="MECO - Lanai",-(G$20*$D$54),0)</f>
        <v>0</v>
      </c>
      <c r="H54" s="299">
        <f>IF(Eligibility!$J$12="MECO - Lanai",-(H$20*$D$54),0)</f>
        <v>0</v>
      </c>
      <c r="I54" s="299">
        <f>IF(Eligibility!$J$12="MECO - Lanai",-(I$20*$D$54),0)</f>
        <v>0</v>
      </c>
      <c r="J54" s="299">
        <f>IF(Eligibility!$J$12="MECO - Lanai",-(J$20*$D$54),0)</f>
        <v>0</v>
      </c>
      <c r="K54" s="299">
        <f>IF(Eligibility!$J$12="MECO - Lanai",-(K$20*$D$54),0)</f>
        <v>0</v>
      </c>
      <c r="L54" s="299">
        <f>IF(Eligibility!$J$12="MECO - Lanai",-(L$20*$D$54),0)</f>
        <v>0</v>
      </c>
      <c r="M54" s="299">
        <f>IF(Eligibility!$J$12="MECO - Lanai",-(M$20*$D$54),0)</f>
        <v>0</v>
      </c>
      <c r="N54" s="299">
        <f>IF(Eligibility!$J$12="MECO - Lanai",-(N$20*$D$54),0)</f>
        <v>0</v>
      </c>
      <c r="O54" s="299">
        <f>IF(Eligibility!$J$12="MECO - Lanai",-(O$20*$D$54),0)</f>
        <v>0</v>
      </c>
      <c r="P54" s="299">
        <f>IF(Eligibility!$J$12="MECO - Lanai",-(P$20*$D$54),0)</f>
        <v>0</v>
      </c>
      <c r="Q54" s="299">
        <f>IF(Eligibility!$J$12="MECO - Lanai",-(Q$20*$D$54),0)</f>
        <v>0</v>
      </c>
      <c r="R54" s="299">
        <f>IF(Eligibility!$J$12="MECO - Lanai",-(R$20*$D$54),0)</f>
        <v>0</v>
      </c>
      <c r="S54" s="299">
        <f>IF(Eligibility!$J$12="MECO - Lanai",-(S$20*$D$54),0)</f>
        <v>0</v>
      </c>
      <c r="T54" s="299">
        <f>IF(Eligibility!$J$12="MECO - Lanai",-(T$20*$D$54),0)</f>
        <v>0</v>
      </c>
      <c r="U54" s="299">
        <f>IF(Eligibility!$J$12="MECO - Lanai",-(U$20*$D$54),0)</f>
        <v>0</v>
      </c>
      <c r="V54" s="299">
        <f>IF(Eligibility!$J$12="MECO - Lanai",-(V$20*$D$54),0)</f>
        <v>0</v>
      </c>
      <c r="W54" s="299">
        <f>IF(Eligibility!$J$12="MECO - Lanai",-(W$20*$D$54),0)</f>
        <v>0</v>
      </c>
      <c r="X54" s="299">
        <f>IF(Eligibility!$J$12="MECO - Lanai",-(X$20*$D$54),0)</f>
        <v>0</v>
      </c>
      <c r="Y54" s="300">
        <f t="shared" si="13"/>
        <v>0</v>
      </c>
    </row>
    <row r="55" spans="1:27" s="171" customFormat="1" x14ac:dyDescent="0.2">
      <c r="A55" s="167" t="s">
        <v>260</v>
      </c>
      <c r="B55" s="167"/>
      <c r="C55" s="167"/>
      <c r="D55" s="186"/>
      <c r="E55" s="187">
        <f>SUM(E53:E54)</f>
        <v>0</v>
      </c>
      <c r="F55" s="187">
        <f t="shared" ref="F55:X55" si="25">SUM(F53:F54)</f>
        <v>0</v>
      </c>
      <c r="G55" s="187">
        <f t="shared" si="25"/>
        <v>0</v>
      </c>
      <c r="H55" s="187">
        <f t="shared" si="25"/>
        <v>0</v>
      </c>
      <c r="I55" s="187">
        <f t="shared" si="25"/>
        <v>0</v>
      </c>
      <c r="J55" s="187">
        <f t="shared" si="25"/>
        <v>0</v>
      </c>
      <c r="K55" s="187">
        <f t="shared" si="25"/>
        <v>0</v>
      </c>
      <c r="L55" s="187">
        <f t="shared" si="25"/>
        <v>0</v>
      </c>
      <c r="M55" s="187">
        <f t="shared" si="25"/>
        <v>0</v>
      </c>
      <c r="N55" s="187">
        <f t="shared" si="25"/>
        <v>0</v>
      </c>
      <c r="O55" s="187">
        <f t="shared" si="25"/>
        <v>0</v>
      </c>
      <c r="P55" s="187">
        <f t="shared" si="25"/>
        <v>0</v>
      </c>
      <c r="Q55" s="187">
        <f t="shared" si="25"/>
        <v>0</v>
      </c>
      <c r="R55" s="187">
        <f t="shared" si="25"/>
        <v>0</v>
      </c>
      <c r="S55" s="187">
        <f t="shared" si="25"/>
        <v>0</v>
      </c>
      <c r="T55" s="187">
        <f t="shared" si="25"/>
        <v>0</v>
      </c>
      <c r="U55" s="187">
        <f t="shared" si="25"/>
        <v>0</v>
      </c>
      <c r="V55" s="187">
        <f t="shared" si="25"/>
        <v>0</v>
      </c>
      <c r="W55" s="187">
        <f t="shared" si="25"/>
        <v>0</v>
      </c>
      <c r="X55" s="187">
        <f t="shared" si="25"/>
        <v>0</v>
      </c>
      <c r="Y55" s="170">
        <f t="shared" si="13"/>
        <v>0</v>
      </c>
    </row>
    <row r="56" spans="1:27" s="166" customFormat="1" x14ac:dyDescent="0.2">
      <c r="A56" s="162" t="s">
        <v>192</v>
      </c>
      <c r="B56" s="162"/>
      <c r="C56" s="162"/>
      <c r="D56" s="189"/>
      <c r="E56" s="190">
        <f>IF(Eligibility!$J$12="MECO - Molokai",SUM(E28:E30)*12,0)</f>
        <v>0</v>
      </c>
      <c r="F56" s="190">
        <f>IF(Eligibility!$J$12="MECO - Molokai",SUM(F28:F30)*12,0)</f>
        <v>0</v>
      </c>
      <c r="G56" s="190">
        <f>IF(Eligibility!$J$12="MECO - Molokai",SUM(G28:G30)*12,0)</f>
        <v>0</v>
      </c>
      <c r="H56" s="190">
        <f>IF(Eligibility!$J$12="MECO - Molokai",SUM(H28:H30)*12,0)</f>
        <v>0</v>
      </c>
      <c r="I56" s="190">
        <f>IF(Eligibility!$J$12="MECO - Molokai",SUM(I28:I30)*12,0)</f>
        <v>0</v>
      </c>
      <c r="J56" s="190">
        <f>IF(Eligibility!$J$12="MECO - Molokai",SUM(J28:J30)*12,0)</f>
        <v>0</v>
      </c>
      <c r="K56" s="190">
        <f>IF(Eligibility!$J$12="MECO - Molokai",SUM(K28:K30)*12,0)</f>
        <v>0</v>
      </c>
      <c r="L56" s="190">
        <f>IF(Eligibility!$J$12="MECO - Molokai",SUM(L28:L30)*12,0)</f>
        <v>0</v>
      </c>
      <c r="M56" s="190">
        <f>IF(Eligibility!$J$12="MECO - Molokai",SUM(M28:M30)*12,0)</f>
        <v>0</v>
      </c>
      <c r="N56" s="190">
        <f>IF(Eligibility!$J$12="MECO - Molokai",SUM(N28:N30)*12,0)</f>
        <v>0</v>
      </c>
      <c r="O56" s="190">
        <f>IF(Eligibility!$J$12="MECO - Molokai",SUM(O28:O30)*12,0)</f>
        <v>0</v>
      </c>
      <c r="P56" s="190">
        <f>IF(Eligibility!$J$12="MECO - Molokai",SUM(P28:P30)*12,0)</f>
        <v>0</v>
      </c>
      <c r="Q56" s="190">
        <f>IF(Eligibility!$J$12="MECO - Molokai",SUM(Q28:Q30)*12,0)</f>
        <v>0</v>
      </c>
      <c r="R56" s="190">
        <f>IF(Eligibility!$J$12="MECO - Molokai",SUM(R28:R30)*12,0)</f>
        <v>0</v>
      </c>
      <c r="S56" s="190">
        <f>IF(Eligibility!$J$12="MECO - Molokai",SUM(S28:S30)*12,0)</f>
        <v>0</v>
      </c>
      <c r="T56" s="190">
        <f>IF(Eligibility!$J$12="MECO - Molokai",SUM(T28:T30)*12,0)</f>
        <v>0</v>
      </c>
      <c r="U56" s="190">
        <f>IF(Eligibility!$J$12="MECO - Molokai",SUM(U28:U30)*12,0)</f>
        <v>0</v>
      </c>
      <c r="V56" s="190">
        <f>IF(Eligibility!$J$12="MECO - Molokai",SUM(V28:V30)*12,0)</f>
        <v>0</v>
      </c>
      <c r="W56" s="190">
        <f>IF(Eligibility!$J$12="MECO - Molokai",SUM(W28:W30)*12,0)</f>
        <v>0</v>
      </c>
      <c r="X56" s="190">
        <f>IF(Eligibility!$J$12="MECO - Molokai",SUM(X28:X30)*12,0)</f>
        <v>0</v>
      </c>
      <c r="Y56" s="165">
        <f t="shared" si="13"/>
        <v>0</v>
      </c>
    </row>
    <row r="57" spans="1:27" s="166" customFormat="1" ht="17" x14ac:dyDescent="0.3">
      <c r="A57" s="162" t="s">
        <v>363</v>
      </c>
      <c r="B57" s="162"/>
      <c r="C57" s="162"/>
      <c r="D57" s="385">
        <v>0.2407</v>
      </c>
      <c r="E57" s="301">
        <f>IF(Eligibility!$J$12="MECO - Molokai",-(E$20*$D$57),0)</f>
        <v>0</v>
      </c>
      <c r="F57" s="301">
        <f>IF(Eligibility!$J$12="MECO - Molokai",-(F$20*$D$57),0)</f>
        <v>0</v>
      </c>
      <c r="G57" s="301">
        <f>IF(Eligibility!$J$12="MECO - Molokai",-(G$20*$D$57),0)</f>
        <v>0</v>
      </c>
      <c r="H57" s="301">
        <f>IF(Eligibility!$J$12="MECO - Molokai",-(H$20*$D$57),0)</f>
        <v>0</v>
      </c>
      <c r="I57" s="301">
        <f>IF(Eligibility!$J$12="MECO - Molokai",-(I$20*$D$57),0)</f>
        <v>0</v>
      </c>
      <c r="J57" s="301">
        <f>IF(Eligibility!$J$12="MECO - Molokai",-(J$20*$D$57),0)</f>
        <v>0</v>
      </c>
      <c r="K57" s="301">
        <f>IF(Eligibility!$J$12="MECO - Molokai",-(K$20*$D$57),0)</f>
        <v>0</v>
      </c>
      <c r="L57" s="301">
        <f>IF(Eligibility!$J$12="MECO - Molokai",-(L$20*$D$57),0)</f>
        <v>0</v>
      </c>
      <c r="M57" s="301">
        <f>IF(Eligibility!$J$12="MECO - Molokai",-(M$20*$D$57),0)</f>
        <v>0</v>
      </c>
      <c r="N57" s="301">
        <f>IF(Eligibility!$J$12="MECO - Molokai",-(N$20*$D$57),0)</f>
        <v>0</v>
      </c>
      <c r="O57" s="301">
        <f>IF(Eligibility!$J$12="MECO - Molokai",-(O$20*$D$57),0)</f>
        <v>0</v>
      </c>
      <c r="P57" s="301">
        <f>IF(Eligibility!$J$12="MECO - Molokai",-(P$20*$D$57),0)</f>
        <v>0</v>
      </c>
      <c r="Q57" s="301">
        <f>IF(Eligibility!$J$12="MECO - Molokai",-(Q$20*$D$57),0)</f>
        <v>0</v>
      </c>
      <c r="R57" s="301">
        <f>IF(Eligibility!$J$12="MECO - Molokai",-(R$20*$D$57),0)</f>
        <v>0</v>
      </c>
      <c r="S57" s="301">
        <f>IF(Eligibility!$J$12="MECO - Molokai",-(S$20*$D$57),0)</f>
        <v>0</v>
      </c>
      <c r="T57" s="301">
        <f>IF(Eligibility!$J$12="MECO - Molokai",-(T$20*$D$57),0)</f>
        <v>0</v>
      </c>
      <c r="U57" s="301">
        <f>IF(Eligibility!$J$12="MECO - Molokai",-(U$20*$D$57),0)</f>
        <v>0</v>
      </c>
      <c r="V57" s="301">
        <f>IF(Eligibility!$J$12="MECO - Molokai",-(V$20*$D$57),0)</f>
        <v>0</v>
      </c>
      <c r="W57" s="301">
        <f>IF(Eligibility!$J$12="MECO - Molokai",-(W$20*$D$57),0)</f>
        <v>0</v>
      </c>
      <c r="X57" s="301">
        <f>IF(Eligibility!$J$12="MECO - Molokai",-(X$20*$D$57),0)</f>
        <v>0</v>
      </c>
      <c r="Y57" s="302">
        <f t="shared" si="13"/>
        <v>0</v>
      </c>
    </row>
    <row r="58" spans="1:27" s="166" customFormat="1" x14ac:dyDescent="0.2">
      <c r="A58" s="162" t="s">
        <v>261</v>
      </c>
      <c r="B58" s="162"/>
      <c r="C58" s="162"/>
      <c r="D58" s="189"/>
      <c r="E58" s="190">
        <f>SUM(E56:E57)</f>
        <v>0</v>
      </c>
      <c r="F58" s="190">
        <f t="shared" ref="F58:X58" si="26">SUM(F56:F57)</f>
        <v>0</v>
      </c>
      <c r="G58" s="190">
        <f t="shared" si="26"/>
        <v>0</v>
      </c>
      <c r="H58" s="190">
        <f t="shared" si="26"/>
        <v>0</v>
      </c>
      <c r="I58" s="190">
        <f t="shared" si="26"/>
        <v>0</v>
      </c>
      <c r="J58" s="190">
        <f t="shared" si="26"/>
        <v>0</v>
      </c>
      <c r="K58" s="190">
        <f t="shared" si="26"/>
        <v>0</v>
      </c>
      <c r="L58" s="190">
        <f t="shared" si="26"/>
        <v>0</v>
      </c>
      <c r="M58" s="190">
        <f t="shared" si="26"/>
        <v>0</v>
      </c>
      <c r="N58" s="190">
        <f t="shared" si="26"/>
        <v>0</v>
      </c>
      <c r="O58" s="190">
        <f t="shared" si="26"/>
        <v>0</v>
      </c>
      <c r="P58" s="190">
        <f t="shared" si="26"/>
        <v>0</v>
      </c>
      <c r="Q58" s="190">
        <f t="shared" si="26"/>
        <v>0</v>
      </c>
      <c r="R58" s="190">
        <f t="shared" si="26"/>
        <v>0</v>
      </c>
      <c r="S58" s="190">
        <f t="shared" si="26"/>
        <v>0</v>
      </c>
      <c r="T58" s="190">
        <f t="shared" si="26"/>
        <v>0</v>
      </c>
      <c r="U58" s="190">
        <f t="shared" si="26"/>
        <v>0</v>
      </c>
      <c r="V58" s="190">
        <f t="shared" si="26"/>
        <v>0</v>
      </c>
      <c r="W58" s="190">
        <f t="shared" si="26"/>
        <v>0</v>
      </c>
      <c r="X58" s="190">
        <f t="shared" si="26"/>
        <v>0</v>
      </c>
      <c r="Y58" s="165">
        <f t="shared" si="13"/>
        <v>0</v>
      </c>
    </row>
    <row r="59" spans="1:27" s="68" customFormat="1" x14ac:dyDescent="0.2">
      <c r="A59" s="133"/>
      <c r="B59" s="133"/>
      <c r="C59" s="133"/>
      <c r="D59" s="144"/>
      <c r="E59" s="14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72"/>
    </row>
    <row r="60" spans="1:27" s="151" customFormat="1" x14ac:dyDescent="0.2">
      <c r="A60" s="147" t="s">
        <v>193</v>
      </c>
      <c r="B60" s="147"/>
      <c r="C60" s="147"/>
      <c r="D60" s="193"/>
      <c r="E60" s="148">
        <f>IF(Eligibility!$J$12="HECO",E$42+E46,0)</f>
        <v>2208.7620287999998</v>
      </c>
      <c r="F60" s="148" t="e">
        <f>IF(Eligibility!$J$12="HECO",F$42+F46,0)</f>
        <v>#REF!</v>
      </c>
      <c r="G60" s="148" t="e">
        <f>IF(Eligibility!$J$12="HECO",G$42+G46,0)</f>
        <v>#REF!</v>
      </c>
      <c r="H60" s="148" t="e">
        <f>IF(Eligibility!$J$12="HECO",H$42+H46,0)</f>
        <v>#REF!</v>
      </c>
      <c r="I60" s="148" t="e">
        <f>IF(Eligibility!$J$12="HECO",I$42+I46,0)</f>
        <v>#REF!</v>
      </c>
      <c r="J60" s="148" t="e">
        <f>IF(Eligibility!$J$12="HECO",J$42+J46,0)</f>
        <v>#REF!</v>
      </c>
      <c r="K60" s="148" t="e">
        <f>IF(Eligibility!$J$12="HECO",K$42+K46,0)</f>
        <v>#REF!</v>
      </c>
      <c r="L60" s="148" t="e">
        <f>IF(Eligibility!$J$12="HECO",L$42+L46,0)</f>
        <v>#REF!</v>
      </c>
      <c r="M60" s="148" t="e">
        <f>IF(Eligibility!$J$12="HECO",M$42+M46,0)</f>
        <v>#REF!</v>
      </c>
      <c r="N60" s="148" t="e">
        <f>IF(Eligibility!$J$12="HECO",N$42+N46,0)</f>
        <v>#REF!</v>
      </c>
      <c r="O60" s="148" t="e">
        <f>IF(Eligibility!$J$12="HECO",O$42+O46,0)</f>
        <v>#REF!</v>
      </c>
      <c r="P60" s="148" t="e">
        <f>IF(Eligibility!$J$12="HECO",P$42+P46,0)</f>
        <v>#REF!</v>
      </c>
      <c r="Q60" s="148" t="e">
        <f>IF(Eligibility!$J$12="HECO",Q$42+Q46,0)</f>
        <v>#REF!</v>
      </c>
      <c r="R60" s="148" t="e">
        <f>IF(Eligibility!$J$12="HECO",R$42+R46,0)</f>
        <v>#REF!</v>
      </c>
      <c r="S60" s="148" t="e">
        <f>IF(Eligibility!$J$12="HECO",S$42+S46,0)</f>
        <v>#REF!</v>
      </c>
      <c r="T60" s="148" t="e">
        <f>IF(Eligibility!$J$12="HECO",T$42+T46,0)</f>
        <v>#REF!</v>
      </c>
      <c r="U60" s="148" t="e">
        <f>IF(Eligibility!$J$12="HECO",U$42+U46,0)</f>
        <v>#REF!</v>
      </c>
      <c r="V60" s="148" t="e">
        <f>IF(Eligibility!$J$12="HECO",V$42+V46,0)</f>
        <v>#REF!</v>
      </c>
      <c r="W60" s="148" t="e">
        <f>IF(Eligibility!$J$12="HECO",W$42+W46,0)</f>
        <v>#REF!</v>
      </c>
      <c r="X60" s="148" t="e">
        <f>IF(Eligibility!$J$12="HECO",X$42+X46,0)</f>
        <v>#REF!</v>
      </c>
      <c r="Y60" s="150" t="e">
        <f>SUM(E60:X60)</f>
        <v>#REF!</v>
      </c>
      <c r="AA60" s="227"/>
    </row>
    <row r="61" spans="1:27" s="156" customFormat="1" x14ac:dyDescent="0.2">
      <c r="A61" s="152" t="s">
        <v>194</v>
      </c>
      <c r="B61" s="152"/>
      <c r="C61" s="152"/>
      <c r="D61" s="196"/>
      <c r="E61" s="153">
        <f>IF(Eligibility!$J$12="HELCO",E$42+E49,0)</f>
        <v>0</v>
      </c>
      <c r="F61" s="153">
        <f>IF(Eligibility!$J$12="HELCO",F$42+F49,0)</f>
        <v>0</v>
      </c>
      <c r="G61" s="153">
        <f>IF(Eligibility!$J$12="HELCO",G$42+G49,0)</f>
        <v>0</v>
      </c>
      <c r="H61" s="153">
        <f>IF(Eligibility!$J$12="HELCO",H$42+H49,0)</f>
        <v>0</v>
      </c>
      <c r="I61" s="153">
        <f>IF(Eligibility!$J$12="HELCO",I$42+I49,0)</f>
        <v>0</v>
      </c>
      <c r="J61" s="153">
        <f>IF(Eligibility!$J$12="HELCO",J$42+J49,0)</f>
        <v>0</v>
      </c>
      <c r="K61" s="153">
        <f>IF(Eligibility!$J$12="HELCO",K$42+K49,0)</f>
        <v>0</v>
      </c>
      <c r="L61" s="153">
        <f>IF(Eligibility!$J$12="HELCO",L$42+L49,0)</f>
        <v>0</v>
      </c>
      <c r="M61" s="153">
        <f>IF(Eligibility!$J$12="HELCO",M$42+M49,0)</f>
        <v>0</v>
      </c>
      <c r="N61" s="153">
        <f>IF(Eligibility!$J$12="HELCO",N$42+N49,0)</f>
        <v>0</v>
      </c>
      <c r="O61" s="153">
        <f>IF(Eligibility!$J$12="HELCO",O$42+O49,0)</f>
        <v>0</v>
      </c>
      <c r="P61" s="153">
        <f>IF(Eligibility!$J$12="HELCO",P$42+P49,0)</f>
        <v>0</v>
      </c>
      <c r="Q61" s="153">
        <f>IF(Eligibility!$J$12="HELCO",Q$42+Q49,0)</f>
        <v>0</v>
      </c>
      <c r="R61" s="153">
        <f>IF(Eligibility!$J$12="HELCO",R$42+R49,0)</f>
        <v>0</v>
      </c>
      <c r="S61" s="153">
        <f>IF(Eligibility!$J$12="HELCO",S$42+S49,0)</f>
        <v>0</v>
      </c>
      <c r="T61" s="153">
        <f>IF(Eligibility!$J$12="HELCO",T$42+T49,0)</f>
        <v>0</v>
      </c>
      <c r="U61" s="153">
        <f>IF(Eligibility!$J$12="HELCO",U$42+U49,0)</f>
        <v>0</v>
      </c>
      <c r="V61" s="153">
        <f>IF(Eligibility!$J$12="HELCO",V$42+V49,0)</f>
        <v>0</v>
      </c>
      <c r="W61" s="153">
        <f>IF(Eligibility!$J$12="HELCO",W$42+W49,0)</f>
        <v>0</v>
      </c>
      <c r="X61" s="153">
        <f>IF(Eligibility!$J$12="HELCO",X$42+X49,0)</f>
        <v>0</v>
      </c>
      <c r="Y61" s="155">
        <f t="shared" ref="Y61:Y64" si="27">SUM(E61:X61)</f>
        <v>0</v>
      </c>
      <c r="AA61" s="303"/>
    </row>
    <row r="62" spans="1:27" s="161" customFormat="1" x14ac:dyDescent="0.2">
      <c r="A62" s="157" t="s">
        <v>195</v>
      </c>
      <c r="B62" s="157"/>
      <c r="C62" s="157"/>
      <c r="D62" s="195"/>
      <c r="E62" s="158">
        <f>IF(Eligibility!$J$12="MECO - Maui",E$42+E52,0)</f>
        <v>0</v>
      </c>
      <c r="F62" s="158">
        <f>IF(Eligibility!$J$12="MECO - Maui",F$42+F52,0)</f>
        <v>0</v>
      </c>
      <c r="G62" s="158">
        <f>IF(Eligibility!$J$12="MECO - Maui",G$42+G52,0)</f>
        <v>0</v>
      </c>
      <c r="H62" s="158">
        <f>IF(Eligibility!$J$12="MECO - Maui",H$42+H52,0)</f>
        <v>0</v>
      </c>
      <c r="I62" s="158">
        <f>IF(Eligibility!$J$12="MECO - Maui",I$42+I52,0)</f>
        <v>0</v>
      </c>
      <c r="J62" s="158">
        <f>IF(Eligibility!$J$12="MECO - Maui",J$42+J52,0)</f>
        <v>0</v>
      </c>
      <c r="K62" s="158">
        <f>IF(Eligibility!$J$12="MECO - Maui",K$42+K52,0)</f>
        <v>0</v>
      </c>
      <c r="L62" s="158">
        <f>IF(Eligibility!$J$12="MECO - Maui",L$42+L52,0)</f>
        <v>0</v>
      </c>
      <c r="M62" s="158">
        <f>IF(Eligibility!$J$12="MECO - Maui",M$42+M52,0)</f>
        <v>0</v>
      </c>
      <c r="N62" s="158">
        <f>IF(Eligibility!$J$12="MECO - Maui",N$42+N52,0)</f>
        <v>0</v>
      </c>
      <c r="O62" s="158">
        <f>IF(Eligibility!$J$12="MECO - Maui",O$42+O52,0)</f>
        <v>0</v>
      </c>
      <c r="P62" s="158">
        <f>IF(Eligibility!$J$12="MECO - Maui",P$42+P52,0)</f>
        <v>0</v>
      </c>
      <c r="Q62" s="158">
        <f>IF(Eligibility!$J$12="MECO - Maui",Q$42+Q52,0)</f>
        <v>0</v>
      </c>
      <c r="R62" s="158">
        <f>IF(Eligibility!$J$12="MECO - Maui",R$42+R52,0)</f>
        <v>0</v>
      </c>
      <c r="S62" s="158">
        <f>IF(Eligibility!$J$12="MECO - Maui",S$42+S52,0)</f>
        <v>0</v>
      </c>
      <c r="T62" s="158">
        <f>IF(Eligibility!$J$12="MECO - Maui",T$42+T52,0)</f>
        <v>0</v>
      </c>
      <c r="U62" s="158">
        <f>IF(Eligibility!$J$12="MECO - Maui",U$42+U52,0)</f>
        <v>0</v>
      </c>
      <c r="V62" s="158">
        <f>IF(Eligibility!$J$12="MECO - Maui",V$42+V52,0)</f>
        <v>0</v>
      </c>
      <c r="W62" s="158">
        <f>IF(Eligibility!$J$12="MECO - Maui",W$42+W52,0)</f>
        <v>0</v>
      </c>
      <c r="X62" s="158">
        <f>IF(Eligibility!$J$12="MECO - Maui",X$42+X52,0)</f>
        <v>0</v>
      </c>
      <c r="Y62" s="160">
        <f t="shared" si="27"/>
        <v>0</v>
      </c>
      <c r="AA62" s="304"/>
    </row>
    <row r="63" spans="1:27" s="171" customFormat="1" x14ac:dyDescent="0.2">
      <c r="A63" s="167" t="s">
        <v>196</v>
      </c>
      <c r="B63" s="167"/>
      <c r="C63" s="167"/>
      <c r="D63" s="194"/>
      <c r="E63" s="168">
        <f>IF(Eligibility!$J$12="MECO - Lanai",E$42+E55,0)</f>
        <v>0</v>
      </c>
      <c r="F63" s="168">
        <f>IF(Eligibility!$J$12="MECO - Lanai",F$42+F55,0)</f>
        <v>0</v>
      </c>
      <c r="G63" s="168">
        <f>IF(Eligibility!$J$12="MECO - Lanai",G$42+G55,0)</f>
        <v>0</v>
      </c>
      <c r="H63" s="168">
        <f>IF(Eligibility!$J$12="MECO - Lanai",H$42+H55,0)</f>
        <v>0</v>
      </c>
      <c r="I63" s="168">
        <f>IF(Eligibility!$J$12="MECO - Lanai",I$42+I55,0)</f>
        <v>0</v>
      </c>
      <c r="J63" s="168">
        <f>IF(Eligibility!$J$12="MECO - Lanai",J$42+J55,0)</f>
        <v>0</v>
      </c>
      <c r="K63" s="168">
        <f>IF(Eligibility!$J$12="MECO - Lanai",K$42+K55,0)</f>
        <v>0</v>
      </c>
      <c r="L63" s="168">
        <f>IF(Eligibility!$J$12="MECO - Lanai",L$42+L55,0)</f>
        <v>0</v>
      </c>
      <c r="M63" s="168">
        <f>IF(Eligibility!$J$12="MECO - Lanai",M$42+M55,0)</f>
        <v>0</v>
      </c>
      <c r="N63" s="168">
        <f>IF(Eligibility!$J$12="MECO - Lanai",N$42+N55,0)</f>
        <v>0</v>
      </c>
      <c r="O63" s="168">
        <f>IF(Eligibility!$J$12="MECO - Lanai",O$42+O55,0)</f>
        <v>0</v>
      </c>
      <c r="P63" s="168">
        <f>IF(Eligibility!$J$12="MECO - Lanai",P$42+P55,0)</f>
        <v>0</v>
      </c>
      <c r="Q63" s="168">
        <f>IF(Eligibility!$J$12="MECO - Lanai",Q$42+Q55,0)</f>
        <v>0</v>
      </c>
      <c r="R63" s="168">
        <f>IF(Eligibility!$J$12="MECO - Lanai",R$42+R55,0)</f>
        <v>0</v>
      </c>
      <c r="S63" s="168">
        <f>IF(Eligibility!$J$12="MECO - Lanai",S$42+S55,0)</f>
        <v>0</v>
      </c>
      <c r="T63" s="168">
        <f>IF(Eligibility!$J$12="MECO - Lanai",T$42+T55,0)</f>
        <v>0</v>
      </c>
      <c r="U63" s="168">
        <f>IF(Eligibility!$J$12="MECO - Lanai",U$42+U55,0)</f>
        <v>0</v>
      </c>
      <c r="V63" s="168">
        <f>IF(Eligibility!$J$12="MECO - Lanai",V$42+V55,0)</f>
        <v>0</v>
      </c>
      <c r="W63" s="168">
        <f>IF(Eligibility!$J$12="MECO - Lanai",W$42+W55,0)</f>
        <v>0</v>
      </c>
      <c r="X63" s="168">
        <f>IF(Eligibility!$J$12="MECO - Lanai",X$42+X55,0)</f>
        <v>0</v>
      </c>
      <c r="Y63" s="170">
        <f t="shared" si="27"/>
        <v>0</v>
      </c>
    </row>
    <row r="64" spans="1:27" s="166" customFormat="1" x14ac:dyDescent="0.2">
      <c r="A64" s="162" t="s">
        <v>197</v>
      </c>
      <c r="B64" s="162"/>
      <c r="C64" s="162"/>
      <c r="D64" s="192"/>
      <c r="E64" s="163">
        <f>IF(Eligibility!$J$12="MECO - Molokai",E$42+E58,0)</f>
        <v>0</v>
      </c>
      <c r="F64" s="163">
        <f>IF(Eligibility!$J$12="MECO - Molokai",F$42+F58,0)</f>
        <v>0</v>
      </c>
      <c r="G64" s="163">
        <f>IF(Eligibility!$J$12="MECO - Molokai",G$42+G58,0)</f>
        <v>0</v>
      </c>
      <c r="H64" s="163">
        <f>IF(Eligibility!$J$12="MECO - Molokai",H$42+H58,0)</f>
        <v>0</v>
      </c>
      <c r="I64" s="163">
        <f>IF(Eligibility!$J$12="MECO - Molokai",I$42+I58,0)</f>
        <v>0</v>
      </c>
      <c r="J64" s="163">
        <f>IF(Eligibility!$J$12="MECO - Molokai",J$42+J58,0)</f>
        <v>0</v>
      </c>
      <c r="K64" s="163">
        <f>IF(Eligibility!$J$12="MECO - Molokai",K$42+K58,0)</f>
        <v>0</v>
      </c>
      <c r="L64" s="163">
        <f>IF(Eligibility!$J$12="MECO - Molokai",L$42+L58,0)</f>
        <v>0</v>
      </c>
      <c r="M64" s="163">
        <f>IF(Eligibility!$J$12="MECO - Molokai",M$42+M58,0)</f>
        <v>0</v>
      </c>
      <c r="N64" s="163">
        <f>IF(Eligibility!$J$12="MECO - Molokai",N$42+N58,0)</f>
        <v>0</v>
      </c>
      <c r="O64" s="163">
        <f>IF(Eligibility!$J$12="MECO - Molokai",O$42+O58,0)</f>
        <v>0</v>
      </c>
      <c r="P64" s="163">
        <f>IF(Eligibility!$J$12="MECO - Molokai",P$42+P58,0)</f>
        <v>0</v>
      </c>
      <c r="Q64" s="163">
        <f>IF(Eligibility!$J$12="MECO - Molokai",Q$42+Q58,0)</f>
        <v>0</v>
      </c>
      <c r="R64" s="163">
        <f>IF(Eligibility!$J$12="MECO - Molokai",R$42+R58,0)</f>
        <v>0</v>
      </c>
      <c r="S64" s="163">
        <f>IF(Eligibility!$J$12="MECO - Molokai",S$42+S58,0)</f>
        <v>0</v>
      </c>
      <c r="T64" s="163">
        <f>IF(Eligibility!$J$12="MECO - Molokai",T$42+T58,0)</f>
        <v>0</v>
      </c>
      <c r="U64" s="163">
        <f>IF(Eligibility!$J$12="MECO - Molokai",U$42+U58,0)</f>
        <v>0</v>
      </c>
      <c r="V64" s="163">
        <f>IF(Eligibility!$J$12="MECO - Molokai",V$42+V58,0)</f>
        <v>0</v>
      </c>
      <c r="W64" s="163">
        <f>IF(Eligibility!$J$12="MECO - Molokai",W$42+W58,0)</f>
        <v>0</v>
      </c>
      <c r="X64" s="163">
        <f>IF(Eligibility!$J$12="MECO - Molokai",X$42+X58,0)</f>
        <v>0</v>
      </c>
      <c r="Y64" s="165">
        <f t="shared" si="27"/>
        <v>0</v>
      </c>
    </row>
    <row r="65" spans="1:26" s="66" customFormat="1" x14ac:dyDescent="0.2">
      <c r="A65" s="129"/>
      <c r="B65" s="129"/>
      <c r="C65" s="129"/>
      <c r="D65" s="134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1"/>
    </row>
    <row r="66" spans="1:26" s="151" customFormat="1" x14ac:dyDescent="0.2">
      <c r="A66" s="147" t="s">
        <v>205</v>
      </c>
      <c r="B66" s="147"/>
      <c r="C66" s="147"/>
      <c r="D66" s="197"/>
      <c r="E66" s="148">
        <f t="shared" ref="E66:X66" si="28">E33-E60</f>
        <v>1846.8073872</v>
      </c>
      <c r="F66" s="148" t="e">
        <f t="shared" si="28"/>
        <v>#REF!</v>
      </c>
      <c r="G66" s="148" t="e">
        <f t="shared" si="28"/>
        <v>#REF!</v>
      </c>
      <c r="H66" s="148" t="e">
        <f t="shared" si="28"/>
        <v>#REF!</v>
      </c>
      <c r="I66" s="148" t="e">
        <f t="shared" si="28"/>
        <v>#REF!</v>
      </c>
      <c r="J66" s="148" t="e">
        <f t="shared" si="28"/>
        <v>#REF!</v>
      </c>
      <c r="K66" s="148" t="e">
        <f t="shared" si="28"/>
        <v>#REF!</v>
      </c>
      <c r="L66" s="148" t="e">
        <f t="shared" si="28"/>
        <v>#REF!</v>
      </c>
      <c r="M66" s="148" t="e">
        <f t="shared" si="28"/>
        <v>#REF!</v>
      </c>
      <c r="N66" s="148" t="e">
        <f t="shared" si="28"/>
        <v>#REF!</v>
      </c>
      <c r="O66" s="148" t="e">
        <f t="shared" si="28"/>
        <v>#REF!</v>
      </c>
      <c r="P66" s="148" t="e">
        <f t="shared" si="28"/>
        <v>#REF!</v>
      </c>
      <c r="Q66" s="148" t="e">
        <f t="shared" si="28"/>
        <v>#REF!</v>
      </c>
      <c r="R66" s="148" t="e">
        <f t="shared" si="28"/>
        <v>#REF!</v>
      </c>
      <c r="S66" s="148" t="e">
        <f t="shared" si="28"/>
        <v>#REF!</v>
      </c>
      <c r="T66" s="148" t="e">
        <f t="shared" si="28"/>
        <v>#REF!</v>
      </c>
      <c r="U66" s="148" t="e">
        <f t="shared" si="28"/>
        <v>#REF!</v>
      </c>
      <c r="V66" s="148" t="e">
        <f t="shared" si="28"/>
        <v>#REF!</v>
      </c>
      <c r="W66" s="148" t="e">
        <f t="shared" si="28"/>
        <v>#REF!</v>
      </c>
      <c r="X66" s="148" t="e">
        <f t="shared" si="28"/>
        <v>#REF!</v>
      </c>
      <c r="Y66" s="150" t="e">
        <f t="shared" ref="Y66:Y71" si="29">SUM(E66:X66)</f>
        <v>#REF!</v>
      </c>
      <c r="Z66" s="227"/>
    </row>
    <row r="67" spans="1:26" s="226" customFormat="1" x14ac:dyDescent="0.2">
      <c r="A67" s="222" t="s">
        <v>206</v>
      </c>
      <c r="B67" s="222"/>
      <c r="C67" s="222"/>
      <c r="D67" s="223"/>
      <c r="E67" s="224">
        <f t="shared" ref="E67:X67" si="30">E66/E33</f>
        <v>0.4553756076554849</v>
      </c>
      <c r="F67" s="224" t="e">
        <f t="shared" si="30"/>
        <v>#REF!</v>
      </c>
      <c r="G67" s="224" t="e">
        <f t="shared" si="30"/>
        <v>#REF!</v>
      </c>
      <c r="H67" s="224" t="e">
        <f t="shared" si="30"/>
        <v>#REF!</v>
      </c>
      <c r="I67" s="224" t="e">
        <f t="shared" si="30"/>
        <v>#REF!</v>
      </c>
      <c r="J67" s="224" t="e">
        <f t="shared" si="30"/>
        <v>#REF!</v>
      </c>
      <c r="K67" s="224" t="e">
        <f t="shared" si="30"/>
        <v>#REF!</v>
      </c>
      <c r="L67" s="224" t="e">
        <f t="shared" si="30"/>
        <v>#REF!</v>
      </c>
      <c r="M67" s="224" t="e">
        <f t="shared" si="30"/>
        <v>#REF!</v>
      </c>
      <c r="N67" s="224" t="e">
        <f t="shared" si="30"/>
        <v>#REF!</v>
      </c>
      <c r="O67" s="224" t="e">
        <f t="shared" si="30"/>
        <v>#REF!</v>
      </c>
      <c r="P67" s="224" t="e">
        <f t="shared" si="30"/>
        <v>#REF!</v>
      </c>
      <c r="Q67" s="224" t="e">
        <f t="shared" si="30"/>
        <v>#REF!</v>
      </c>
      <c r="R67" s="224" t="e">
        <f t="shared" si="30"/>
        <v>#REF!</v>
      </c>
      <c r="S67" s="224" t="e">
        <f t="shared" si="30"/>
        <v>#REF!</v>
      </c>
      <c r="T67" s="224" t="e">
        <f t="shared" si="30"/>
        <v>#REF!</v>
      </c>
      <c r="U67" s="224" t="e">
        <f t="shared" si="30"/>
        <v>#REF!</v>
      </c>
      <c r="V67" s="224" t="e">
        <f t="shared" si="30"/>
        <v>#REF!</v>
      </c>
      <c r="W67" s="224" t="e">
        <f t="shared" si="30"/>
        <v>#REF!</v>
      </c>
      <c r="X67" s="224" t="e">
        <f t="shared" si="30"/>
        <v>#REF!</v>
      </c>
      <c r="Y67" s="225"/>
    </row>
    <row r="68" spans="1:26" s="151" customFormat="1" x14ac:dyDescent="0.2">
      <c r="A68" s="147" t="s">
        <v>179</v>
      </c>
      <c r="B68" s="147"/>
      <c r="C68" s="147"/>
      <c r="D68" s="176"/>
      <c r="E68" s="148">
        <f t="shared" ref="E68:X68" si="31">E33/12</f>
        <v>337.96411799999998</v>
      </c>
      <c r="F68" s="148">
        <f t="shared" si="31"/>
        <v>354.89612031179996</v>
      </c>
      <c r="G68" s="148">
        <f t="shared" si="31"/>
        <v>372.67641593942113</v>
      </c>
      <c r="H68" s="148">
        <f t="shared" si="31"/>
        <v>391.34750437798613</v>
      </c>
      <c r="I68" s="148">
        <f t="shared" si="31"/>
        <v>410.95401434732327</v>
      </c>
      <c r="J68" s="148">
        <f t="shared" si="31"/>
        <v>431.54281046612419</v>
      </c>
      <c r="K68" s="148">
        <f t="shared" si="31"/>
        <v>453.16310527047705</v>
      </c>
      <c r="L68" s="148">
        <f t="shared" si="31"/>
        <v>475.86657684452797</v>
      </c>
      <c r="M68" s="148">
        <f t="shared" si="31"/>
        <v>499.70749234443883</v>
      </c>
      <c r="N68" s="148">
        <f t="shared" si="31"/>
        <v>524.74283771089529</v>
      </c>
      <c r="O68" s="148">
        <f t="shared" si="31"/>
        <v>551.03245388021116</v>
      </c>
      <c r="P68" s="148">
        <f t="shared" si="31"/>
        <v>578.63917981960969</v>
      </c>
      <c r="Q68" s="148">
        <f t="shared" si="31"/>
        <v>607.62900272857223</v>
      </c>
      <c r="R68" s="148">
        <f t="shared" si="31"/>
        <v>638.07121576527368</v>
      </c>
      <c r="S68" s="148">
        <f t="shared" si="31"/>
        <v>670.03858367511395</v>
      </c>
      <c r="T68" s="148">
        <f t="shared" si="31"/>
        <v>703.6075167172371</v>
      </c>
      <c r="U68" s="148">
        <f t="shared" si="31"/>
        <v>738.85825330477064</v>
      </c>
      <c r="V68" s="148">
        <f t="shared" si="31"/>
        <v>775.87505179533957</v>
      </c>
      <c r="W68" s="148">
        <f t="shared" si="31"/>
        <v>814.74639189028619</v>
      </c>
      <c r="X68" s="148">
        <f t="shared" si="31"/>
        <v>855.56518612398952</v>
      </c>
      <c r="Y68" s="150">
        <f>SUM(E68:X68)</f>
        <v>11186.923831313397</v>
      </c>
    </row>
    <row r="69" spans="1:26" s="151" customFormat="1" x14ac:dyDescent="0.2">
      <c r="A69" s="147" t="s">
        <v>247</v>
      </c>
      <c r="B69" s="147"/>
      <c r="C69" s="147"/>
      <c r="D69" s="148"/>
      <c r="E69" s="148">
        <f>E60/12</f>
        <v>184.06350239999998</v>
      </c>
      <c r="F69" s="148" t="e">
        <f>F60/12</f>
        <v>#REF!</v>
      </c>
      <c r="G69" s="148" t="e">
        <f t="shared" ref="G69:X69" si="32">G60/12</f>
        <v>#REF!</v>
      </c>
      <c r="H69" s="148" t="e">
        <f t="shared" si="32"/>
        <v>#REF!</v>
      </c>
      <c r="I69" s="148" t="e">
        <f t="shared" si="32"/>
        <v>#REF!</v>
      </c>
      <c r="J69" s="148" t="e">
        <f t="shared" si="32"/>
        <v>#REF!</v>
      </c>
      <c r="K69" s="148" t="e">
        <f t="shared" si="32"/>
        <v>#REF!</v>
      </c>
      <c r="L69" s="148" t="e">
        <f t="shared" si="32"/>
        <v>#REF!</v>
      </c>
      <c r="M69" s="148" t="e">
        <f t="shared" si="32"/>
        <v>#REF!</v>
      </c>
      <c r="N69" s="148" t="e">
        <f t="shared" si="32"/>
        <v>#REF!</v>
      </c>
      <c r="O69" s="148" t="e">
        <f t="shared" si="32"/>
        <v>#REF!</v>
      </c>
      <c r="P69" s="148" t="e">
        <f t="shared" si="32"/>
        <v>#REF!</v>
      </c>
      <c r="Q69" s="148" t="e">
        <f t="shared" si="32"/>
        <v>#REF!</v>
      </c>
      <c r="R69" s="148" t="e">
        <f t="shared" si="32"/>
        <v>#REF!</v>
      </c>
      <c r="S69" s="148" t="e">
        <f t="shared" si="32"/>
        <v>#REF!</v>
      </c>
      <c r="T69" s="148" t="e">
        <f t="shared" si="32"/>
        <v>#REF!</v>
      </c>
      <c r="U69" s="148" t="e">
        <f t="shared" si="32"/>
        <v>#REF!</v>
      </c>
      <c r="V69" s="148" t="e">
        <f t="shared" si="32"/>
        <v>#REF!</v>
      </c>
      <c r="W69" s="148" t="e">
        <f t="shared" si="32"/>
        <v>#REF!</v>
      </c>
      <c r="X69" s="148" t="e">
        <f t="shared" si="32"/>
        <v>#REF!</v>
      </c>
      <c r="Y69" s="150" t="e">
        <f t="shared" si="29"/>
        <v>#REF!</v>
      </c>
    </row>
    <row r="70" spans="1:26" s="151" customFormat="1" x14ac:dyDescent="0.2">
      <c r="A70" s="147" t="s">
        <v>248</v>
      </c>
      <c r="B70" s="147"/>
      <c r="C70" s="147"/>
      <c r="D70" s="193"/>
      <c r="E70" s="148">
        <f t="shared" ref="E70:X70" si="33">E68-E69</f>
        <v>153.90061560000001</v>
      </c>
      <c r="F70" s="148" t="e">
        <f t="shared" si="33"/>
        <v>#REF!</v>
      </c>
      <c r="G70" s="148" t="e">
        <f t="shared" si="33"/>
        <v>#REF!</v>
      </c>
      <c r="H70" s="148" t="e">
        <f t="shared" si="33"/>
        <v>#REF!</v>
      </c>
      <c r="I70" s="148" t="e">
        <f t="shared" si="33"/>
        <v>#REF!</v>
      </c>
      <c r="J70" s="148" t="e">
        <f t="shared" si="33"/>
        <v>#REF!</v>
      </c>
      <c r="K70" s="148" t="e">
        <f t="shared" si="33"/>
        <v>#REF!</v>
      </c>
      <c r="L70" s="148" t="e">
        <f t="shared" si="33"/>
        <v>#REF!</v>
      </c>
      <c r="M70" s="148" t="e">
        <f t="shared" si="33"/>
        <v>#REF!</v>
      </c>
      <c r="N70" s="148" t="e">
        <f t="shared" si="33"/>
        <v>#REF!</v>
      </c>
      <c r="O70" s="148" t="e">
        <f t="shared" si="33"/>
        <v>#REF!</v>
      </c>
      <c r="P70" s="148" t="e">
        <f t="shared" si="33"/>
        <v>#REF!</v>
      </c>
      <c r="Q70" s="148" t="e">
        <f t="shared" si="33"/>
        <v>#REF!</v>
      </c>
      <c r="R70" s="148" t="e">
        <f t="shared" si="33"/>
        <v>#REF!</v>
      </c>
      <c r="S70" s="148" t="e">
        <f t="shared" si="33"/>
        <v>#REF!</v>
      </c>
      <c r="T70" s="148" t="e">
        <f t="shared" si="33"/>
        <v>#REF!</v>
      </c>
      <c r="U70" s="148" t="e">
        <f t="shared" si="33"/>
        <v>#REF!</v>
      </c>
      <c r="V70" s="148" t="e">
        <f t="shared" si="33"/>
        <v>#REF!</v>
      </c>
      <c r="W70" s="148" t="e">
        <f t="shared" si="33"/>
        <v>#REF!</v>
      </c>
      <c r="X70" s="148" t="e">
        <f t="shared" si="33"/>
        <v>#REF!</v>
      </c>
      <c r="Y70" s="150" t="e">
        <f t="shared" si="29"/>
        <v>#REF!</v>
      </c>
    </row>
    <row r="71" spans="1:26" s="156" customFormat="1" x14ac:dyDescent="0.2">
      <c r="A71" s="152" t="s">
        <v>207</v>
      </c>
      <c r="B71" s="152"/>
      <c r="C71" s="152"/>
      <c r="D71" s="289"/>
      <c r="E71" s="153">
        <f t="shared" ref="E71:X71" si="34">E34-E61</f>
        <v>0</v>
      </c>
      <c r="F71" s="153">
        <f t="shared" si="34"/>
        <v>0</v>
      </c>
      <c r="G71" s="153">
        <f t="shared" si="34"/>
        <v>0</v>
      </c>
      <c r="H71" s="153">
        <f t="shared" si="34"/>
        <v>0</v>
      </c>
      <c r="I71" s="153">
        <f t="shared" si="34"/>
        <v>0</v>
      </c>
      <c r="J71" s="153">
        <f t="shared" si="34"/>
        <v>0</v>
      </c>
      <c r="K71" s="153">
        <f t="shared" si="34"/>
        <v>0</v>
      </c>
      <c r="L71" s="153">
        <f t="shared" si="34"/>
        <v>0</v>
      </c>
      <c r="M71" s="153">
        <f t="shared" si="34"/>
        <v>0</v>
      </c>
      <c r="N71" s="153">
        <f t="shared" si="34"/>
        <v>0</v>
      </c>
      <c r="O71" s="153">
        <f t="shared" si="34"/>
        <v>0</v>
      </c>
      <c r="P71" s="153">
        <f t="shared" si="34"/>
        <v>0</v>
      </c>
      <c r="Q71" s="153">
        <f t="shared" si="34"/>
        <v>0</v>
      </c>
      <c r="R71" s="153">
        <f t="shared" si="34"/>
        <v>0</v>
      </c>
      <c r="S71" s="153">
        <f t="shared" si="34"/>
        <v>0</v>
      </c>
      <c r="T71" s="153">
        <f t="shared" si="34"/>
        <v>0</v>
      </c>
      <c r="U71" s="153">
        <f t="shared" si="34"/>
        <v>0</v>
      </c>
      <c r="V71" s="153">
        <f t="shared" si="34"/>
        <v>0</v>
      </c>
      <c r="W71" s="153">
        <f t="shared" si="34"/>
        <v>0</v>
      </c>
      <c r="X71" s="153">
        <f t="shared" si="34"/>
        <v>0</v>
      </c>
      <c r="Y71" s="155">
        <f t="shared" si="29"/>
        <v>0</v>
      </c>
    </row>
    <row r="72" spans="1:26" s="221" customFormat="1" x14ac:dyDescent="0.2">
      <c r="A72" s="217" t="s">
        <v>249</v>
      </c>
      <c r="B72" s="217"/>
      <c r="C72" s="217"/>
      <c r="D72" s="218"/>
      <c r="E72" s="219" t="e">
        <f t="shared" ref="E72:X72" si="35">E71/E34</f>
        <v>#DIV/0!</v>
      </c>
      <c r="F72" s="219" t="e">
        <f t="shared" si="35"/>
        <v>#DIV/0!</v>
      </c>
      <c r="G72" s="219" t="e">
        <f t="shared" si="35"/>
        <v>#DIV/0!</v>
      </c>
      <c r="H72" s="219" t="e">
        <f t="shared" si="35"/>
        <v>#DIV/0!</v>
      </c>
      <c r="I72" s="219" t="e">
        <f t="shared" si="35"/>
        <v>#DIV/0!</v>
      </c>
      <c r="J72" s="219" t="e">
        <f t="shared" si="35"/>
        <v>#DIV/0!</v>
      </c>
      <c r="K72" s="219" t="e">
        <f t="shared" si="35"/>
        <v>#DIV/0!</v>
      </c>
      <c r="L72" s="219" t="e">
        <f t="shared" si="35"/>
        <v>#DIV/0!</v>
      </c>
      <c r="M72" s="219" t="e">
        <f t="shared" si="35"/>
        <v>#DIV/0!</v>
      </c>
      <c r="N72" s="219" t="e">
        <f t="shared" si="35"/>
        <v>#DIV/0!</v>
      </c>
      <c r="O72" s="219" t="e">
        <f t="shared" si="35"/>
        <v>#DIV/0!</v>
      </c>
      <c r="P72" s="219" t="e">
        <f t="shared" si="35"/>
        <v>#DIV/0!</v>
      </c>
      <c r="Q72" s="219" t="e">
        <f t="shared" si="35"/>
        <v>#DIV/0!</v>
      </c>
      <c r="R72" s="219" t="e">
        <f t="shared" si="35"/>
        <v>#DIV/0!</v>
      </c>
      <c r="S72" s="219" t="e">
        <f t="shared" si="35"/>
        <v>#DIV/0!</v>
      </c>
      <c r="T72" s="219" t="e">
        <f t="shared" si="35"/>
        <v>#DIV/0!</v>
      </c>
      <c r="U72" s="219" t="e">
        <f t="shared" si="35"/>
        <v>#DIV/0!</v>
      </c>
      <c r="V72" s="219" t="e">
        <f t="shared" si="35"/>
        <v>#DIV/0!</v>
      </c>
      <c r="W72" s="219" t="e">
        <f t="shared" si="35"/>
        <v>#DIV/0!</v>
      </c>
      <c r="X72" s="219" t="e">
        <f t="shared" si="35"/>
        <v>#DIV/0!</v>
      </c>
      <c r="Y72" s="220"/>
    </row>
    <row r="73" spans="1:26" s="156" customFormat="1" x14ac:dyDescent="0.2">
      <c r="A73" s="152" t="s">
        <v>185</v>
      </c>
      <c r="B73" s="152"/>
      <c r="C73" s="152"/>
      <c r="D73" s="175"/>
      <c r="E73" s="153">
        <f t="shared" ref="E73:X73" si="36">E34/12</f>
        <v>0</v>
      </c>
      <c r="F73" s="153">
        <f t="shared" si="36"/>
        <v>0</v>
      </c>
      <c r="G73" s="153">
        <f t="shared" si="36"/>
        <v>0</v>
      </c>
      <c r="H73" s="153">
        <f t="shared" si="36"/>
        <v>0</v>
      </c>
      <c r="I73" s="153">
        <f t="shared" si="36"/>
        <v>0</v>
      </c>
      <c r="J73" s="153">
        <f t="shared" si="36"/>
        <v>0</v>
      </c>
      <c r="K73" s="153">
        <f t="shared" si="36"/>
        <v>0</v>
      </c>
      <c r="L73" s="153">
        <f t="shared" si="36"/>
        <v>0</v>
      </c>
      <c r="M73" s="153">
        <f t="shared" si="36"/>
        <v>0</v>
      </c>
      <c r="N73" s="153">
        <f t="shared" si="36"/>
        <v>0</v>
      </c>
      <c r="O73" s="153">
        <f t="shared" si="36"/>
        <v>0</v>
      </c>
      <c r="P73" s="153">
        <f t="shared" si="36"/>
        <v>0</v>
      </c>
      <c r="Q73" s="153">
        <f t="shared" si="36"/>
        <v>0</v>
      </c>
      <c r="R73" s="153">
        <f t="shared" si="36"/>
        <v>0</v>
      </c>
      <c r="S73" s="153">
        <f t="shared" si="36"/>
        <v>0</v>
      </c>
      <c r="T73" s="153">
        <f t="shared" si="36"/>
        <v>0</v>
      </c>
      <c r="U73" s="153">
        <f t="shared" si="36"/>
        <v>0</v>
      </c>
      <c r="V73" s="153">
        <f t="shared" si="36"/>
        <v>0</v>
      </c>
      <c r="W73" s="153">
        <f t="shared" si="36"/>
        <v>0</v>
      </c>
      <c r="X73" s="153">
        <f t="shared" si="36"/>
        <v>0</v>
      </c>
      <c r="Y73" s="155">
        <f>SUM(E73:X73)</f>
        <v>0</v>
      </c>
    </row>
    <row r="74" spans="1:26" s="156" customFormat="1" x14ac:dyDescent="0.2">
      <c r="A74" s="152" t="s">
        <v>216</v>
      </c>
      <c r="B74" s="152"/>
      <c r="C74" s="152"/>
      <c r="D74" s="153"/>
      <c r="E74" s="153">
        <f>E61/12</f>
        <v>0</v>
      </c>
      <c r="F74" s="153">
        <f>F61/12</f>
        <v>0</v>
      </c>
      <c r="G74" s="153">
        <f t="shared" ref="G74:X74" si="37">G61/12</f>
        <v>0</v>
      </c>
      <c r="H74" s="153">
        <f t="shared" si="37"/>
        <v>0</v>
      </c>
      <c r="I74" s="153">
        <f t="shared" si="37"/>
        <v>0</v>
      </c>
      <c r="J74" s="153">
        <f t="shared" si="37"/>
        <v>0</v>
      </c>
      <c r="K74" s="153">
        <f t="shared" si="37"/>
        <v>0</v>
      </c>
      <c r="L74" s="153">
        <f t="shared" si="37"/>
        <v>0</v>
      </c>
      <c r="M74" s="153">
        <f t="shared" si="37"/>
        <v>0</v>
      </c>
      <c r="N74" s="153">
        <f t="shared" si="37"/>
        <v>0</v>
      </c>
      <c r="O74" s="153">
        <f t="shared" si="37"/>
        <v>0</v>
      </c>
      <c r="P74" s="153">
        <f t="shared" si="37"/>
        <v>0</v>
      </c>
      <c r="Q74" s="153">
        <f t="shared" si="37"/>
        <v>0</v>
      </c>
      <c r="R74" s="153">
        <f t="shared" si="37"/>
        <v>0</v>
      </c>
      <c r="S74" s="153">
        <f t="shared" si="37"/>
        <v>0</v>
      </c>
      <c r="T74" s="153">
        <f t="shared" si="37"/>
        <v>0</v>
      </c>
      <c r="U74" s="153">
        <f t="shared" si="37"/>
        <v>0</v>
      </c>
      <c r="V74" s="153">
        <f t="shared" si="37"/>
        <v>0</v>
      </c>
      <c r="W74" s="153">
        <f t="shared" si="37"/>
        <v>0</v>
      </c>
      <c r="X74" s="153">
        <f t="shared" si="37"/>
        <v>0</v>
      </c>
      <c r="Y74" s="155">
        <f t="shared" ref="Y74:Y76" si="38">SUM(E74:X74)</f>
        <v>0</v>
      </c>
    </row>
    <row r="75" spans="1:26" s="156" customFormat="1" x14ac:dyDescent="0.2">
      <c r="A75" s="152" t="s">
        <v>217</v>
      </c>
      <c r="B75" s="152"/>
      <c r="C75" s="152"/>
      <c r="D75" s="196"/>
      <c r="E75" s="153">
        <f>E73-E74</f>
        <v>0</v>
      </c>
      <c r="F75" s="153">
        <f>F73-F74</f>
        <v>0</v>
      </c>
      <c r="G75" s="153">
        <f t="shared" ref="G75:X75" si="39">G73-G74</f>
        <v>0</v>
      </c>
      <c r="H75" s="153">
        <f t="shared" si="39"/>
        <v>0</v>
      </c>
      <c r="I75" s="153">
        <f t="shared" si="39"/>
        <v>0</v>
      </c>
      <c r="J75" s="153">
        <f t="shared" si="39"/>
        <v>0</v>
      </c>
      <c r="K75" s="153">
        <f t="shared" si="39"/>
        <v>0</v>
      </c>
      <c r="L75" s="153">
        <f t="shared" si="39"/>
        <v>0</v>
      </c>
      <c r="M75" s="153">
        <f t="shared" si="39"/>
        <v>0</v>
      </c>
      <c r="N75" s="153">
        <f t="shared" si="39"/>
        <v>0</v>
      </c>
      <c r="O75" s="153">
        <f t="shared" si="39"/>
        <v>0</v>
      </c>
      <c r="P75" s="153">
        <f t="shared" si="39"/>
        <v>0</v>
      </c>
      <c r="Q75" s="153">
        <f t="shared" si="39"/>
        <v>0</v>
      </c>
      <c r="R75" s="153">
        <f t="shared" si="39"/>
        <v>0</v>
      </c>
      <c r="S75" s="153">
        <f t="shared" si="39"/>
        <v>0</v>
      </c>
      <c r="T75" s="153">
        <f t="shared" si="39"/>
        <v>0</v>
      </c>
      <c r="U75" s="153">
        <f t="shared" si="39"/>
        <v>0</v>
      </c>
      <c r="V75" s="153">
        <f t="shared" si="39"/>
        <v>0</v>
      </c>
      <c r="W75" s="153">
        <f t="shared" si="39"/>
        <v>0</v>
      </c>
      <c r="X75" s="153">
        <f t="shared" si="39"/>
        <v>0</v>
      </c>
      <c r="Y75" s="155">
        <f t="shared" si="38"/>
        <v>0</v>
      </c>
    </row>
    <row r="76" spans="1:26" s="161" customFormat="1" x14ac:dyDescent="0.2">
      <c r="A76" s="157" t="s">
        <v>209</v>
      </c>
      <c r="B76" s="157"/>
      <c r="C76" s="157"/>
      <c r="D76" s="288"/>
      <c r="E76" s="158">
        <f t="shared" ref="E76:X76" si="40">E35-E62</f>
        <v>0</v>
      </c>
      <c r="F76" s="158">
        <f t="shared" si="40"/>
        <v>0</v>
      </c>
      <c r="G76" s="158">
        <f t="shared" si="40"/>
        <v>0</v>
      </c>
      <c r="H76" s="158">
        <f t="shared" si="40"/>
        <v>0</v>
      </c>
      <c r="I76" s="158">
        <f t="shared" si="40"/>
        <v>0</v>
      </c>
      <c r="J76" s="158">
        <f t="shared" si="40"/>
        <v>0</v>
      </c>
      <c r="K76" s="158">
        <f t="shared" si="40"/>
        <v>0</v>
      </c>
      <c r="L76" s="158">
        <f t="shared" si="40"/>
        <v>0</v>
      </c>
      <c r="M76" s="158">
        <f t="shared" si="40"/>
        <v>0</v>
      </c>
      <c r="N76" s="158">
        <f t="shared" si="40"/>
        <v>0</v>
      </c>
      <c r="O76" s="158">
        <f t="shared" si="40"/>
        <v>0</v>
      </c>
      <c r="P76" s="158">
        <f t="shared" si="40"/>
        <v>0</v>
      </c>
      <c r="Q76" s="158">
        <f t="shared" si="40"/>
        <v>0</v>
      </c>
      <c r="R76" s="158">
        <f t="shared" si="40"/>
        <v>0</v>
      </c>
      <c r="S76" s="158">
        <f t="shared" si="40"/>
        <v>0</v>
      </c>
      <c r="T76" s="158">
        <f t="shared" si="40"/>
        <v>0</v>
      </c>
      <c r="U76" s="158">
        <f t="shared" si="40"/>
        <v>0</v>
      </c>
      <c r="V76" s="158">
        <f t="shared" si="40"/>
        <v>0</v>
      </c>
      <c r="W76" s="158">
        <f t="shared" si="40"/>
        <v>0</v>
      </c>
      <c r="X76" s="158">
        <f t="shared" si="40"/>
        <v>0</v>
      </c>
      <c r="Y76" s="160">
        <f t="shared" si="38"/>
        <v>0</v>
      </c>
    </row>
    <row r="77" spans="1:26" s="216" customFormat="1" x14ac:dyDescent="0.2">
      <c r="A77" s="212" t="s">
        <v>210</v>
      </c>
      <c r="B77" s="212"/>
      <c r="C77" s="212"/>
      <c r="D77" s="213"/>
      <c r="E77" s="214" t="e">
        <f t="shared" ref="E77:X77" si="41">E76/E35</f>
        <v>#DIV/0!</v>
      </c>
      <c r="F77" s="214" t="e">
        <f t="shared" si="41"/>
        <v>#DIV/0!</v>
      </c>
      <c r="G77" s="214" t="e">
        <f t="shared" si="41"/>
        <v>#DIV/0!</v>
      </c>
      <c r="H77" s="214" t="e">
        <f t="shared" si="41"/>
        <v>#DIV/0!</v>
      </c>
      <c r="I77" s="214" t="e">
        <f t="shared" si="41"/>
        <v>#DIV/0!</v>
      </c>
      <c r="J77" s="214" t="e">
        <f t="shared" si="41"/>
        <v>#DIV/0!</v>
      </c>
      <c r="K77" s="214" t="e">
        <f t="shared" si="41"/>
        <v>#DIV/0!</v>
      </c>
      <c r="L77" s="214" t="e">
        <f t="shared" si="41"/>
        <v>#DIV/0!</v>
      </c>
      <c r="M77" s="214" t="e">
        <f t="shared" si="41"/>
        <v>#DIV/0!</v>
      </c>
      <c r="N77" s="214" t="e">
        <f t="shared" si="41"/>
        <v>#DIV/0!</v>
      </c>
      <c r="O77" s="214" t="e">
        <f t="shared" si="41"/>
        <v>#DIV/0!</v>
      </c>
      <c r="P77" s="214" t="e">
        <f t="shared" si="41"/>
        <v>#DIV/0!</v>
      </c>
      <c r="Q77" s="214" t="e">
        <f t="shared" si="41"/>
        <v>#DIV/0!</v>
      </c>
      <c r="R77" s="214" t="e">
        <f t="shared" si="41"/>
        <v>#DIV/0!</v>
      </c>
      <c r="S77" s="214" t="e">
        <f t="shared" si="41"/>
        <v>#DIV/0!</v>
      </c>
      <c r="T77" s="214" t="e">
        <f t="shared" si="41"/>
        <v>#DIV/0!</v>
      </c>
      <c r="U77" s="214" t="e">
        <f t="shared" si="41"/>
        <v>#DIV/0!</v>
      </c>
      <c r="V77" s="214" t="e">
        <f t="shared" si="41"/>
        <v>#DIV/0!</v>
      </c>
      <c r="W77" s="214" t="e">
        <f t="shared" si="41"/>
        <v>#DIV/0!</v>
      </c>
      <c r="X77" s="214" t="e">
        <f t="shared" si="41"/>
        <v>#DIV/0!</v>
      </c>
      <c r="Y77" s="215"/>
    </row>
    <row r="78" spans="1:26" s="161" customFormat="1" x14ac:dyDescent="0.2">
      <c r="A78" s="157" t="s">
        <v>186</v>
      </c>
      <c r="B78" s="157"/>
      <c r="C78" s="157"/>
      <c r="D78" s="174"/>
      <c r="E78" s="158">
        <f t="shared" ref="E78:X78" si="42">E35/12</f>
        <v>0</v>
      </c>
      <c r="F78" s="158">
        <f t="shared" si="42"/>
        <v>0</v>
      </c>
      <c r="G78" s="158">
        <f t="shared" si="42"/>
        <v>0</v>
      </c>
      <c r="H78" s="158">
        <f t="shared" si="42"/>
        <v>0</v>
      </c>
      <c r="I78" s="158">
        <f t="shared" si="42"/>
        <v>0</v>
      </c>
      <c r="J78" s="158">
        <f t="shared" si="42"/>
        <v>0</v>
      </c>
      <c r="K78" s="158">
        <f t="shared" si="42"/>
        <v>0</v>
      </c>
      <c r="L78" s="158">
        <f t="shared" si="42"/>
        <v>0</v>
      </c>
      <c r="M78" s="158">
        <f t="shared" si="42"/>
        <v>0</v>
      </c>
      <c r="N78" s="158">
        <f t="shared" si="42"/>
        <v>0</v>
      </c>
      <c r="O78" s="158">
        <f t="shared" si="42"/>
        <v>0</v>
      </c>
      <c r="P78" s="158">
        <f t="shared" si="42"/>
        <v>0</v>
      </c>
      <c r="Q78" s="158">
        <f t="shared" si="42"/>
        <v>0</v>
      </c>
      <c r="R78" s="158">
        <f t="shared" si="42"/>
        <v>0</v>
      </c>
      <c r="S78" s="158">
        <f t="shared" si="42"/>
        <v>0</v>
      </c>
      <c r="T78" s="158">
        <f t="shared" si="42"/>
        <v>0</v>
      </c>
      <c r="U78" s="158">
        <f t="shared" si="42"/>
        <v>0</v>
      </c>
      <c r="V78" s="158">
        <f t="shared" si="42"/>
        <v>0</v>
      </c>
      <c r="W78" s="158">
        <f t="shared" si="42"/>
        <v>0</v>
      </c>
      <c r="X78" s="158">
        <f t="shared" si="42"/>
        <v>0</v>
      </c>
      <c r="Y78" s="160">
        <f>SUM(E78:X78)</f>
        <v>0</v>
      </c>
    </row>
    <row r="79" spans="1:26" s="161" customFormat="1" x14ac:dyDescent="0.2">
      <c r="A79" s="157" t="s">
        <v>218</v>
      </c>
      <c r="B79" s="157"/>
      <c r="C79" s="157"/>
      <c r="D79" s="158"/>
      <c r="E79" s="158">
        <f>E62/12</f>
        <v>0</v>
      </c>
      <c r="F79" s="158">
        <f t="shared" ref="F79:X79" si="43">F62/12</f>
        <v>0</v>
      </c>
      <c r="G79" s="158">
        <f t="shared" si="43"/>
        <v>0</v>
      </c>
      <c r="H79" s="158">
        <f t="shared" si="43"/>
        <v>0</v>
      </c>
      <c r="I79" s="158">
        <f t="shared" si="43"/>
        <v>0</v>
      </c>
      <c r="J79" s="158">
        <f t="shared" si="43"/>
        <v>0</v>
      </c>
      <c r="K79" s="158">
        <f t="shared" si="43"/>
        <v>0</v>
      </c>
      <c r="L79" s="158">
        <f t="shared" si="43"/>
        <v>0</v>
      </c>
      <c r="M79" s="158">
        <f t="shared" si="43"/>
        <v>0</v>
      </c>
      <c r="N79" s="158">
        <f t="shared" si="43"/>
        <v>0</v>
      </c>
      <c r="O79" s="158">
        <f t="shared" si="43"/>
        <v>0</v>
      </c>
      <c r="P79" s="158">
        <f t="shared" si="43"/>
        <v>0</v>
      </c>
      <c r="Q79" s="158">
        <f t="shared" si="43"/>
        <v>0</v>
      </c>
      <c r="R79" s="158">
        <f t="shared" si="43"/>
        <v>0</v>
      </c>
      <c r="S79" s="158">
        <f t="shared" si="43"/>
        <v>0</v>
      </c>
      <c r="T79" s="158">
        <f t="shared" si="43"/>
        <v>0</v>
      </c>
      <c r="U79" s="158">
        <f t="shared" si="43"/>
        <v>0</v>
      </c>
      <c r="V79" s="158">
        <f t="shared" si="43"/>
        <v>0</v>
      </c>
      <c r="W79" s="158">
        <f t="shared" si="43"/>
        <v>0</v>
      </c>
      <c r="X79" s="158">
        <f t="shared" si="43"/>
        <v>0</v>
      </c>
      <c r="Y79" s="160">
        <f t="shared" ref="Y79:Y81" si="44">SUM(E79:X79)</f>
        <v>0</v>
      </c>
    </row>
    <row r="80" spans="1:26" s="161" customFormat="1" x14ac:dyDescent="0.2">
      <c r="A80" s="157" t="s">
        <v>219</v>
      </c>
      <c r="B80" s="157"/>
      <c r="C80" s="157"/>
      <c r="D80" s="195"/>
      <c r="E80" s="158">
        <f>E78-E79</f>
        <v>0</v>
      </c>
      <c r="F80" s="158">
        <f t="shared" ref="F80:X80" si="45">F78-F79</f>
        <v>0</v>
      </c>
      <c r="G80" s="158">
        <f t="shared" si="45"/>
        <v>0</v>
      </c>
      <c r="H80" s="158">
        <f t="shared" si="45"/>
        <v>0</v>
      </c>
      <c r="I80" s="158">
        <f t="shared" si="45"/>
        <v>0</v>
      </c>
      <c r="J80" s="158">
        <f t="shared" si="45"/>
        <v>0</v>
      </c>
      <c r="K80" s="158">
        <f t="shared" si="45"/>
        <v>0</v>
      </c>
      <c r="L80" s="158">
        <f t="shared" si="45"/>
        <v>0</v>
      </c>
      <c r="M80" s="158">
        <f t="shared" si="45"/>
        <v>0</v>
      </c>
      <c r="N80" s="158">
        <f t="shared" si="45"/>
        <v>0</v>
      </c>
      <c r="O80" s="158">
        <f t="shared" si="45"/>
        <v>0</v>
      </c>
      <c r="P80" s="158">
        <f t="shared" si="45"/>
        <v>0</v>
      </c>
      <c r="Q80" s="158">
        <f t="shared" si="45"/>
        <v>0</v>
      </c>
      <c r="R80" s="158">
        <f t="shared" si="45"/>
        <v>0</v>
      </c>
      <c r="S80" s="158">
        <f t="shared" si="45"/>
        <v>0</v>
      </c>
      <c r="T80" s="158">
        <f t="shared" si="45"/>
        <v>0</v>
      </c>
      <c r="U80" s="158">
        <f t="shared" si="45"/>
        <v>0</v>
      </c>
      <c r="V80" s="158">
        <f t="shared" si="45"/>
        <v>0</v>
      </c>
      <c r="W80" s="158">
        <f t="shared" si="45"/>
        <v>0</v>
      </c>
      <c r="X80" s="158">
        <f t="shared" si="45"/>
        <v>0</v>
      </c>
      <c r="Y80" s="160">
        <f t="shared" si="44"/>
        <v>0</v>
      </c>
    </row>
    <row r="81" spans="1:25" s="171" customFormat="1" x14ac:dyDescent="0.2">
      <c r="A81" s="167" t="s">
        <v>211</v>
      </c>
      <c r="B81" s="167"/>
      <c r="C81" s="167"/>
      <c r="D81" s="287"/>
      <c r="E81" s="168">
        <f t="shared" ref="E81:X81" si="46">E36-E63</f>
        <v>0</v>
      </c>
      <c r="F81" s="168">
        <f t="shared" si="46"/>
        <v>0</v>
      </c>
      <c r="G81" s="168">
        <f t="shared" si="46"/>
        <v>0</v>
      </c>
      <c r="H81" s="168">
        <f t="shared" si="46"/>
        <v>0</v>
      </c>
      <c r="I81" s="168">
        <f t="shared" si="46"/>
        <v>0</v>
      </c>
      <c r="J81" s="168">
        <f t="shared" si="46"/>
        <v>0</v>
      </c>
      <c r="K81" s="168">
        <f t="shared" si="46"/>
        <v>0</v>
      </c>
      <c r="L81" s="168">
        <f t="shared" si="46"/>
        <v>0</v>
      </c>
      <c r="M81" s="168">
        <f t="shared" si="46"/>
        <v>0</v>
      </c>
      <c r="N81" s="168">
        <f t="shared" si="46"/>
        <v>0</v>
      </c>
      <c r="O81" s="168">
        <f t="shared" si="46"/>
        <v>0</v>
      </c>
      <c r="P81" s="168">
        <f t="shared" si="46"/>
        <v>0</v>
      </c>
      <c r="Q81" s="168">
        <f t="shared" si="46"/>
        <v>0</v>
      </c>
      <c r="R81" s="168">
        <f t="shared" si="46"/>
        <v>0</v>
      </c>
      <c r="S81" s="168">
        <f t="shared" si="46"/>
        <v>0</v>
      </c>
      <c r="T81" s="168">
        <f t="shared" si="46"/>
        <v>0</v>
      </c>
      <c r="U81" s="168">
        <f t="shared" si="46"/>
        <v>0</v>
      </c>
      <c r="V81" s="168">
        <f t="shared" si="46"/>
        <v>0</v>
      </c>
      <c r="W81" s="168">
        <f t="shared" si="46"/>
        <v>0</v>
      </c>
      <c r="X81" s="168">
        <f t="shared" si="46"/>
        <v>0</v>
      </c>
      <c r="Y81" s="170">
        <f t="shared" si="44"/>
        <v>0</v>
      </c>
    </row>
    <row r="82" spans="1:25" s="211" customFormat="1" x14ac:dyDescent="0.2">
      <c r="A82" s="207" t="s">
        <v>212</v>
      </c>
      <c r="B82" s="207"/>
      <c r="C82" s="207"/>
      <c r="D82" s="208"/>
      <c r="E82" s="209" t="e">
        <f t="shared" ref="E82:X82" si="47">E81/E36</f>
        <v>#DIV/0!</v>
      </c>
      <c r="F82" s="209" t="e">
        <f t="shared" si="47"/>
        <v>#DIV/0!</v>
      </c>
      <c r="G82" s="209" t="e">
        <f t="shared" si="47"/>
        <v>#DIV/0!</v>
      </c>
      <c r="H82" s="209" t="e">
        <f t="shared" si="47"/>
        <v>#DIV/0!</v>
      </c>
      <c r="I82" s="209" t="e">
        <f t="shared" si="47"/>
        <v>#DIV/0!</v>
      </c>
      <c r="J82" s="209" t="e">
        <f t="shared" si="47"/>
        <v>#DIV/0!</v>
      </c>
      <c r="K82" s="209" t="e">
        <f t="shared" si="47"/>
        <v>#DIV/0!</v>
      </c>
      <c r="L82" s="209" t="e">
        <f t="shared" si="47"/>
        <v>#DIV/0!</v>
      </c>
      <c r="M82" s="209" t="e">
        <f t="shared" si="47"/>
        <v>#DIV/0!</v>
      </c>
      <c r="N82" s="209" t="e">
        <f t="shared" si="47"/>
        <v>#DIV/0!</v>
      </c>
      <c r="O82" s="209" t="e">
        <f t="shared" si="47"/>
        <v>#DIV/0!</v>
      </c>
      <c r="P82" s="209" t="e">
        <f t="shared" si="47"/>
        <v>#DIV/0!</v>
      </c>
      <c r="Q82" s="209" t="e">
        <f t="shared" si="47"/>
        <v>#DIV/0!</v>
      </c>
      <c r="R82" s="209" t="e">
        <f t="shared" si="47"/>
        <v>#DIV/0!</v>
      </c>
      <c r="S82" s="209" t="e">
        <f t="shared" si="47"/>
        <v>#DIV/0!</v>
      </c>
      <c r="T82" s="209" t="e">
        <f t="shared" si="47"/>
        <v>#DIV/0!</v>
      </c>
      <c r="U82" s="209" t="e">
        <f t="shared" si="47"/>
        <v>#DIV/0!</v>
      </c>
      <c r="V82" s="209" t="e">
        <f t="shared" si="47"/>
        <v>#DIV/0!</v>
      </c>
      <c r="W82" s="209" t="e">
        <f t="shared" si="47"/>
        <v>#DIV/0!</v>
      </c>
      <c r="X82" s="209" t="e">
        <f t="shared" si="47"/>
        <v>#DIV/0!</v>
      </c>
      <c r="Y82" s="210"/>
    </row>
    <row r="83" spans="1:25" s="171" customFormat="1" x14ac:dyDescent="0.2">
      <c r="A83" s="167" t="s">
        <v>187</v>
      </c>
      <c r="B83" s="167"/>
      <c r="C83" s="167"/>
      <c r="D83" s="177"/>
      <c r="E83" s="168">
        <f t="shared" ref="E83:X83" si="48">E36/12</f>
        <v>0</v>
      </c>
      <c r="F83" s="168">
        <f t="shared" si="48"/>
        <v>0</v>
      </c>
      <c r="G83" s="168">
        <f t="shared" si="48"/>
        <v>0</v>
      </c>
      <c r="H83" s="168">
        <f t="shared" si="48"/>
        <v>0</v>
      </c>
      <c r="I83" s="168">
        <f t="shared" si="48"/>
        <v>0</v>
      </c>
      <c r="J83" s="168">
        <f t="shared" si="48"/>
        <v>0</v>
      </c>
      <c r="K83" s="168">
        <f t="shared" si="48"/>
        <v>0</v>
      </c>
      <c r="L83" s="168">
        <f t="shared" si="48"/>
        <v>0</v>
      </c>
      <c r="M83" s="168">
        <f t="shared" si="48"/>
        <v>0</v>
      </c>
      <c r="N83" s="168">
        <f t="shared" si="48"/>
        <v>0</v>
      </c>
      <c r="O83" s="168">
        <f t="shared" si="48"/>
        <v>0</v>
      </c>
      <c r="P83" s="168">
        <f t="shared" si="48"/>
        <v>0</v>
      </c>
      <c r="Q83" s="168">
        <f t="shared" si="48"/>
        <v>0</v>
      </c>
      <c r="R83" s="168">
        <f t="shared" si="48"/>
        <v>0</v>
      </c>
      <c r="S83" s="168">
        <f t="shared" si="48"/>
        <v>0</v>
      </c>
      <c r="T83" s="168">
        <f t="shared" si="48"/>
        <v>0</v>
      </c>
      <c r="U83" s="168">
        <f t="shared" si="48"/>
        <v>0</v>
      </c>
      <c r="V83" s="168">
        <f t="shared" si="48"/>
        <v>0</v>
      </c>
      <c r="W83" s="168">
        <f t="shared" si="48"/>
        <v>0</v>
      </c>
      <c r="X83" s="168">
        <f t="shared" si="48"/>
        <v>0</v>
      </c>
      <c r="Y83" s="170">
        <f>SUM(E83:X83)</f>
        <v>0</v>
      </c>
    </row>
    <row r="84" spans="1:25" s="171" customFormat="1" x14ac:dyDescent="0.2">
      <c r="A84" s="167" t="s">
        <v>220</v>
      </c>
      <c r="B84" s="167"/>
      <c r="C84" s="167"/>
      <c r="D84" s="168"/>
      <c r="E84" s="168">
        <f>E63/12</f>
        <v>0</v>
      </c>
      <c r="F84" s="168">
        <f t="shared" ref="F84:X84" si="49">F63/12</f>
        <v>0</v>
      </c>
      <c r="G84" s="168">
        <f t="shared" si="49"/>
        <v>0</v>
      </c>
      <c r="H84" s="168">
        <f t="shared" si="49"/>
        <v>0</v>
      </c>
      <c r="I84" s="168">
        <f t="shared" si="49"/>
        <v>0</v>
      </c>
      <c r="J84" s="168">
        <f t="shared" si="49"/>
        <v>0</v>
      </c>
      <c r="K84" s="168">
        <f t="shared" si="49"/>
        <v>0</v>
      </c>
      <c r="L84" s="168">
        <f t="shared" si="49"/>
        <v>0</v>
      </c>
      <c r="M84" s="168">
        <f t="shared" si="49"/>
        <v>0</v>
      </c>
      <c r="N84" s="168">
        <f t="shared" si="49"/>
        <v>0</v>
      </c>
      <c r="O84" s="168">
        <f t="shared" si="49"/>
        <v>0</v>
      </c>
      <c r="P84" s="168">
        <f t="shared" si="49"/>
        <v>0</v>
      </c>
      <c r="Q84" s="168">
        <f t="shared" si="49"/>
        <v>0</v>
      </c>
      <c r="R84" s="168">
        <f t="shared" si="49"/>
        <v>0</v>
      </c>
      <c r="S84" s="168">
        <f t="shared" si="49"/>
        <v>0</v>
      </c>
      <c r="T84" s="168">
        <f t="shared" si="49"/>
        <v>0</v>
      </c>
      <c r="U84" s="168">
        <f t="shared" si="49"/>
        <v>0</v>
      </c>
      <c r="V84" s="168">
        <f t="shared" si="49"/>
        <v>0</v>
      </c>
      <c r="W84" s="168">
        <f t="shared" si="49"/>
        <v>0</v>
      </c>
      <c r="X84" s="168">
        <f t="shared" si="49"/>
        <v>0</v>
      </c>
      <c r="Y84" s="170">
        <f t="shared" ref="Y84:Y86" si="50">SUM(E84:X84)</f>
        <v>0</v>
      </c>
    </row>
    <row r="85" spans="1:25" s="171" customFormat="1" x14ac:dyDescent="0.2">
      <c r="A85" s="167" t="s">
        <v>221</v>
      </c>
      <c r="B85" s="167"/>
      <c r="C85" s="167"/>
      <c r="D85" s="194"/>
      <c r="E85" s="168">
        <f>E83-E84</f>
        <v>0</v>
      </c>
      <c r="F85" s="168">
        <f t="shared" ref="F85:X85" si="51">F83-F84</f>
        <v>0</v>
      </c>
      <c r="G85" s="168">
        <f t="shared" si="51"/>
        <v>0</v>
      </c>
      <c r="H85" s="168">
        <f t="shared" si="51"/>
        <v>0</v>
      </c>
      <c r="I85" s="168">
        <f t="shared" si="51"/>
        <v>0</v>
      </c>
      <c r="J85" s="168">
        <f t="shared" si="51"/>
        <v>0</v>
      </c>
      <c r="K85" s="168">
        <f t="shared" si="51"/>
        <v>0</v>
      </c>
      <c r="L85" s="168">
        <f t="shared" si="51"/>
        <v>0</v>
      </c>
      <c r="M85" s="168">
        <f t="shared" si="51"/>
        <v>0</v>
      </c>
      <c r="N85" s="168">
        <f t="shared" si="51"/>
        <v>0</v>
      </c>
      <c r="O85" s="168">
        <f t="shared" si="51"/>
        <v>0</v>
      </c>
      <c r="P85" s="168">
        <f t="shared" si="51"/>
        <v>0</v>
      </c>
      <c r="Q85" s="168">
        <f t="shared" si="51"/>
        <v>0</v>
      </c>
      <c r="R85" s="168">
        <f t="shared" si="51"/>
        <v>0</v>
      </c>
      <c r="S85" s="168">
        <f t="shared" si="51"/>
        <v>0</v>
      </c>
      <c r="T85" s="168">
        <f t="shared" si="51"/>
        <v>0</v>
      </c>
      <c r="U85" s="168">
        <f t="shared" si="51"/>
        <v>0</v>
      </c>
      <c r="V85" s="168">
        <f t="shared" si="51"/>
        <v>0</v>
      </c>
      <c r="W85" s="168">
        <f t="shared" si="51"/>
        <v>0</v>
      </c>
      <c r="X85" s="168">
        <f t="shared" si="51"/>
        <v>0</v>
      </c>
      <c r="Y85" s="170">
        <f t="shared" si="50"/>
        <v>0</v>
      </c>
    </row>
    <row r="86" spans="1:25" s="166" customFormat="1" x14ac:dyDescent="0.2">
      <c r="A86" s="162" t="s">
        <v>213</v>
      </c>
      <c r="B86" s="162"/>
      <c r="C86" s="162"/>
      <c r="D86" s="286"/>
      <c r="E86" s="163">
        <f t="shared" ref="E86:X86" si="52">E37-E64</f>
        <v>0</v>
      </c>
      <c r="F86" s="163">
        <f t="shared" si="52"/>
        <v>0</v>
      </c>
      <c r="G86" s="163">
        <f t="shared" si="52"/>
        <v>0</v>
      </c>
      <c r="H86" s="163">
        <f t="shared" si="52"/>
        <v>0</v>
      </c>
      <c r="I86" s="163">
        <f t="shared" si="52"/>
        <v>0</v>
      </c>
      <c r="J86" s="163">
        <f t="shared" si="52"/>
        <v>0</v>
      </c>
      <c r="K86" s="163">
        <f t="shared" si="52"/>
        <v>0</v>
      </c>
      <c r="L86" s="163">
        <f t="shared" si="52"/>
        <v>0</v>
      </c>
      <c r="M86" s="163">
        <f t="shared" si="52"/>
        <v>0</v>
      </c>
      <c r="N86" s="163">
        <f t="shared" si="52"/>
        <v>0</v>
      </c>
      <c r="O86" s="163">
        <f t="shared" si="52"/>
        <v>0</v>
      </c>
      <c r="P86" s="163">
        <f t="shared" si="52"/>
        <v>0</v>
      </c>
      <c r="Q86" s="163">
        <f t="shared" si="52"/>
        <v>0</v>
      </c>
      <c r="R86" s="163">
        <f t="shared" si="52"/>
        <v>0</v>
      </c>
      <c r="S86" s="163">
        <f t="shared" si="52"/>
        <v>0</v>
      </c>
      <c r="T86" s="163">
        <f t="shared" si="52"/>
        <v>0</v>
      </c>
      <c r="U86" s="163">
        <f t="shared" si="52"/>
        <v>0</v>
      </c>
      <c r="V86" s="163">
        <f t="shared" si="52"/>
        <v>0</v>
      </c>
      <c r="W86" s="163">
        <f t="shared" si="52"/>
        <v>0</v>
      </c>
      <c r="X86" s="163">
        <f t="shared" si="52"/>
        <v>0</v>
      </c>
      <c r="Y86" s="165">
        <f t="shared" si="50"/>
        <v>0</v>
      </c>
    </row>
    <row r="87" spans="1:25" s="206" customFormat="1" x14ac:dyDescent="0.2">
      <c r="A87" s="202" t="s">
        <v>214</v>
      </c>
      <c r="B87" s="202"/>
      <c r="C87" s="202"/>
      <c r="D87" s="203"/>
      <c r="E87" s="204" t="e">
        <f t="shared" ref="E87:X87" si="53">E86/E37</f>
        <v>#DIV/0!</v>
      </c>
      <c r="F87" s="204" t="e">
        <f t="shared" si="53"/>
        <v>#DIV/0!</v>
      </c>
      <c r="G87" s="204" t="e">
        <f t="shared" si="53"/>
        <v>#DIV/0!</v>
      </c>
      <c r="H87" s="204" t="e">
        <f t="shared" si="53"/>
        <v>#DIV/0!</v>
      </c>
      <c r="I87" s="204" t="e">
        <f t="shared" si="53"/>
        <v>#DIV/0!</v>
      </c>
      <c r="J87" s="204" t="e">
        <f t="shared" si="53"/>
        <v>#DIV/0!</v>
      </c>
      <c r="K87" s="204" t="e">
        <f t="shared" si="53"/>
        <v>#DIV/0!</v>
      </c>
      <c r="L87" s="204" t="e">
        <f t="shared" si="53"/>
        <v>#DIV/0!</v>
      </c>
      <c r="M87" s="204" t="e">
        <f t="shared" si="53"/>
        <v>#DIV/0!</v>
      </c>
      <c r="N87" s="204" t="e">
        <f t="shared" si="53"/>
        <v>#DIV/0!</v>
      </c>
      <c r="O87" s="204" t="e">
        <f t="shared" si="53"/>
        <v>#DIV/0!</v>
      </c>
      <c r="P87" s="204" t="e">
        <f t="shared" si="53"/>
        <v>#DIV/0!</v>
      </c>
      <c r="Q87" s="204" t="e">
        <f t="shared" si="53"/>
        <v>#DIV/0!</v>
      </c>
      <c r="R87" s="204" t="e">
        <f t="shared" si="53"/>
        <v>#DIV/0!</v>
      </c>
      <c r="S87" s="204" t="e">
        <f t="shared" si="53"/>
        <v>#DIV/0!</v>
      </c>
      <c r="T87" s="204" t="e">
        <f t="shared" si="53"/>
        <v>#DIV/0!</v>
      </c>
      <c r="U87" s="204" t="e">
        <f t="shared" si="53"/>
        <v>#DIV/0!</v>
      </c>
      <c r="V87" s="204" t="e">
        <f t="shared" si="53"/>
        <v>#DIV/0!</v>
      </c>
      <c r="W87" s="204" t="e">
        <f t="shared" si="53"/>
        <v>#DIV/0!</v>
      </c>
      <c r="X87" s="204" t="e">
        <f t="shared" si="53"/>
        <v>#DIV/0!</v>
      </c>
      <c r="Y87" s="205"/>
    </row>
    <row r="88" spans="1:25" s="166" customFormat="1" x14ac:dyDescent="0.2">
      <c r="A88" s="162" t="s">
        <v>188</v>
      </c>
      <c r="B88" s="162"/>
      <c r="C88" s="162"/>
      <c r="D88" s="173"/>
      <c r="E88" s="163">
        <f t="shared" ref="E88:X88" si="54">E37/12</f>
        <v>0</v>
      </c>
      <c r="F88" s="163">
        <f t="shared" si="54"/>
        <v>0</v>
      </c>
      <c r="G88" s="163">
        <f t="shared" si="54"/>
        <v>0</v>
      </c>
      <c r="H88" s="163">
        <f t="shared" si="54"/>
        <v>0</v>
      </c>
      <c r="I88" s="163">
        <f t="shared" si="54"/>
        <v>0</v>
      </c>
      <c r="J88" s="163">
        <f t="shared" si="54"/>
        <v>0</v>
      </c>
      <c r="K88" s="163">
        <f t="shared" si="54"/>
        <v>0</v>
      </c>
      <c r="L88" s="163">
        <f t="shared" si="54"/>
        <v>0</v>
      </c>
      <c r="M88" s="163">
        <f t="shared" si="54"/>
        <v>0</v>
      </c>
      <c r="N88" s="163">
        <f t="shared" si="54"/>
        <v>0</v>
      </c>
      <c r="O88" s="163">
        <f t="shared" si="54"/>
        <v>0</v>
      </c>
      <c r="P88" s="163">
        <f t="shared" si="54"/>
        <v>0</v>
      </c>
      <c r="Q88" s="163">
        <f t="shared" si="54"/>
        <v>0</v>
      </c>
      <c r="R88" s="163">
        <f t="shared" si="54"/>
        <v>0</v>
      </c>
      <c r="S88" s="163">
        <f t="shared" si="54"/>
        <v>0</v>
      </c>
      <c r="T88" s="163">
        <f t="shared" si="54"/>
        <v>0</v>
      </c>
      <c r="U88" s="163">
        <f t="shared" si="54"/>
        <v>0</v>
      </c>
      <c r="V88" s="163">
        <f t="shared" si="54"/>
        <v>0</v>
      </c>
      <c r="W88" s="163">
        <f t="shared" si="54"/>
        <v>0</v>
      </c>
      <c r="X88" s="163">
        <f t="shared" si="54"/>
        <v>0</v>
      </c>
      <c r="Y88" s="165">
        <f>SUM(E88:X88)</f>
        <v>0</v>
      </c>
    </row>
    <row r="89" spans="1:25" s="166" customFormat="1" x14ac:dyDescent="0.2">
      <c r="A89" s="162" t="s">
        <v>222</v>
      </c>
      <c r="B89" s="162"/>
      <c r="C89" s="162"/>
      <c r="D89" s="163"/>
      <c r="E89" s="163">
        <f>E64/12</f>
        <v>0</v>
      </c>
      <c r="F89" s="163">
        <f t="shared" ref="F89:X89" si="55">F64/12</f>
        <v>0</v>
      </c>
      <c r="G89" s="163">
        <f t="shared" si="55"/>
        <v>0</v>
      </c>
      <c r="H89" s="163">
        <f t="shared" si="55"/>
        <v>0</v>
      </c>
      <c r="I89" s="163">
        <f t="shared" si="55"/>
        <v>0</v>
      </c>
      <c r="J89" s="163">
        <f t="shared" si="55"/>
        <v>0</v>
      </c>
      <c r="K89" s="163">
        <f t="shared" si="55"/>
        <v>0</v>
      </c>
      <c r="L89" s="163">
        <f t="shared" si="55"/>
        <v>0</v>
      </c>
      <c r="M89" s="163">
        <f t="shared" si="55"/>
        <v>0</v>
      </c>
      <c r="N89" s="163">
        <f t="shared" si="55"/>
        <v>0</v>
      </c>
      <c r="O89" s="163">
        <f t="shared" si="55"/>
        <v>0</v>
      </c>
      <c r="P89" s="163">
        <f t="shared" si="55"/>
        <v>0</v>
      </c>
      <c r="Q89" s="163">
        <f t="shared" si="55"/>
        <v>0</v>
      </c>
      <c r="R89" s="163">
        <f t="shared" si="55"/>
        <v>0</v>
      </c>
      <c r="S89" s="163">
        <f t="shared" si="55"/>
        <v>0</v>
      </c>
      <c r="T89" s="163">
        <f t="shared" si="55"/>
        <v>0</v>
      </c>
      <c r="U89" s="163">
        <f t="shared" si="55"/>
        <v>0</v>
      </c>
      <c r="V89" s="163">
        <f t="shared" si="55"/>
        <v>0</v>
      </c>
      <c r="W89" s="163">
        <f t="shared" si="55"/>
        <v>0</v>
      </c>
      <c r="X89" s="163">
        <f t="shared" si="55"/>
        <v>0</v>
      </c>
      <c r="Y89" s="165">
        <f t="shared" ref="Y89:Y90" si="56">SUM(E89:X89)</f>
        <v>0</v>
      </c>
    </row>
    <row r="90" spans="1:25" s="166" customFormat="1" x14ac:dyDescent="0.2">
      <c r="A90" s="162" t="s">
        <v>223</v>
      </c>
      <c r="B90" s="162"/>
      <c r="C90" s="162"/>
      <c r="D90" s="192"/>
      <c r="E90" s="163">
        <f>E88-E89</f>
        <v>0</v>
      </c>
      <c r="F90" s="163">
        <f t="shared" ref="F90:X90" si="57">F88-F89</f>
        <v>0</v>
      </c>
      <c r="G90" s="163">
        <f t="shared" si="57"/>
        <v>0</v>
      </c>
      <c r="H90" s="163">
        <f t="shared" si="57"/>
        <v>0</v>
      </c>
      <c r="I90" s="163">
        <f t="shared" si="57"/>
        <v>0</v>
      </c>
      <c r="J90" s="163">
        <f t="shared" si="57"/>
        <v>0</v>
      </c>
      <c r="K90" s="163">
        <f t="shared" si="57"/>
        <v>0</v>
      </c>
      <c r="L90" s="163">
        <f t="shared" si="57"/>
        <v>0</v>
      </c>
      <c r="M90" s="163">
        <f t="shared" si="57"/>
        <v>0</v>
      </c>
      <c r="N90" s="163">
        <f t="shared" si="57"/>
        <v>0</v>
      </c>
      <c r="O90" s="163">
        <f t="shared" si="57"/>
        <v>0</v>
      </c>
      <c r="P90" s="163">
        <f t="shared" si="57"/>
        <v>0</v>
      </c>
      <c r="Q90" s="163">
        <f t="shared" si="57"/>
        <v>0</v>
      </c>
      <c r="R90" s="163">
        <f t="shared" si="57"/>
        <v>0</v>
      </c>
      <c r="S90" s="163">
        <f t="shared" si="57"/>
        <v>0</v>
      </c>
      <c r="T90" s="163">
        <f t="shared" si="57"/>
        <v>0</v>
      </c>
      <c r="U90" s="163">
        <f t="shared" si="57"/>
        <v>0</v>
      </c>
      <c r="V90" s="163">
        <f t="shared" si="57"/>
        <v>0</v>
      </c>
      <c r="W90" s="163">
        <f t="shared" si="57"/>
        <v>0</v>
      </c>
      <c r="X90" s="163">
        <f t="shared" si="57"/>
        <v>0</v>
      </c>
      <c r="Y90" s="165">
        <f t="shared" si="56"/>
        <v>0</v>
      </c>
    </row>
    <row r="91" spans="1:25" s="14" customFormat="1" ht="13" x14ac:dyDescent="0.15">
      <c r="K91" s="40"/>
    </row>
    <row r="92" spans="1:25" s="14" customFormat="1" ht="13" x14ac:dyDescent="0.15">
      <c r="K92" s="40"/>
    </row>
    <row r="93" spans="1:25" s="65" customFormat="1" x14ac:dyDescent="0.2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</row>
    <row r="94" spans="1:25" s="24" customFormat="1" x14ac:dyDescent="0.2">
      <c r="A94" s="272"/>
      <c r="F94" s="280"/>
      <c r="H94" s="282"/>
      <c r="J94" s="40"/>
      <c r="K94" s="40"/>
    </row>
    <row r="95" spans="1:25" s="24" customFormat="1" ht="13" x14ac:dyDescent="0.15">
      <c r="A95" s="272"/>
      <c r="J95" s="40"/>
      <c r="K95" s="40"/>
    </row>
    <row r="96" spans="1:25" s="24" customFormat="1" x14ac:dyDescent="0.2">
      <c r="A96" s="272"/>
      <c r="F96" s="275"/>
      <c r="H96" s="276"/>
      <c r="J96" s="40"/>
      <c r="K96" s="40"/>
    </row>
    <row r="97" spans="1:25" s="24" customFormat="1" ht="13" x14ac:dyDescent="0.15">
      <c r="J97" s="40"/>
      <c r="K97" s="40"/>
    </row>
    <row r="98" spans="1:25" s="24" customFormat="1" x14ac:dyDescent="0.2">
      <c r="A98" s="272"/>
      <c r="H98" s="230"/>
      <c r="I98" s="283"/>
      <c r="J98" s="40"/>
      <c r="K98" s="40"/>
    </row>
    <row r="99" spans="1:25" s="24" customFormat="1" ht="13" x14ac:dyDescent="0.15">
      <c r="A99" s="272"/>
      <c r="H99" s="230"/>
      <c r="J99" s="40"/>
      <c r="K99" s="40"/>
    </row>
    <row r="100" spans="1:25" s="65" customFormat="1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</row>
  </sheetData>
  <sheetProtection algorithmName="SHA-512" hashValue="Z8JHGBZkhah/8jEd0IhPxr4a2Y8HixE731K/DthUq7KXRBiix7nyN3tNCl0HAPhG0Pk9ljBHRFuOeQ37IXP03Q==" saltValue="fK3ea6RTxpKxcLh+7p4uD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2"/>
  <sheetViews>
    <sheetView topLeftCell="A11" workbookViewId="0">
      <selection activeCell="E46" sqref="E46"/>
    </sheetView>
  </sheetViews>
  <sheetFormatPr baseColWidth="10" defaultColWidth="8.83203125" defaultRowHeight="15" x14ac:dyDescent="0.2"/>
  <cols>
    <col min="1" max="1" width="17.1640625" style="44" customWidth="1"/>
    <col min="2" max="2" width="10.5" style="44" customWidth="1"/>
    <col min="3" max="3" width="10.83203125" style="44" customWidth="1"/>
    <col min="4" max="4" width="16.5" style="44" customWidth="1"/>
    <col min="5" max="5" width="12.5" style="44" bestFit="1" customWidth="1"/>
    <col min="6" max="6" width="15.83203125" style="44" customWidth="1"/>
    <col min="7" max="7" width="12.5" style="44" bestFit="1" customWidth="1"/>
    <col min="8" max="8" width="14.1640625" style="44" bestFit="1" customWidth="1"/>
    <col min="9" max="9" width="12.5" style="44" bestFit="1" customWidth="1"/>
    <col min="10" max="10" width="14.5" style="44" customWidth="1"/>
    <col min="11" max="11" width="14.1640625" style="44" bestFit="1" customWidth="1"/>
    <col min="12" max="23" width="12.5" style="44" bestFit="1" customWidth="1"/>
    <col min="24" max="24" width="14.1640625" style="44" bestFit="1" customWidth="1"/>
    <col min="25" max="25" width="15.1640625" style="44" bestFit="1" customWidth="1"/>
    <col min="26" max="27" width="11.1640625" bestFit="1" customWidth="1"/>
  </cols>
  <sheetData>
    <row r="1" spans="1:25" x14ac:dyDescent="0.2">
      <c r="A1" s="121" t="s">
        <v>250</v>
      </c>
      <c r="F1" s="21" t="s">
        <v>84</v>
      </c>
      <c r="G1" s="21"/>
      <c r="H1" s="116">
        <f>Eligibility!N73</f>
        <v>2100</v>
      </c>
    </row>
    <row r="2" spans="1:25" x14ac:dyDescent="0.2">
      <c r="A2" s="21" t="s">
        <v>111</v>
      </c>
      <c r="D2" s="21" t="str">
        <f>Eligibility!D23</f>
        <v>Mickey Mouse</v>
      </c>
      <c r="E2" s="21"/>
      <c r="F2" s="21" t="s">
        <v>85</v>
      </c>
      <c r="G2" s="21"/>
      <c r="H2" s="142" t="e">
        <f>Eligibility!N77</f>
        <v>#DIV/0!</v>
      </c>
      <c r="M2" s="310" t="s">
        <v>262</v>
      </c>
    </row>
    <row r="3" spans="1:25" x14ac:dyDescent="0.2">
      <c r="A3" s="21" t="s">
        <v>119</v>
      </c>
      <c r="D3" s="21" t="str">
        <f>Eligibility!D11</f>
        <v>Olani Street</v>
      </c>
      <c r="E3" s="21"/>
      <c r="F3" s="240" t="s">
        <v>224</v>
      </c>
      <c r="G3" s="240"/>
      <c r="H3" s="149" t="e">
        <f>Y68</f>
        <v>#REF!</v>
      </c>
      <c r="I3" s="240"/>
      <c r="J3" s="231" t="s">
        <v>229</v>
      </c>
      <c r="K3" s="246" t="e">
        <f>IF(Eligibility!$J$12="HECO",$H$1+$H$2+H3,0)</f>
        <v>#DIV/0!</v>
      </c>
      <c r="M3" s="305" t="e">
        <f>IF(Eligibility!$J$12="HECO",(Y68+H1+H2)/Y35,"")</f>
        <v>#REF!</v>
      </c>
    </row>
    <row r="4" spans="1:25" x14ac:dyDescent="0.2">
      <c r="A4" s="21"/>
      <c r="D4" s="21" t="str">
        <f>Eligibility!D12</f>
        <v>Kapolei, HI 96707</v>
      </c>
      <c r="E4" s="21"/>
      <c r="F4" s="241" t="s">
        <v>225</v>
      </c>
      <c r="G4" s="241"/>
      <c r="H4" s="235">
        <f>Y73</f>
        <v>0</v>
      </c>
      <c r="I4" s="241"/>
      <c r="J4" s="234" t="s">
        <v>230</v>
      </c>
      <c r="K4" s="247">
        <f>IF(Eligibility!$J$12="HELCO",$H$1+$H$2+H4,0)</f>
        <v>0</v>
      </c>
      <c r="M4" s="309" t="str">
        <f>IF(Eligibility!$J$12="HELCO",(Y73+H1+H2)/Y36,"")</f>
        <v/>
      </c>
    </row>
    <row r="5" spans="1:25" x14ac:dyDescent="0.2">
      <c r="A5" s="21" t="s">
        <v>80</v>
      </c>
      <c r="D5" s="122">
        <f>Eligibility!J59</f>
        <v>7000</v>
      </c>
      <c r="E5" s="21"/>
      <c r="F5" s="242" t="s">
        <v>226</v>
      </c>
      <c r="G5" s="242"/>
      <c r="H5" s="233">
        <f>Y78</f>
        <v>0</v>
      </c>
      <c r="I5" s="242"/>
      <c r="J5" s="236" t="s">
        <v>231</v>
      </c>
      <c r="K5" s="248">
        <f>IF(Eligibility!$J$12="MECO - Maui",$H$1+$H$2+H5,0)</f>
        <v>0</v>
      </c>
      <c r="L5" s="290"/>
      <c r="M5" s="308" t="str">
        <f>IF(Eligibility!$J$12="MECO - Maui",(Y78+H1+H2)/Y37,"")</f>
        <v/>
      </c>
    </row>
    <row r="6" spans="1:25" x14ac:dyDescent="0.2">
      <c r="A6" s="21" t="s">
        <v>112</v>
      </c>
      <c r="D6" s="255">
        <f>Eligibility!N78</f>
        <v>0</v>
      </c>
      <c r="E6" s="21"/>
      <c r="F6" s="237" t="s">
        <v>227</v>
      </c>
      <c r="G6" s="243"/>
      <c r="H6" s="232">
        <f>Y83</f>
        <v>0</v>
      </c>
      <c r="I6" s="243"/>
      <c r="J6" s="238" t="s">
        <v>232</v>
      </c>
      <c r="K6" s="249">
        <f>IF(Eligibility!$J$12="MECO - Lanai",$H$1+$H$2+H6,0)</f>
        <v>0</v>
      </c>
      <c r="M6" s="307" t="str">
        <f>IF(Eligibility!$J$12="MECO - Lanai",(Y83+H1+H2)/Y38,"")</f>
        <v/>
      </c>
    </row>
    <row r="7" spans="1:25" x14ac:dyDescent="0.2">
      <c r="A7" s="28" t="s">
        <v>115</v>
      </c>
      <c r="D7" s="52" t="e">
        <f>Eligibility!N81</f>
        <v>#DIV/0!</v>
      </c>
      <c r="E7" s="21"/>
      <c r="F7" s="244" t="s">
        <v>228</v>
      </c>
      <c r="G7" s="244"/>
      <c r="H7" s="245">
        <f>Y88</f>
        <v>0</v>
      </c>
      <c r="I7" s="244"/>
      <c r="J7" s="239" t="s">
        <v>233</v>
      </c>
      <c r="K7" s="250">
        <f>IF(Eligibility!$J$12="H=MECO - Molokai",$H$1+$H$2+H7,0)</f>
        <v>0</v>
      </c>
      <c r="M7" s="306" t="str">
        <f>IF(Eligibility!$J$12="MECO - Molokai",(Y88+H1+H2)/Y39,"")</f>
        <v/>
      </c>
      <c r="O7" s="386"/>
    </row>
    <row r="8" spans="1:25" x14ac:dyDescent="0.2">
      <c r="A8" s="28" t="s">
        <v>118</v>
      </c>
      <c r="D8" s="255">
        <f>Eligibility!N79</f>
        <v>0</v>
      </c>
      <c r="E8" s="21"/>
      <c r="O8" s="386"/>
    </row>
    <row r="9" spans="1:25" x14ac:dyDescent="0.2">
      <c r="A9" s="21" t="s">
        <v>114</v>
      </c>
      <c r="D9" s="122">
        <f>Eligibility!J66</f>
        <v>9300</v>
      </c>
      <c r="E9" s="21"/>
      <c r="F9" s="47" t="s">
        <v>156</v>
      </c>
      <c r="G9" s="143">
        <f>Eligibility!Q56</f>
        <v>0.44999999999999996</v>
      </c>
    </row>
    <row r="10" spans="1:25" x14ac:dyDescent="0.2">
      <c r="A10" s="418" t="s">
        <v>62</v>
      </c>
      <c r="B10" s="419"/>
      <c r="C10" s="419"/>
      <c r="D10" s="420">
        <f>Eligibility!J67</f>
        <v>5.5E-2</v>
      </c>
      <c r="E10" s="21"/>
      <c r="F10" s="229" t="s">
        <v>253</v>
      </c>
      <c r="G10" s="291">
        <f>1-G9</f>
        <v>0.55000000000000004</v>
      </c>
      <c r="H10" s="50"/>
      <c r="J10" s="53"/>
    </row>
    <row r="11" spans="1:25" x14ac:dyDescent="0.2">
      <c r="A11" s="21" t="s">
        <v>394</v>
      </c>
      <c r="D11" s="124">
        <f>Eligibility!V62</f>
        <v>0</v>
      </c>
      <c r="E11" s="21"/>
      <c r="F11" s="229" t="s">
        <v>252</v>
      </c>
      <c r="G11" s="421">
        <f>D20*G9</f>
        <v>6367.95</v>
      </c>
      <c r="H11" s="50"/>
    </row>
    <row r="12" spans="1:25" x14ac:dyDescent="0.2">
      <c r="A12" s="121"/>
      <c r="F12" s="47" t="s">
        <v>251</v>
      </c>
      <c r="G12" s="421">
        <f>E14-G11</f>
        <v>-6367.95</v>
      </c>
    </row>
    <row r="13" spans="1:25" x14ac:dyDescent="0.2">
      <c r="A13" s="44" t="s">
        <v>103</v>
      </c>
      <c r="E13" s="138">
        <v>1</v>
      </c>
      <c r="F13" s="125">
        <v>2</v>
      </c>
      <c r="G13" s="126">
        <v>3</v>
      </c>
      <c r="H13" s="126">
        <v>4</v>
      </c>
      <c r="I13" s="126">
        <v>5</v>
      </c>
      <c r="J13" s="126">
        <v>6</v>
      </c>
      <c r="K13" s="125">
        <v>7</v>
      </c>
      <c r="L13" s="125">
        <v>8</v>
      </c>
      <c r="M13" s="125">
        <v>9</v>
      </c>
      <c r="N13" s="125">
        <v>10</v>
      </c>
      <c r="O13" s="125">
        <v>11</v>
      </c>
      <c r="P13" s="125">
        <v>12</v>
      </c>
      <c r="Q13" s="125">
        <v>13</v>
      </c>
      <c r="R13" s="125">
        <v>14</v>
      </c>
      <c r="S13" s="125">
        <v>15</v>
      </c>
      <c r="T13" s="125">
        <v>16</v>
      </c>
      <c r="U13" s="125">
        <v>17</v>
      </c>
      <c r="V13" s="125">
        <v>18</v>
      </c>
      <c r="W13" s="125">
        <v>19</v>
      </c>
      <c r="X13" s="125">
        <v>20</v>
      </c>
      <c r="Y13" s="53"/>
    </row>
    <row r="14" spans="1:25" x14ac:dyDescent="0.2">
      <c r="A14" s="44" t="s">
        <v>108</v>
      </c>
      <c r="D14" s="44" t="s">
        <v>104</v>
      </c>
      <c r="E14" s="292">
        <f>Eligibility!N79</f>
        <v>0</v>
      </c>
      <c r="F14" s="51">
        <f>E14*0.995</f>
        <v>0</v>
      </c>
      <c r="G14" s="51">
        <f t="shared" ref="G14:X14" si="0">F14*0.995</f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51">
        <f t="shared" si="0"/>
        <v>0</v>
      </c>
      <c r="P14" s="51">
        <f t="shared" si="0"/>
        <v>0</v>
      </c>
      <c r="Q14" s="51">
        <f t="shared" si="0"/>
        <v>0</v>
      </c>
      <c r="R14" s="51">
        <f t="shared" si="0"/>
        <v>0</v>
      </c>
      <c r="S14" s="51">
        <f t="shared" si="0"/>
        <v>0</v>
      </c>
      <c r="T14" s="51">
        <f t="shared" si="0"/>
        <v>0</v>
      </c>
      <c r="U14" s="51">
        <f t="shared" si="0"/>
        <v>0</v>
      </c>
      <c r="V14" s="51">
        <f t="shared" si="0"/>
        <v>0</v>
      </c>
      <c r="W14" s="51">
        <f t="shared" si="0"/>
        <v>0</v>
      </c>
      <c r="X14" s="51">
        <f t="shared" si="0"/>
        <v>0</v>
      </c>
      <c r="Y14" s="117">
        <f>SUM(E14:X14)</f>
        <v>0</v>
      </c>
    </row>
    <row r="15" spans="1:25" x14ac:dyDescent="0.2">
      <c r="A15" s="44" t="s">
        <v>254</v>
      </c>
      <c r="E15" s="292">
        <f>G11</f>
        <v>6367.95</v>
      </c>
      <c r="F15" s="51">
        <f>E15</f>
        <v>6367.95</v>
      </c>
      <c r="G15" s="51">
        <f t="shared" ref="G15:X15" si="1">F15</f>
        <v>6367.95</v>
      </c>
      <c r="H15" s="51">
        <f t="shared" si="1"/>
        <v>6367.95</v>
      </c>
      <c r="I15" s="51">
        <f t="shared" si="1"/>
        <v>6367.95</v>
      </c>
      <c r="J15" s="51">
        <f t="shared" si="1"/>
        <v>6367.95</v>
      </c>
      <c r="K15" s="51">
        <f t="shared" si="1"/>
        <v>6367.95</v>
      </c>
      <c r="L15" s="51">
        <f t="shared" si="1"/>
        <v>6367.95</v>
      </c>
      <c r="M15" s="51">
        <f t="shared" si="1"/>
        <v>6367.95</v>
      </c>
      <c r="N15" s="51">
        <f t="shared" si="1"/>
        <v>6367.95</v>
      </c>
      <c r="O15" s="51">
        <f t="shared" si="1"/>
        <v>6367.95</v>
      </c>
      <c r="P15" s="51">
        <f t="shared" si="1"/>
        <v>6367.95</v>
      </c>
      <c r="Q15" s="51">
        <f t="shared" si="1"/>
        <v>6367.95</v>
      </c>
      <c r="R15" s="51">
        <f t="shared" si="1"/>
        <v>6367.95</v>
      </c>
      <c r="S15" s="51">
        <f t="shared" si="1"/>
        <v>6367.95</v>
      </c>
      <c r="T15" s="51">
        <f t="shared" si="1"/>
        <v>6367.95</v>
      </c>
      <c r="U15" s="51">
        <f t="shared" si="1"/>
        <v>6367.95</v>
      </c>
      <c r="V15" s="51">
        <f t="shared" si="1"/>
        <v>6367.95</v>
      </c>
      <c r="W15" s="51">
        <f t="shared" si="1"/>
        <v>6367.95</v>
      </c>
      <c r="X15" s="51">
        <f t="shared" si="1"/>
        <v>6367.95</v>
      </c>
      <c r="Y15" s="117"/>
    </row>
    <row r="16" spans="1:25" x14ac:dyDescent="0.2">
      <c r="A16" s="44" t="s">
        <v>392</v>
      </c>
      <c r="D16" s="44" t="s">
        <v>393</v>
      </c>
      <c r="E16" s="292">
        <f>Eligibility!S70*Eligibility!S74</f>
        <v>0</v>
      </c>
      <c r="F16" s="51">
        <f>E16*0.961</f>
        <v>0</v>
      </c>
      <c r="G16" s="51">
        <f t="shared" ref="G16:X16" si="2">F16*0.961</f>
        <v>0</v>
      </c>
      <c r="H16" s="51">
        <f t="shared" si="2"/>
        <v>0</v>
      </c>
      <c r="I16" s="51">
        <f t="shared" si="2"/>
        <v>0</v>
      </c>
      <c r="J16" s="51">
        <f t="shared" si="2"/>
        <v>0</v>
      </c>
      <c r="K16" s="51">
        <f t="shared" si="2"/>
        <v>0</v>
      </c>
      <c r="L16" s="51">
        <f t="shared" si="2"/>
        <v>0</v>
      </c>
      <c r="M16" s="51">
        <f t="shared" si="2"/>
        <v>0</v>
      </c>
      <c r="N16" s="51">
        <f t="shared" si="2"/>
        <v>0</v>
      </c>
      <c r="O16" s="51">
        <f>E16</f>
        <v>0</v>
      </c>
      <c r="P16" s="51">
        <f t="shared" si="2"/>
        <v>0</v>
      </c>
      <c r="Q16" s="51">
        <f t="shared" si="2"/>
        <v>0</v>
      </c>
      <c r="R16" s="51">
        <f t="shared" si="2"/>
        <v>0</v>
      </c>
      <c r="S16" s="51">
        <f t="shared" si="2"/>
        <v>0</v>
      </c>
      <c r="T16" s="51">
        <f t="shared" si="2"/>
        <v>0</v>
      </c>
      <c r="U16" s="51">
        <f t="shared" si="2"/>
        <v>0</v>
      </c>
      <c r="V16" s="51">
        <f t="shared" si="2"/>
        <v>0</v>
      </c>
      <c r="W16" s="51">
        <f t="shared" si="2"/>
        <v>0</v>
      </c>
      <c r="X16" s="51">
        <f t="shared" si="2"/>
        <v>0</v>
      </c>
      <c r="Y16" s="117"/>
    </row>
    <row r="17" spans="1:25" x14ac:dyDescent="0.2">
      <c r="A17" s="44" t="s">
        <v>407</v>
      </c>
      <c r="E17" s="292">
        <f>IF((E14-$G$11-E16)&gt;0,E14-$G$11-E16,0)</f>
        <v>0</v>
      </c>
      <c r="F17" s="292">
        <f t="shared" ref="F17:X17" si="3">IF((F14-$G$11-F16)&gt;0,F14-$G$11-F16,0)</f>
        <v>0</v>
      </c>
      <c r="G17" s="292">
        <f t="shared" si="3"/>
        <v>0</v>
      </c>
      <c r="H17" s="292">
        <f t="shared" si="3"/>
        <v>0</v>
      </c>
      <c r="I17" s="292">
        <f t="shared" si="3"/>
        <v>0</v>
      </c>
      <c r="J17" s="292">
        <f t="shared" si="3"/>
        <v>0</v>
      </c>
      <c r="K17" s="292">
        <f t="shared" si="3"/>
        <v>0</v>
      </c>
      <c r="L17" s="292">
        <f t="shared" si="3"/>
        <v>0</v>
      </c>
      <c r="M17" s="292">
        <f t="shared" si="3"/>
        <v>0</v>
      </c>
      <c r="N17" s="292">
        <f t="shared" si="3"/>
        <v>0</v>
      </c>
      <c r="O17" s="292">
        <f t="shared" si="3"/>
        <v>0</v>
      </c>
      <c r="P17" s="292">
        <f t="shared" si="3"/>
        <v>0</v>
      </c>
      <c r="Q17" s="292">
        <f t="shared" si="3"/>
        <v>0</v>
      </c>
      <c r="R17" s="292">
        <f t="shared" si="3"/>
        <v>0</v>
      </c>
      <c r="S17" s="292">
        <f t="shared" si="3"/>
        <v>0</v>
      </c>
      <c r="T17" s="292">
        <f t="shared" si="3"/>
        <v>0</v>
      </c>
      <c r="U17" s="292">
        <f t="shared" si="3"/>
        <v>0</v>
      </c>
      <c r="V17" s="292">
        <f t="shared" si="3"/>
        <v>0</v>
      </c>
      <c r="W17" s="292">
        <f t="shared" si="3"/>
        <v>0</v>
      </c>
      <c r="X17" s="292">
        <f t="shared" si="3"/>
        <v>0</v>
      </c>
      <c r="Y17" s="117"/>
    </row>
    <row r="18" spans="1:25" x14ac:dyDescent="0.2">
      <c r="A18" s="44" t="s">
        <v>401</v>
      </c>
      <c r="E18" s="292">
        <f>E16*(1-Eligibility!$T68)</f>
        <v>0</v>
      </c>
      <c r="F18" s="292">
        <f>F16*(1-Eligibility!$T68)</f>
        <v>0</v>
      </c>
      <c r="G18" s="292">
        <f>G16*(1-Eligibility!$T68)</f>
        <v>0</v>
      </c>
      <c r="H18" s="292">
        <f>H16*(1-Eligibility!$T68)</f>
        <v>0</v>
      </c>
      <c r="I18" s="292">
        <f>I16*(1-Eligibility!$T68)</f>
        <v>0</v>
      </c>
      <c r="J18" s="292">
        <f>J16*(1-Eligibility!$T68)</f>
        <v>0</v>
      </c>
      <c r="K18" s="292">
        <f>K16*(1-Eligibility!$T68)</f>
        <v>0</v>
      </c>
      <c r="L18" s="292">
        <f>L16*(1-Eligibility!$T68)</f>
        <v>0</v>
      </c>
      <c r="M18" s="292">
        <f>M16*(1-Eligibility!$T68)</f>
        <v>0</v>
      </c>
      <c r="N18" s="292">
        <f>N16*(1-Eligibility!$T68)</f>
        <v>0</v>
      </c>
      <c r="O18" s="292">
        <f>O16*(1-Eligibility!$T68)</f>
        <v>0</v>
      </c>
      <c r="P18" s="292">
        <f>P16*(1-Eligibility!$T68)</f>
        <v>0</v>
      </c>
      <c r="Q18" s="292">
        <f>Q16*(1-Eligibility!$T68)</f>
        <v>0</v>
      </c>
      <c r="R18" s="292">
        <f>R16*(1-Eligibility!$T68)</f>
        <v>0</v>
      </c>
      <c r="S18" s="292">
        <f>S16*(1-Eligibility!$T68)</f>
        <v>0</v>
      </c>
      <c r="T18" s="292">
        <f>T16*(1-Eligibility!$T68)</f>
        <v>0</v>
      </c>
      <c r="U18" s="292">
        <f>U16*(1-Eligibility!$T68)</f>
        <v>0</v>
      </c>
      <c r="V18" s="292">
        <f>V16*(1-Eligibility!$T68)</f>
        <v>0</v>
      </c>
      <c r="W18" s="292">
        <f>W16*(1-Eligibility!$T68)</f>
        <v>0</v>
      </c>
      <c r="X18" s="292">
        <f>X16*(1-Eligibility!$T68)</f>
        <v>0</v>
      </c>
      <c r="Y18" s="117"/>
    </row>
    <row r="19" spans="1:25" x14ac:dyDescent="0.2">
      <c r="E19" s="88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17"/>
    </row>
    <row r="20" spans="1:25" x14ac:dyDescent="0.2">
      <c r="A20" s="44" t="s">
        <v>109</v>
      </c>
      <c r="D20" s="140">
        <f>Eligibility!D66</f>
        <v>14151</v>
      </c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17"/>
    </row>
    <row r="21" spans="1:25" x14ac:dyDescent="0.2">
      <c r="A21" s="44" t="s">
        <v>398</v>
      </c>
      <c r="E21" s="255">
        <f>E14-$D20</f>
        <v>-14151</v>
      </c>
      <c r="F21" s="117">
        <f>D20-F14</f>
        <v>14151</v>
      </c>
      <c r="G21" s="117">
        <f>D20-G14</f>
        <v>14151</v>
      </c>
      <c r="H21" s="117">
        <f>D20-H14</f>
        <v>14151</v>
      </c>
      <c r="I21" s="117">
        <f>D20-I14</f>
        <v>14151</v>
      </c>
      <c r="J21" s="117">
        <f>D20-J14</f>
        <v>14151</v>
      </c>
      <c r="K21" s="117">
        <f>D20-K14</f>
        <v>14151</v>
      </c>
      <c r="L21" s="117">
        <f>D20-L14</f>
        <v>14151</v>
      </c>
      <c r="M21" s="117">
        <f>D20-M14</f>
        <v>14151</v>
      </c>
      <c r="N21" s="117">
        <f>D20-N14</f>
        <v>14151</v>
      </c>
      <c r="O21" s="117">
        <f>D20-O14</f>
        <v>14151</v>
      </c>
      <c r="P21" s="117">
        <f>D20-P14</f>
        <v>14151</v>
      </c>
      <c r="Q21" s="117">
        <f>D20-Q14</f>
        <v>14151</v>
      </c>
      <c r="R21" s="117">
        <f>D20-R14</f>
        <v>14151</v>
      </c>
      <c r="S21" s="117">
        <f>D20-S14</f>
        <v>14151</v>
      </c>
      <c r="T21" s="117">
        <f>D20-T14</f>
        <v>14151</v>
      </c>
      <c r="U21" s="117">
        <f>D20-U14</f>
        <v>14151</v>
      </c>
      <c r="V21" s="117">
        <f>D20-V14</f>
        <v>14151</v>
      </c>
      <c r="W21" s="117">
        <f>D20-W14</f>
        <v>14151</v>
      </c>
      <c r="X21" s="117">
        <f>D20-X14</f>
        <v>14151</v>
      </c>
      <c r="Y21" s="117"/>
    </row>
    <row r="22" spans="1:25" x14ac:dyDescent="0.2">
      <c r="A22" s="44" t="s">
        <v>399</v>
      </c>
      <c r="E22" s="292">
        <f>IF((E14-E15)&gt;E16,E18,(E14-E15)*(1-Eligibility!$T$68))</f>
        <v>-6367.95</v>
      </c>
      <c r="F22" s="292">
        <f>IF((F14-F15)&gt;F16,F18,(F14-F15)*(1-Eligibility!$T$68))</f>
        <v>-6367.95</v>
      </c>
      <c r="G22" s="292">
        <f>IF((G14-G15)&gt;G16,G18,(G14-G15)*(1-Eligibility!$T$68))</f>
        <v>-6367.95</v>
      </c>
      <c r="H22" s="292">
        <f>IF((H14-H15)&gt;H16,H18,(H14-H15)*(1-Eligibility!$T$68))</f>
        <v>-6367.95</v>
      </c>
      <c r="I22" s="292">
        <f>IF((I14-I15)&gt;I16,I18,(I14-I15)*(1-Eligibility!$T$68))</f>
        <v>-6367.95</v>
      </c>
      <c r="J22" s="292">
        <f>IF((J14-J15)&gt;J16,J18,(J14-J15)*(1-Eligibility!$T$68))</f>
        <v>-6367.95</v>
      </c>
      <c r="K22" s="292">
        <f>IF((K14-K15)&gt;K16,K18,(K14-K15)*(1-Eligibility!$T$68))</f>
        <v>-6367.95</v>
      </c>
      <c r="L22" s="292">
        <f>IF((L14-L15)&gt;L16,L18,(L14-L15)*(1-Eligibility!$T$68))</f>
        <v>-6367.95</v>
      </c>
      <c r="M22" s="292">
        <f>IF((M14-M15)&gt;M16,M18,(M14-M15)*(1-Eligibility!$T$68))</f>
        <v>-6367.95</v>
      </c>
      <c r="N22" s="292">
        <f>IF((N14-N15)&gt;N16,N18,(N14-N15)*(1-Eligibility!$T$68))</f>
        <v>-6367.95</v>
      </c>
      <c r="O22" s="292">
        <f>IF((O14-O15)&gt;O16,O18,(O14-O15)*(1-Eligibility!$T$68))</f>
        <v>-6367.95</v>
      </c>
      <c r="P22" s="292">
        <f>IF((P14-P15)&gt;P16,P18,(P14-P15)*(1-Eligibility!$T$68))</f>
        <v>-6367.95</v>
      </c>
      <c r="Q22" s="292">
        <f>IF((Q14-Q15)&gt;Q16,Q18,(Q14-Q15)*(1-Eligibility!$T$68))</f>
        <v>-6367.95</v>
      </c>
      <c r="R22" s="292">
        <f>IF((R14-R15)&gt;R16,R18,(R14-R15)*(1-Eligibility!$T$68))</f>
        <v>-6367.95</v>
      </c>
      <c r="S22" s="292">
        <f>IF((S14-S15)&gt;S16,S18,(S14-S15)*(1-Eligibility!$T$68))</f>
        <v>-6367.95</v>
      </c>
      <c r="T22" s="292">
        <f>IF((T14-T15)&gt;T16,T18,(T14-T15)*(1-Eligibility!$T$68))</f>
        <v>-6367.95</v>
      </c>
      <c r="U22" s="292">
        <f>IF((U14-U15)&gt;U16,U18,(U14-U15)*(1-Eligibility!$T$68))</f>
        <v>-6367.95</v>
      </c>
      <c r="V22" s="292">
        <f>IF((V14-V15)&gt;V16,V18,(V14-V15)*(1-Eligibility!$T$68))</f>
        <v>-6367.95</v>
      </c>
      <c r="W22" s="292">
        <f>IF((W14-W15)&gt;W16,W18,(W14-W15)*(1-Eligibility!$T$68))</f>
        <v>-6367.95</v>
      </c>
      <c r="X22" s="292">
        <f>IF((X14-X15)&gt;X16,X18,(X14-X15)*(1-Eligibility!$T$68))</f>
        <v>-6367.95</v>
      </c>
      <c r="Y22" s="117"/>
    </row>
    <row r="23" spans="1:25" x14ac:dyDescent="0.2">
      <c r="A23" s="44" t="s">
        <v>256</v>
      </c>
      <c r="E23" s="255">
        <f t="shared" ref="E23:X23" si="4">$D20-E15-E22</f>
        <v>14151</v>
      </c>
      <c r="F23" s="255">
        <f t="shared" si="4"/>
        <v>14151</v>
      </c>
      <c r="G23" s="255">
        <f t="shared" si="4"/>
        <v>14151</v>
      </c>
      <c r="H23" s="255">
        <f t="shared" si="4"/>
        <v>14151</v>
      </c>
      <c r="I23" s="255">
        <f t="shared" si="4"/>
        <v>14151</v>
      </c>
      <c r="J23" s="255">
        <f t="shared" si="4"/>
        <v>14151</v>
      </c>
      <c r="K23" s="255">
        <f t="shared" si="4"/>
        <v>14151</v>
      </c>
      <c r="L23" s="255">
        <f t="shared" si="4"/>
        <v>14151</v>
      </c>
      <c r="M23" s="255">
        <f t="shared" si="4"/>
        <v>14151</v>
      </c>
      <c r="N23" s="255">
        <f t="shared" si="4"/>
        <v>14151</v>
      </c>
      <c r="O23" s="255">
        <f t="shared" si="4"/>
        <v>14151</v>
      </c>
      <c r="P23" s="255">
        <f t="shared" si="4"/>
        <v>14151</v>
      </c>
      <c r="Q23" s="255">
        <f t="shared" si="4"/>
        <v>14151</v>
      </c>
      <c r="R23" s="255">
        <f t="shared" si="4"/>
        <v>14151</v>
      </c>
      <c r="S23" s="255">
        <f t="shared" si="4"/>
        <v>14151</v>
      </c>
      <c r="T23" s="255">
        <f t="shared" si="4"/>
        <v>14151</v>
      </c>
      <c r="U23" s="255">
        <f t="shared" si="4"/>
        <v>14151</v>
      </c>
      <c r="V23" s="255">
        <f t="shared" si="4"/>
        <v>14151</v>
      </c>
      <c r="W23" s="255">
        <f t="shared" si="4"/>
        <v>14151</v>
      </c>
      <c r="X23" s="255">
        <f t="shared" si="4"/>
        <v>14151</v>
      </c>
      <c r="Y23" s="117"/>
    </row>
    <row r="24" spans="1:25" x14ac:dyDescent="0.2">
      <c r="E24" s="25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</row>
    <row r="25" spans="1:25" x14ac:dyDescent="0.2">
      <c r="A25" s="44" t="s">
        <v>117</v>
      </c>
      <c r="D25" s="128">
        <f>D20/12</f>
        <v>1179.25</v>
      </c>
      <c r="E25" s="128">
        <f>IF(E23&lt;=0,0,E23/12)</f>
        <v>1179.25</v>
      </c>
      <c r="F25" s="128">
        <f t="shared" ref="F25:X25" si="5">IF(F23&lt;=0,0,F23/12)</f>
        <v>1179.25</v>
      </c>
      <c r="G25" s="128">
        <f t="shared" si="5"/>
        <v>1179.25</v>
      </c>
      <c r="H25" s="128">
        <f t="shared" si="5"/>
        <v>1179.25</v>
      </c>
      <c r="I25" s="128">
        <f t="shared" si="5"/>
        <v>1179.25</v>
      </c>
      <c r="J25" s="128">
        <f t="shared" si="5"/>
        <v>1179.25</v>
      </c>
      <c r="K25" s="128">
        <f t="shared" si="5"/>
        <v>1179.25</v>
      </c>
      <c r="L25" s="128">
        <f t="shared" si="5"/>
        <v>1179.25</v>
      </c>
      <c r="M25" s="128">
        <f t="shared" si="5"/>
        <v>1179.25</v>
      </c>
      <c r="N25" s="128">
        <f t="shared" si="5"/>
        <v>1179.25</v>
      </c>
      <c r="O25" s="128">
        <f t="shared" si="5"/>
        <v>1179.25</v>
      </c>
      <c r="P25" s="128">
        <f t="shared" si="5"/>
        <v>1179.25</v>
      </c>
      <c r="Q25" s="128">
        <f t="shared" si="5"/>
        <v>1179.25</v>
      </c>
      <c r="R25" s="128">
        <f t="shared" si="5"/>
        <v>1179.25</v>
      </c>
      <c r="S25" s="128">
        <f t="shared" si="5"/>
        <v>1179.25</v>
      </c>
      <c r="T25" s="128">
        <f t="shared" si="5"/>
        <v>1179.25</v>
      </c>
      <c r="U25" s="128">
        <f t="shared" si="5"/>
        <v>1179.25</v>
      </c>
      <c r="V25" s="128">
        <f t="shared" si="5"/>
        <v>1179.25</v>
      </c>
      <c r="W25" s="128">
        <f t="shared" si="5"/>
        <v>1179.25</v>
      </c>
      <c r="X25" s="128">
        <f t="shared" si="5"/>
        <v>1179.25</v>
      </c>
      <c r="Y25" s="117"/>
    </row>
    <row r="26" spans="1:25" x14ac:dyDescent="0.2">
      <c r="B26" s="87" t="s">
        <v>29</v>
      </c>
      <c r="C26" s="87" t="s">
        <v>139</v>
      </c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17"/>
    </row>
    <row r="27" spans="1:25" hidden="1" x14ac:dyDescent="0.2">
      <c r="D27" s="128"/>
      <c r="E27" s="128"/>
      <c r="F27" s="388" t="e">
        <f>IF(Eligibility!$J$12="HECO",#REF!*C30,IF(Eligibility!$J$12="HELCO",#REF!*C30,IF(Eligibility!$J$12="MECO - Maui",#REF!*C30,IF(Eligibility!$J$12="MECO - Lanai",#REF!*C30,IF(Eligibility!$J$12="MECO -Molokai",#REF!*$C30,0)))))</f>
        <v>#REF!</v>
      </c>
      <c r="G27" s="388" t="e">
        <f>IF(Eligibility!$J$12="HECO",#REF!*F27,IF(Eligibility!$J$12="HELCO",#REF!*F27,IF(Eligibility!$J$12="MECO - Maui",#REF!*F27,IF(Eligibility!$J$12="MECO - Lanai",#REF!*F27,IF(Eligibility!$J$12="MECO -Molokai",#REF!*F27,0)))))</f>
        <v>#REF!</v>
      </c>
      <c r="H27" s="388" t="e">
        <f>IF(Eligibility!$J$12="HECO",#REF!*G27,IF(Eligibility!$J$12="HELCO",#REF!*G27,IF(Eligibility!$J$12="MECO - Maui",#REF!*G27,IF(Eligibility!$J$12="MECO - Lanai",#REF!*G27,IF(Eligibility!$J$12="MECO -Molokai",#REF!*G27,0)))))</f>
        <v>#REF!</v>
      </c>
      <c r="I27" s="388" t="e">
        <f>IF(Eligibility!$J$12="HECO",#REF!*H27,IF(Eligibility!$J$12="HELCO",#REF!*H27,IF(Eligibility!$J$12="MECO - Maui",#REF!*H27,IF(Eligibility!$J$12="MECO - Lanai",#REF!*H27,IF(Eligibility!$J$12="MECO -Molokai",#REF!*H27,0)))))</f>
        <v>#REF!</v>
      </c>
      <c r="J27" s="389" t="e">
        <f>IF(Eligibility!$J$12="HECO",#REF!*I27,IF(Eligibility!$J$12="HELCO",#REF!*I27,IF(Eligibility!$J$12="MECO - Maui",#REF!*I27,IF(Eligibility!$J$12="MECO - Lanai",#REF!*I27,IF(Eligibility!$J$12="MECO -Molokai",#REF!*I27,0)))))</f>
        <v>#REF!</v>
      </c>
      <c r="K27" s="390" t="e">
        <f>IF(Eligibility!$J$12="HECO",#REF!*J27,IF(Eligibility!$J$12="HELCO",#REF!*J27,IF(Eligibility!$J$12="MECO - Maui",#REF!*J27,IF(Eligibility!$J$12="MECO - Lanai",#REF!*J27,IF(Eligibility!$J$12="MECO -Molokai",#REF!*J27,0)))))</f>
        <v>#REF!</v>
      </c>
      <c r="L27" s="390" t="e">
        <f>IF(Eligibility!$J$12="HECO",#REF!*K27,IF(Eligibility!$J$12="HELCO",#REF!*K27,IF(Eligibility!$J$12="MECO - Maui",#REF!*K27,IF(Eligibility!$J$12="MECO - Lanai",#REF!*K27,IF(Eligibility!$J$12="MECO -Molokai",#REF!*K27,0)))))</f>
        <v>#REF!</v>
      </c>
      <c r="M27" s="390" t="e">
        <f>IF(Eligibility!$J$12="HECO",#REF!*L27,IF(Eligibility!$J$12="HELCO",#REF!*L27,IF(Eligibility!$J$12="MECO - Maui",#REF!*L27,IF(Eligibility!$J$12="MECO - Lanai",#REF!*L27,IF(Eligibility!$J$12="MECO -Molokai",#REF!*L27,0)))))</f>
        <v>#REF!</v>
      </c>
      <c r="N27" s="390" t="e">
        <f>IF(Eligibility!$J$12="HECO",#REF!*M27,IF(Eligibility!$J$12="HELCO",#REF!*M27,IF(Eligibility!$J$12="MECO - Maui",#REF!*M27,IF(Eligibility!$J$12="MECO - Lanai",#REF!*M27,IF(Eligibility!$J$12="MECO -Molokai",#REF!*M27,0)))))</f>
        <v>#REF!</v>
      </c>
      <c r="O27" s="390" t="e">
        <f>IF(Eligibility!$J$12="HECO",#REF!*N27,IF(Eligibility!$J$12="HELCO",#REF!*N27,IF(Eligibility!$J$12="MECO - Maui",#REF!*N27,IF(Eligibility!$J$12="MECO - Lanai",#REF!*N27,IF(Eligibility!$J$12="MECO -Molokai",#REF!*N27,0)))))</f>
        <v>#REF!</v>
      </c>
      <c r="P27" s="390" t="e">
        <f>IF(Eligibility!$J$12="HECO",#REF!*O27,IF(Eligibility!$J$12="HELCO",#REF!*O27,IF(Eligibility!$J$12="MECO - Maui",#REF!*O27,IF(Eligibility!$J$12="MECO - Lanai",#REF!*O27,IF(Eligibility!$J$12="MECO -Molokai",#REF!*O27,0)))))</f>
        <v>#REF!</v>
      </c>
      <c r="Q27" s="390" t="e">
        <f>IF(Eligibility!$J$12="HECO",#REF!*P27,IF(Eligibility!$J$12="HELCO",#REF!*P27,IF(Eligibility!$J$12="MECO - Maui",#REF!*P27,IF(Eligibility!$J$12="MECO - Lanai",#REF!*P27,IF(Eligibility!$J$12="MECO -Molokai",#REF!*P27,0)))))</f>
        <v>#REF!</v>
      </c>
      <c r="R27" s="390" t="e">
        <f>IF(Eligibility!$J$12="HECO",#REF!*Q27,IF(Eligibility!$J$12="HELCO",#REF!*Q27,IF(Eligibility!$J$12="MECO - Maui",#REF!*Q27,IF(Eligibility!$J$12="MECO - Lanai",#REF!*Q27,IF(Eligibility!$J$12="MECO -Molokai",#REF!*Q27,0)))))</f>
        <v>#REF!</v>
      </c>
      <c r="S27" s="390" t="e">
        <f>IF(Eligibility!$J$12="HECO",#REF!*R27,IF(Eligibility!$J$12="HELCO",#REF!*R27,IF(Eligibility!$J$12="MECO - Maui",#REF!*R27,IF(Eligibility!$J$12="MECO - Lanai",#REF!*R27,IF(Eligibility!$J$12="MECO -Molokai",#REF!*R27,0)))))</f>
        <v>#REF!</v>
      </c>
      <c r="T27" s="390" t="e">
        <f>IF(Eligibility!$J$12="HECO",#REF!*S27,IF(Eligibility!$J$12="HELCO",#REF!*S27,IF(Eligibility!$J$12="MECO - Maui",#REF!*S27,IF(Eligibility!$J$12="MECO - Lanai",#REF!*S27,IF(Eligibility!$J$12="MECO -Molokai",#REF!*S27,0)))))</f>
        <v>#REF!</v>
      </c>
      <c r="U27" s="390" t="e">
        <f>IF(Eligibility!$J$12="HECO",#REF!*T27,IF(Eligibility!$J$12="HELCO",#REF!*T27,IF(Eligibility!$J$12="MECO - Maui",#REF!*T27,IF(Eligibility!$J$12="MECO - Lanai",#REF!*T27,IF(Eligibility!$J$12="MECO -Molokai",#REF!*T27,0)))))</f>
        <v>#REF!</v>
      </c>
      <c r="V27" s="390" t="e">
        <f>IF(Eligibility!$J$12="HECO",#REF!*U27,IF(Eligibility!$J$12="HELCO",#REF!*U27,IF(Eligibility!$J$12="MECO - Maui",#REF!*U27,IF(Eligibility!$J$12="MECO - Lanai",#REF!*U27,IF(Eligibility!$J$12="MECO -Molokai",#REF!*U27,0)))))</f>
        <v>#REF!</v>
      </c>
      <c r="W27" s="390" t="e">
        <f>IF(Eligibility!$J$12="HECO",#REF!*V27,IF(Eligibility!$J$12="HELCO",#REF!*V27,IF(Eligibility!$J$12="MECO - Maui",#REF!*V27,IF(Eligibility!$J$12="MECO - Lanai",#REF!*V27,IF(Eligibility!$J$12="MECO -Molokai",#REF!*V27,0)))))</f>
        <v>#REF!</v>
      </c>
      <c r="X27" s="391" t="e">
        <f>IF(Eligibility!$J$12="HECO",#REF!*W27,IF(Eligibility!$J$12="HELCO",#REF!*W27,IF(Eligibility!$J$12="MECO - Maui",#REF!*W27,IF(Eligibility!$J$12="MECO - Lanai",#REF!*W27,IF(Eligibility!$J$12="MECO -Molokai",#REF!*W27,0)))))</f>
        <v>#REF!</v>
      </c>
      <c r="Y27" s="117"/>
    </row>
    <row r="28" spans="1:25" hidden="1" x14ac:dyDescent="0.2">
      <c r="D28" s="128"/>
      <c r="E28" s="128"/>
      <c r="F28" s="388" t="e">
        <f>IF(Eligibility!$J$12="HECO",#REF!*C31,IF(Eligibility!$J$12="HELCO",#REF!*C31,IF(Eligibility!$J$12="MECO - Maui",#REF!*C31,IF(Eligibility!$J$12="MECO - Lanai",#REF!*C31,IF(Eligibility!$J$12="MECO -Molokai",#REF!*$C31,0)))))</f>
        <v>#REF!</v>
      </c>
      <c r="G28" s="388" t="e">
        <f>IF(Eligibility!$J$12="HECO",#REF!*F28,IF(Eligibility!$J$12="HELCO",#REF!*F28,IF(Eligibility!$J$12="MECO - Maui",#REF!*F28,IF(Eligibility!$J$12="MECO - Lanai",#REF!*F28,IF(Eligibility!$J$12="MECO -Molokai",#REF!*F28,0)))))</f>
        <v>#REF!</v>
      </c>
      <c r="H28" s="388" t="e">
        <f>IF(Eligibility!$J$12="HECO",#REF!*G28,IF(Eligibility!$J$12="HELCO",#REF!*G28,IF(Eligibility!$J$12="MECO - Maui",#REF!*G28,IF(Eligibility!$J$12="MECO - Lanai",#REF!*G28,IF(Eligibility!$J$12="MECO -Molokai",#REF!*G28,0)))))</f>
        <v>#REF!</v>
      </c>
      <c r="I28" s="388" t="e">
        <f>IF(Eligibility!$J$12="HECO",#REF!*H28,IF(Eligibility!$J$12="HELCO",#REF!*H28,IF(Eligibility!$J$12="MECO - Maui",#REF!*H28,IF(Eligibility!$J$12="MECO - Lanai",#REF!*H28,IF(Eligibility!$J$12="MECO -Molokai",#REF!*H28,0)))))</f>
        <v>#REF!</v>
      </c>
      <c r="J28" s="389" t="e">
        <f>IF(Eligibility!$J$12="HECO",#REF!*I28,IF(Eligibility!$J$12="HELCO",#REF!*I28,IF(Eligibility!$J$12="MECO - Maui",#REF!*I28,IF(Eligibility!$J$12="MECO - Lanai",#REF!*I28,IF(Eligibility!$J$12="MECO -Molokai",#REF!*I28,0)))))</f>
        <v>#REF!</v>
      </c>
      <c r="K28" s="390" t="e">
        <f>IF(Eligibility!$J$12="HECO",#REF!*J28,IF(Eligibility!$J$12="HELCO",#REF!*J28,IF(Eligibility!$J$12="MECO - Maui",#REF!*J28,IF(Eligibility!$J$12="MECO - Lanai",#REF!*J28,IF(Eligibility!$J$12="MECO -Molokai",#REF!*J28,0)))))</f>
        <v>#REF!</v>
      </c>
      <c r="L28" s="390" t="e">
        <f>IF(Eligibility!$J$12="HECO",#REF!*K28,IF(Eligibility!$J$12="HELCO",#REF!*K28,IF(Eligibility!$J$12="MECO - Maui",#REF!*K28,IF(Eligibility!$J$12="MECO - Lanai",#REF!*K28,IF(Eligibility!$J$12="MECO -Molokai",#REF!*K28,0)))))</f>
        <v>#REF!</v>
      </c>
      <c r="M28" s="390" t="e">
        <f>IF(Eligibility!$J$12="HECO",#REF!*L28,IF(Eligibility!$J$12="HELCO",#REF!*L28,IF(Eligibility!$J$12="MECO - Maui",#REF!*L28,IF(Eligibility!$J$12="MECO - Lanai",#REF!*L28,IF(Eligibility!$J$12="MECO -Molokai",#REF!*L28,0)))))</f>
        <v>#REF!</v>
      </c>
      <c r="N28" s="390" t="e">
        <f>IF(Eligibility!$J$12="HECO",#REF!*M28,IF(Eligibility!$J$12="HELCO",#REF!*M28,IF(Eligibility!$J$12="MECO - Maui",#REF!*M28,IF(Eligibility!$J$12="MECO - Lanai",#REF!*M28,IF(Eligibility!$J$12="MECO -Molokai",#REF!*M28,0)))))</f>
        <v>#REF!</v>
      </c>
      <c r="O28" s="390" t="e">
        <f>IF(Eligibility!$J$12="HECO",#REF!*N28,IF(Eligibility!$J$12="HELCO",#REF!*N28,IF(Eligibility!$J$12="MECO - Maui",#REF!*N28,IF(Eligibility!$J$12="MECO - Lanai",#REF!*N28,IF(Eligibility!$J$12="MECO -Molokai",#REF!*N28,0)))))</f>
        <v>#REF!</v>
      </c>
      <c r="P28" s="390" t="e">
        <f>IF(Eligibility!$J$12="HECO",#REF!*O28,IF(Eligibility!$J$12="HELCO",#REF!*O28,IF(Eligibility!$J$12="MECO - Maui",#REF!*O28,IF(Eligibility!$J$12="MECO - Lanai",#REF!*O28,IF(Eligibility!$J$12="MECO -Molokai",#REF!*O28,0)))))</f>
        <v>#REF!</v>
      </c>
      <c r="Q28" s="390" t="e">
        <f>IF(Eligibility!$J$12="HECO",#REF!*P28,IF(Eligibility!$J$12="HELCO",#REF!*P28,IF(Eligibility!$J$12="MECO - Maui",#REF!*P28,IF(Eligibility!$J$12="MECO - Lanai",#REF!*P28,IF(Eligibility!$J$12="MECO -Molokai",#REF!*P28,0)))))</f>
        <v>#REF!</v>
      </c>
      <c r="R28" s="390" t="e">
        <f>IF(Eligibility!$J$12="HECO",#REF!*Q28,IF(Eligibility!$J$12="HELCO",#REF!*Q28,IF(Eligibility!$J$12="MECO - Maui",#REF!*Q28,IF(Eligibility!$J$12="MECO - Lanai",#REF!*Q28,IF(Eligibility!$J$12="MECO -Molokai",#REF!*Q28,0)))))</f>
        <v>#REF!</v>
      </c>
      <c r="S28" s="390" t="e">
        <f>IF(Eligibility!$J$12="HECO",#REF!*R28,IF(Eligibility!$J$12="HELCO",#REF!*R28,IF(Eligibility!$J$12="MECO - Maui",#REF!*R28,IF(Eligibility!$J$12="MECO - Lanai",#REF!*R28,IF(Eligibility!$J$12="MECO -Molokai",#REF!*R28,0)))))</f>
        <v>#REF!</v>
      </c>
      <c r="T28" s="390" t="e">
        <f>IF(Eligibility!$J$12="HECO",#REF!*S28,IF(Eligibility!$J$12="HELCO",#REF!*S28,IF(Eligibility!$J$12="MECO - Maui",#REF!*S28,IF(Eligibility!$J$12="MECO - Lanai",#REF!*S28,IF(Eligibility!$J$12="MECO -Molokai",#REF!*S28,0)))))</f>
        <v>#REF!</v>
      </c>
      <c r="U28" s="390" t="e">
        <f>IF(Eligibility!$J$12="HECO",#REF!*T28,IF(Eligibility!$J$12="HELCO",#REF!*T28,IF(Eligibility!$J$12="MECO - Maui",#REF!*T28,IF(Eligibility!$J$12="MECO - Lanai",#REF!*T28,IF(Eligibility!$J$12="MECO -Molokai",#REF!*T28,0)))))</f>
        <v>#REF!</v>
      </c>
      <c r="V28" s="390" t="e">
        <f>IF(Eligibility!$J$12="HECO",#REF!*U28,IF(Eligibility!$J$12="HELCO",#REF!*U28,IF(Eligibility!$J$12="MECO - Maui",#REF!*U28,IF(Eligibility!$J$12="MECO - Lanai",#REF!*U28,IF(Eligibility!$J$12="MECO -Molokai",#REF!*U28,0)))))</f>
        <v>#REF!</v>
      </c>
      <c r="W28" s="390" t="e">
        <f>IF(Eligibility!$J$12="HECO",#REF!*V28,IF(Eligibility!$J$12="HELCO",#REF!*V28,IF(Eligibility!$J$12="MECO - Maui",#REF!*V28,IF(Eligibility!$J$12="MECO - Lanai",#REF!*V28,IF(Eligibility!$J$12="MECO -Molokai",#REF!*V28,0)))))</f>
        <v>#REF!</v>
      </c>
      <c r="X28" s="391" t="e">
        <f>IF(Eligibility!$J$12="HECO",#REF!*W28,IF(Eligibility!$J$12="HELCO",#REF!*W28,IF(Eligibility!$J$12="MECO - Maui",#REF!*W28,IF(Eligibility!$J$12="MECO - Lanai",#REF!*W28,IF(Eligibility!$J$12="MECO -Molokai",#REF!*W28,0)))))</f>
        <v>#REF!</v>
      </c>
      <c r="Y28" s="117"/>
    </row>
    <row r="29" spans="1:25" hidden="1" x14ac:dyDescent="0.2">
      <c r="A29" s="14"/>
      <c r="B29" s="87"/>
      <c r="C29" s="87"/>
      <c r="D29" s="90"/>
      <c r="E29" s="387"/>
      <c r="F29" s="388" t="e">
        <f>IF(Eligibility!$J$12="HECO",#REF!*C32,IF(Eligibility!$J$12="HELCO",#REF!*C32,IF(Eligibility!$J$12="MECO - Maui",#REF!*C32,IF(Eligibility!$J$12="MECO - Lanai",#REF!*C32,IF(Eligibility!$J$12="MECO -Molokai",#REF!*$C32,0)))))</f>
        <v>#REF!</v>
      </c>
      <c r="G29" s="388" t="e">
        <f>IF(Eligibility!$J$12="HECO",#REF!*F29,IF(Eligibility!$J$12="HELCO",#REF!*F29,IF(Eligibility!$J$12="MECO - Maui",#REF!*F29,IF(Eligibility!$J$12="MECO - Lanai",#REF!*F29,IF(Eligibility!$J$12="MECO -Molokai",#REF!*F29,0)))))</f>
        <v>#REF!</v>
      </c>
      <c r="H29" s="388" t="e">
        <f>IF(Eligibility!$J$12="HECO",#REF!*G29,IF(Eligibility!$J$12="HELCO",#REF!*G29,IF(Eligibility!$J$12="MECO - Maui",#REF!*G29,IF(Eligibility!$J$12="MECO - Lanai",#REF!*G29,IF(Eligibility!$J$12="MECO -Molokai",#REF!*G29,0)))))</f>
        <v>#REF!</v>
      </c>
      <c r="I29" s="388" t="e">
        <f>IF(Eligibility!$J$12="HECO",#REF!*H29,IF(Eligibility!$J$12="HELCO",#REF!*H29,IF(Eligibility!$J$12="MECO - Maui",#REF!*H29,IF(Eligibility!$J$12="MECO - Lanai",#REF!*H29,IF(Eligibility!$J$12="MECO -Molokai",#REF!*H29,0)))))</f>
        <v>#REF!</v>
      </c>
      <c r="J29" s="389" t="e">
        <f>IF(Eligibility!$J$12="HECO",#REF!*I29,IF(Eligibility!$J$12="HELCO",#REF!*I29,IF(Eligibility!$J$12="MECO - Maui",#REF!*I29,IF(Eligibility!$J$12="MECO - Lanai",#REF!*I29,IF(Eligibility!$J$12="MECO -Molokai",#REF!*I29,0)))))</f>
        <v>#REF!</v>
      </c>
      <c r="K29" s="390" t="e">
        <f>IF(Eligibility!$J$12="HECO",#REF!*J29,IF(Eligibility!$J$12="HELCO",#REF!*J29,IF(Eligibility!$J$12="MECO - Maui",#REF!*J29,IF(Eligibility!$J$12="MECO - Lanai",#REF!*J29,IF(Eligibility!$J$12="MECO -Molokai",#REF!*J29,0)))))</f>
        <v>#REF!</v>
      </c>
      <c r="L29" s="390" t="e">
        <f>IF(Eligibility!$J$12="HECO",#REF!*K29,IF(Eligibility!$J$12="HELCO",#REF!*K29,IF(Eligibility!$J$12="MECO - Maui",#REF!*K29,IF(Eligibility!$J$12="MECO - Lanai",#REF!*K29,IF(Eligibility!$J$12="MECO -Molokai",#REF!*K29,0)))))</f>
        <v>#REF!</v>
      </c>
      <c r="M29" s="390" t="e">
        <f>IF(Eligibility!$J$12="HECO",#REF!*L29,IF(Eligibility!$J$12="HELCO",#REF!*L29,IF(Eligibility!$J$12="MECO - Maui",#REF!*L29,IF(Eligibility!$J$12="MECO - Lanai",#REF!*L29,IF(Eligibility!$J$12="MECO -Molokai",#REF!*L29,0)))))</f>
        <v>#REF!</v>
      </c>
      <c r="N29" s="390" t="e">
        <f>IF(Eligibility!$J$12="HECO",#REF!*M29,IF(Eligibility!$J$12="HELCO",#REF!*M29,IF(Eligibility!$J$12="MECO - Maui",#REF!*M29,IF(Eligibility!$J$12="MECO - Lanai",#REF!*M29,IF(Eligibility!$J$12="MECO -Molokai",#REF!*M29,0)))))</f>
        <v>#REF!</v>
      </c>
      <c r="O29" s="390" t="e">
        <f>IF(Eligibility!$J$12="HECO",#REF!*N29,IF(Eligibility!$J$12="HELCO",#REF!*N29,IF(Eligibility!$J$12="MECO - Maui",#REF!*N29,IF(Eligibility!$J$12="MECO - Lanai",#REF!*N29,IF(Eligibility!$J$12="MECO -Molokai",#REF!*N29,0)))))</f>
        <v>#REF!</v>
      </c>
      <c r="P29" s="390" t="e">
        <f>IF(Eligibility!$J$12="HECO",#REF!*O29,IF(Eligibility!$J$12="HELCO",#REF!*O29,IF(Eligibility!$J$12="MECO - Maui",#REF!*O29,IF(Eligibility!$J$12="MECO - Lanai",#REF!*O29,IF(Eligibility!$J$12="MECO -Molokai",#REF!*O29,0)))))</f>
        <v>#REF!</v>
      </c>
      <c r="Q29" s="390" t="e">
        <f>IF(Eligibility!$J$12="HECO",#REF!*P29,IF(Eligibility!$J$12="HELCO",#REF!*P29,IF(Eligibility!$J$12="MECO - Maui",#REF!*P29,IF(Eligibility!$J$12="MECO - Lanai",#REF!*P29,IF(Eligibility!$J$12="MECO -Molokai",#REF!*P29,0)))))</f>
        <v>#REF!</v>
      </c>
      <c r="R29" s="390" t="e">
        <f>IF(Eligibility!$J$12="HECO",#REF!*Q29,IF(Eligibility!$J$12="HELCO",#REF!*Q29,IF(Eligibility!$J$12="MECO - Maui",#REF!*Q29,IF(Eligibility!$J$12="MECO - Lanai",#REF!*Q29,IF(Eligibility!$J$12="MECO -Molokai",#REF!*Q29,0)))))</f>
        <v>#REF!</v>
      </c>
      <c r="S29" s="390" t="e">
        <f>IF(Eligibility!$J$12="HECO",#REF!*R29,IF(Eligibility!$J$12="HELCO",#REF!*R29,IF(Eligibility!$J$12="MECO - Maui",#REF!*R29,IF(Eligibility!$J$12="MECO - Lanai",#REF!*R29,IF(Eligibility!$J$12="MECO -Molokai",#REF!*R29,0)))))</f>
        <v>#REF!</v>
      </c>
      <c r="T29" s="390" t="e">
        <f>IF(Eligibility!$J$12="HECO",#REF!*S29,IF(Eligibility!$J$12="HELCO",#REF!*S29,IF(Eligibility!$J$12="MECO - Maui",#REF!*S29,IF(Eligibility!$J$12="MECO - Lanai",#REF!*S29,IF(Eligibility!$J$12="MECO -Molokai",#REF!*S29,0)))))</f>
        <v>#REF!</v>
      </c>
      <c r="U29" s="390" t="e">
        <f>IF(Eligibility!$J$12="HECO",#REF!*T29,IF(Eligibility!$J$12="HELCO",#REF!*T29,IF(Eligibility!$J$12="MECO - Maui",#REF!*T29,IF(Eligibility!$J$12="MECO - Lanai",#REF!*T29,IF(Eligibility!$J$12="MECO -Molokai",#REF!*T29,0)))))</f>
        <v>#REF!</v>
      </c>
      <c r="V29" s="390" t="e">
        <f>IF(Eligibility!$J$12="HECO",#REF!*U29,IF(Eligibility!$J$12="HELCO",#REF!*U29,IF(Eligibility!$J$12="MECO - Maui",#REF!*U29,IF(Eligibility!$J$12="MECO - Lanai",#REF!*U29,IF(Eligibility!$J$12="MECO -Molokai",#REF!*U29,0)))))</f>
        <v>#REF!</v>
      </c>
      <c r="W29" s="390" t="e">
        <f>IF(Eligibility!$J$12="HECO",#REF!*V29,IF(Eligibility!$J$12="HELCO",#REF!*V29,IF(Eligibility!$J$12="MECO - Maui",#REF!*V29,IF(Eligibility!$J$12="MECO - Lanai",#REF!*V29,IF(Eligibility!$J$12="MECO -Molokai",#REF!*V29,0)))))</f>
        <v>#REF!</v>
      </c>
      <c r="X29" s="391" t="e">
        <f>IF(Eligibility!$J$12="HECO",#REF!*W29,IF(Eligibility!$J$12="HELCO",#REF!*W29,IF(Eligibility!$J$12="MECO - Maui",#REF!*W29,IF(Eligibility!$J$12="MECO - Lanai",#REF!*W29,IF(Eligibility!$J$12="MECO -Molokai",#REF!*W29,0)))))</f>
        <v>#REF!</v>
      </c>
      <c r="Y29" s="117"/>
    </row>
    <row r="30" spans="1:25" x14ac:dyDescent="0.2">
      <c r="A30" s="86" t="s">
        <v>136</v>
      </c>
      <c r="B30" s="89">
        <f>IF(Eligibility!$J$12="HECO",Eligibility!O14,IF(Eligibility!$J$12="HELCO",Eligibility!S14,IF(Eligibility!$J$12="MECO - Maui",Eligibility!W14,IF(Eligibility!$J$12="MECO - Lanai",Eligibility!AA14,IF(Eligibility!$J$12="MECO - Molokai",Eligibility!AE14,0)))))</f>
        <v>350</v>
      </c>
      <c r="C30" s="89">
        <f>IF(Eligibility!$J$12="HECO",Eligibility!P14,IF(Eligibility!$J$12="HELCO",Eligibility!T14,IF(Eligibility!$J$12="MECO - Maui",Eligibility!X14,IF(Eligibility!$J$12="MECO - Lanai",Eligibility!AB14,IF(Eligibility!$J$12="MECO - Molokai",Eligibility!AF14,0)))))</f>
        <v>0.27848099999999998</v>
      </c>
      <c r="D30" s="137">
        <f>IF(D25&lt;=$B$30,D25*$C$30,$B$30*$C$30)</f>
        <v>97.468349999999987</v>
      </c>
      <c r="E30" s="137">
        <f>IF(E25&lt;=$B$30,E25*$C$30,$B$30*$C$30)</f>
        <v>97.468349999999987</v>
      </c>
      <c r="F30" s="137" t="e">
        <f t="shared" ref="F30:X30" si="6">IF(F25&lt;=$B$30,F25*F27,$B$30*F27)</f>
        <v>#REF!</v>
      </c>
      <c r="G30" s="137" t="e">
        <f t="shared" si="6"/>
        <v>#REF!</v>
      </c>
      <c r="H30" s="137" t="e">
        <f t="shared" si="6"/>
        <v>#REF!</v>
      </c>
      <c r="I30" s="137" t="e">
        <f t="shared" si="6"/>
        <v>#REF!</v>
      </c>
      <c r="J30" s="137" t="e">
        <f t="shared" si="6"/>
        <v>#REF!</v>
      </c>
      <c r="K30" s="137" t="e">
        <f t="shared" si="6"/>
        <v>#REF!</v>
      </c>
      <c r="L30" s="137" t="e">
        <f t="shared" si="6"/>
        <v>#REF!</v>
      </c>
      <c r="M30" s="137" t="e">
        <f t="shared" si="6"/>
        <v>#REF!</v>
      </c>
      <c r="N30" s="137" t="e">
        <f t="shared" si="6"/>
        <v>#REF!</v>
      </c>
      <c r="O30" s="137" t="e">
        <f t="shared" si="6"/>
        <v>#REF!</v>
      </c>
      <c r="P30" s="137" t="e">
        <f t="shared" si="6"/>
        <v>#REF!</v>
      </c>
      <c r="Q30" s="137" t="e">
        <f t="shared" si="6"/>
        <v>#REF!</v>
      </c>
      <c r="R30" s="137" t="e">
        <f t="shared" si="6"/>
        <v>#REF!</v>
      </c>
      <c r="S30" s="137" t="e">
        <f t="shared" si="6"/>
        <v>#REF!</v>
      </c>
      <c r="T30" s="137" t="e">
        <f t="shared" si="6"/>
        <v>#REF!</v>
      </c>
      <c r="U30" s="137" t="e">
        <f t="shared" si="6"/>
        <v>#REF!</v>
      </c>
      <c r="V30" s="137" t="e">
        <f t="shared" si="6"/>
        <v>#REF!</v>
      </c>
      <c r="W30" s="137" t="e">
        <f t="shared" si="6"/>
        <v>#REF!</v>
      </c>
      <c r="X30" s="137" t="e">
        <f t="shared" si="6"/>
        <v>#REF!</v>
      </c>
      <c r="Y30" s="117"/>
    </row>
    <row r="31" spans="1:25" x14ac:dyDescent="0.2">
      <c r="A31" s="86" t="s">
        <v>137</v>
      </c>
      <c r="B31" s="89">
        <f>IF(Eligibility!$J$12="HECO",Eligibility!O15,IF(Eligibility!$J$12="HELCO",Eligibility!S15,IF(Eligibility!$J$12="MECO - Maui",Eligibility!W15,IF(Eligibility!$J$12="MECO - Lanai",Eligibility!AA15,IF(Eligibility!$J$12="MECO - Molokai",Eligibility!AE15,0)))))</f>
        <v>850</v>
      </c>
      <c r="C31" s="89">
        <f>IF(Eligibility!$J$12="HECO",Eligibility!P15,IF(Eligibility!$J$12="HELCO",Eligibility!T15,IF(Eligibility!$J$12="MECO - Maui",Eligibility!X15,IF(Eligibility!$J$12="MECO - Lanai",Eligibility!AB15,IF(Eligibility!$J$12="MECO - Molokai",Eligibility!AF15,0)))))</f>
        <v>0.290016</v>
      </c>
      <c r="D31" s="137">
        <f>IF(AND(D25&gt;$B$30,D25&lt;$B$32),(D25-$B$30)*$C$31,IF(D25&lt;$B$30,0,$B$31*$C$31))</f>
        <v>240.495768</v>
      </c>
      <c r="E31" s="137">
        <f>IF(AND(E25&gt;$B$30,E25&lt;$B$32),(E25-$B$30)*$C$31,IF(E25&lt;$B$30,0,$B$31*$C$31))</f>
        <v>240.495768</v>
      </c>
      <c r="F31" s="137" t="e">
        <f>IF(AND(F25&gt;$B$30,F25&lt;$B$32),(F25-$B$30)*(F28),IF(F25&lt;$B$30,0,$B$31*(F28)))</f>
        <v>#REF!</v>
      </c>
      <c r="G31" s="137" t="e">
        <f t="shared" ref="G31:X31" si="7">IF(AND(G25&gt;$B$30,G25&lt;$B$32),(G25-$B$30)*(G28),IF(G25&lt;$B$30,0,$B$31*(G28)))</f>
        <v>#REF!</v>
      </c>
      <c r="H31" s="137" t="e">
        <f t="shared" si="7"/>
        <v>#REF!</v>
      </c>
      <c r="I31" s="137" t="e">
        <f t="shared" si="7"/>
        <v>#REF!</v>
      </c>
      <c r="J31" s="137" t="e">
        <f t="shared" si="7"/>
        <v>#REF!</v>
      </c>
      <c r="K31" s="137" t="e">
        <f t="shared" si="7"/>
        <v>#REF!</v>
      </c>
      <c r="L31" s="137" t="e">
        <f t="shared" si="7"/>
        <v>#REF!</v>
      </c>
      <c r="M31" s="137" t="e">
        <f t="shared" si="7"/>
        <v>#REF!</v>
      </c>
      <c r="N31" s="137" t="e">
        <f t="shared" si="7"/>
        <v>#REF!</v>
      </c>
      <c r="O31" s="137" t="e">
        <f t="shared" si="7"/>
        <v>#REF!</v>
      </c>
      <c r="P31" s="137" t="e">
        <f t="shared" si="7"/>
        <v>#REF!</v>
      </c>
      <c r="Q31" s="137" t="e">
        <f t="shared" si="7"/>
        <v>#REF!</v>
      </c>
      <c r="R31" s="137" t="e">
        <f t="shared" si="7"/>
        <v>#REF!</v>
      </c>
      <c r="S31" s="137" t="e">
        <f t="shared" si="7"/>
        <v>#REF!</v>
      </c>
      <c r="T31" s="137" t="e">
        <f t="shared" si="7"/>
        <v>#REF!</v>
      </c>
      <c r="U31" s="137" t="e">
        <f t="shared" si="7"/>
        <v>#REF!</v>
      </c>
      <c r="V31" s="137" t="e">
        <f t="shared" si="7"/>
        <v>#REF!</v>
      </c>
      <c r="W31" s="137" t="e">
        <f t="shared" si="7"/>
        <v>#REF!</v>
      </c>
      <c r="X31" s="137" t="e">
        <f t="shared" si="7"/>
        <v>#REF!</v>
      </c>
      <c r="Y31" s="117"/>
    </row>
    <row r="32" spans="1:25" x14ac:dyDescent="0.2">
      <c r="A32" s="86" t="s">
        <v>138</v>
      </c>
      <c r="B32" s="89">
        <f>IF(Eligibility!$J$12="HECO",Eligibility!O16,IF(Eligibility!$J$12="HELCO",Eligibility!S16,IF(Eligibility!$J$12="MECO - Maui",Eligibility!W16,IF(Eligibility!$J$12="MECO - Lanai",Eligibility!AA16,IF(Eligibility!$J$12="MECO - Molokai",Eligibility!AE16,0)))))</f>
        <v>1200</v>
      </c>
      <c r="C32" s="89">
        <f>IF(Eligibility!$J$12="HECO",Eligibility!P16,IF(Eligibility!$J$12="HELCO",Eligibility!T16,IF(Eligibility!$J$12="MECO - Maui",Eligibility!X16,IF(Eligibility!$J$12="MECO - Lanai",Eligibility!AB16,IF(Eligibility!$J$12="MECO - Molokai",Eligibility!AF16,0)))))</f>
        <v>0.30879000000000001</v>
      </c>
      <c r="D32" s="137">
        <f>IF(D25&gt;=$B$32,(D25-$B$32)*$C$32,0)</f>
        <v>0</v>
      </c>
      <c r="E32" s="137">
        <f>IF(E25&gt;=$B$32,(E25-$B$32)*$C$32,0)</f>
        <v>0</v>
      </c>
      <c r="F32" s="137">
        <f>IF(F25&gt;=$B$32,(F25-$B$32)*F29,0)</f>
        <v>0</v>
      </c>
      <c r="G32" s="137">
        <f t="shared" ref="G32:X32" si="8">IF(G25&gt;=$B$32,(G25-$B$32)*G29,0)</f>
        <v>0</v>
      </c>
      <c r="H32" s="137">
        <f t="shared" si="8"/>
        <v>0</v>
      </c>
      <c r="I32" s="137">
        <f t="shared" si="8"/>
        <v>0</v>
      </c>
      <c r="J32" s="137">
        <f t="shared" si="8"/>
        <v>0</v>
      </c>
      <c r="K32" s="137">
        <f t="shared" si="8"/>
        <v>0</v>
      </c>
      <c r="L32" s="137">
        <f t="shared" si="8"/>
        <v>0</v>
      </c>
      <c r="M32" s="137">
        <f t="shared" si="8"/>
        <v>0</v>
      </c>
      <c r="N32" s="137">
        <f t="shared" si="8"/>
        <v>0</v>
      </c>
      <c r="O32" s="137">
        <f t="shared" si="8"/>
        <v>0</v>
      </c>
      <c r="P32" s="137">
        <f t="shared" si="8"/>
        <v>0</v>
      </c>
      <c r="Q32" s="137">
        <f t="shared" si="8"/>
        <v>0</v>
      </c>
      <c r="R32" s="137">
        <f t="shared" si="8"/>
        <v>0</v>
      </c>
      <c r="S32" s="137">
        <f t="shared" si="8"/>
        <v>0</v>
      </c>
      <c r="T32" s="137">
        <f t="shared" si="8"/>
        <v>0</v>
      </c>
      <c r="U32" s="137">
        <f t="shared" si="8"/>
        <v>0</v>
      </c>
      <c r="V32" s="137">
        <f t="shared" si="8"/>
        <v>0</v>
      </c>
      <c r="W32" s="137">
        <f t="shared" si="8"/>
        <v>0</v>
      </c>
      <c r="X32" s="137">
        <f t="shared" si="8"/>
        <v>0</v>
      </c>
      <c r="Y32" s="117"/>
    </row>
    <row r="33" spans="1:25" x14ac:dyDescent="0.2">
      <c r="D33" s="285">
        <f>SUM(D30:D32)</f>
        <v>337.96411799999998</v>
      </c>
      <c r="E33" s="285">
        <f>SUM(E30:E32)</f>
        <v>337.96411799999998</v>
      </c>
      <c r="F33" s="285" t="e">
        <f t="shared" ref="F33:X33" si="9">SUM(F30:F32)</f>
        <v>#REF!</v>
      </c>
      <c r="G33" s="285" t="e">
        <f t="shared" si="9"/>
        <v>#REF!</v>
      </c>
      <c r="H33" s="285" t="e">
        <f t="shared" si="9"/>
        <v>#REF!</v>
      </c>
      <c r="I33" s="285" t="e">
        <f t="shared" si="9"/>
        <v>#REF!</v>
      </c>
      <c r="J33" s="285" t="e">
        <f t="shared" si="9"/>
        <v>#REF!</v>
      </c>
      <c r="K33" s="285" t="e">
        <f t="shared" si="9"/>
        <v>#REF!</v>
      </c>
      <c r="L33" s="285" t="e">
        <f t="shared" si="9"/>
        <v>#REF!</v>
      </c>
      <c r="M33" s="285" t="e">
        <f t="shared" si="9"/>
        <v>#REF!</v>
      </c>
      <c r="N33" s="285" t="e">
        <f t="shared" si="9"/>
        <v>#REF!</v>
      </c>
      <c r="O33" s="285" t="e">
        <f t="shared" si="9"/>
        <v>#REF!</v>
      </c>
      <c r="P33" s="285" t="e">
        <f t="shared" si="9"/>
        <v>#REF!</v>
      </c>
      <c r="Q33" s="285" t="e">
        <f t="shared" si="9"/>
        <v>#REF!</v>
      </c>
      <c r="R33" s="285" t="e">
        <f t="shared" si="9"/>
        <v>#REF!</v>
      </c>
      <c r="S33" s="285" t="e">
        <f t="shared" si="9"/>
        <v>#REF!</v>
      </c>
      <c r="T33" s="285" t="e">
        <f t="shared" si="9"/>
        <v>#REF!</v>
      </c>
      <c r="U33" s="285" t="e">
        <f t="shared" si="9"/>
        <v>#REF!</v>
      </c>
      <c r="V33" s="285" t="e">
        <f t="shared" si="9"/>
        <v>#REF!</v>
      </c>
      <c r="W33" s="285" t="e">
        <f t="shared" si="9"/>
        <v>#REF!</v>
      </c>
      <c r="X33" s="285" t="e">
        <f t="shared" si="9"/>
        <v>#REF!</v>
      </c>
      <c r="Y33" s="117"/>
    </row>
    <row r="34" spans="1:25" x14ac:dyDescent="0.2">
      <c r="D34" s="380" t="s">
        <v>361</v>
      </c>
      <c r="E34" s="136"/>
      <c r="F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117"/>
    </row>
    <row r="35" spans="1:25" s="151" customFormat="1" x14ac:dyDescent="0.2">
      <c r="A35" s="147" t="s">
        <v>267</v>
      </c>
      <c r="B35" s="147"/>
      <c r="C35" s="147"/>
      <c r="D35" s="375">
        <v>1.0501</v>
      </c>
      <c r="E35" s="148">
        <f>IF(Eligibility!$J$12="HECO",$D$33*12,0)</f>
        <v>4055.5694159999998</v>
      </c>
      <c r="F35" s="149">
        <f>E35*$D$35</f>
        <v>4258.7534437415998</v>
      </c>
      <c r="G35" s="149">
        <f t="shared" ref="G35:X35" si="10">F35*$D$35</f>
        <v>4472.1169912730538</v>
      </c>
      <c r="H35" s="149">
        <f t="shared" si="10"/>
        <v>4696.1700525358337</v>
      </c>
      <c r="I35" s="149">
        <f t="shared" si="10"/>
        <v>4931.4481721678794</v>
      </c>
      <c r="J35" s="149">
        <f t="shared" si="10"/>
        <v>5178.5137255934906</v>
      </c>
      <c r="K35" s="149">
        <f t="shared" si="10"/>
        <v>5437.9572632457248</v>
      </c>
      <c r="L35" s="149">
        <f t="shared" si="10"/>
        <v>5710.3989221343354</v>
      </c>
      <c r="M35" s="149">
        <f t="shared" si="10"/>
        <v>5996.489908133266</v>
      </c>
      <c r="N35" s="149">
        <f t="shared" si="10"/>
        <v>6296.914052530743</v>
      </c>
      <c r="O35" s="149">
        <f t="shared" si="10"/>
        <v>6612.3894465625335</v>
      </c>
      <c r="P35" s="149">
        <f t="shared" si="10"/>
        <v>6943.6701578353168</v>
      </c>
      <c r="Q35" s="149">
        <f t="shared" si="10"/>
        <v>7291.5480327428668</v>
      </c>
      <c r="R35" s="149">
        <f t="shared" si="10"/>
        <v>7656.8545891832846</v>
      </c>
      <c r="S35" s="149">
        <f t="shared" si="10"/>
        <v>8040.463004101367</v>
      </c>
      <c r="T35" s="149">
        <f t="shared" si="10"/>
        <v>8443.2902006068452</v>
      </c>
      <c r="U35" s="149">
        <f t="shared" si="10"/>
        <v>8866.2990396572477</v>
      </c>
      <c r="V35" s="149">
        <f t="shared" si="10"/>
        <v>9310.5006215440753</v>
      </c>
      <c r="W35" s="149">
        <f t="shared" si="10"/>
        <v>9776.9567026834338</v>
      </c>
      <c r="X35" s="149">
        <f t="shared" si="10"/>
        <v>10266.782233487875</v>
      </c>
      <c r="Y35" s="150">
        <f>SUM(E35:X35)</f>
        <v>134243.08597576077</v>
      </c>
    </row>
    <row r="36" spans="1:25" s="156" customFormat="1" x14ac:dyDescent="0.2">
      <c r="A36" s="152" t="s">
        <v>174</v>
      </c>
      <c r="B36" s="152"/>
      <c r="C36" s="152"/>
      <c r="D36" s="376">
        <v>1.0133000000000001</v>
      </c>
      <c r="E36" s="153">
        <f>IF(Eligibility!$J$12="HELCO",$D$33*12,0)</f>
        <v>0</v>
      </c>
      <c r="F36" s="154">
        <f>E36*$D$36</f>
        <v>0</v>
      </c>
      <c r="G36" s="154">
        <f t="shared" ref="G36:X36" si="11">F36*$D$36</f>
        <v>0</v>
      </c>
      <c r="H36" s="154">
        <f t="shared" si="11"/>
        <v>0</v>
      </c>
      <c r="I36" s="154">
        <f t="shared" si="11"/>
        <v>0</v>
      </c>
      <c r="J36" s="154">
        <f t="shared" si="11"/>
        <v>0</v>
      </c>
      <c r="K36" s="154">
        <f t="shared" si="11"/>
        <v>0</v>
      </c>
      <c r="L36" s="154">
        <f t="shared" si="11"/>
        <v>0</v>
      </c>
      <c r="M36" s="154">
        <f t="shared" si="11"/>
        <v>0</v>
      </c>
      <c r="N36" s="154">
        <f t="shared" si="11"/>
        <v>0</v>
      </c>
      <c r="O36" s="154">
        <f t="shared" si="11"/>
        <v>0</v>
      </c>
      <c r="P36" s="154">
        <f t="shared" si="11"/>
        <v>0</v>
      </c>
      <c r="Q36" s="154">
        <f t="shared" si="11"/>
        <v>0</v>
      </c>
      <c r="R36" s="154">
        <f t="shared" si="11"/>
        <v>0</v>
      </c>
      <c r="S36" s="154">
        <f t="shared" si="11"/>
        <v>0</v>
      </c>
      <c r="T36" s="154">
        <f t="shared" si="11"/>
        <v>0</v>
      </c>
      <c r="U36" s="154">
        <f t="shared" si="11"/>
        <v>0</v>
      </c>
      <c r="V36" s="154">
        <f t="shared" si="11"/>
        <v>0</v>
      </c>
      <c r="W36" s="154">
        <f t="shared" si="11"/>
        <v>0</v>
      </c>
      <c r="X36" s="154">
        <f t="shared" si="11"/>
        <v>0</v>
      </c>
      <c r="Y36" s="155">
        <f t="shared" ref="Y36:Y60" si="12">SUM(E36:X36)</f>
        <v>0</v>
      </c>
    </row>
    <row r="37" spans="1:25" s="161" customFormat="1" x14ac:dyDescent="0.2">
      <c r="A37" s="157" t="s">
        <v>175</v>
      </c>
      <c r="B37" s="157"/>
      <c r="C37" s="157"/>
      <c r="D37" s="377">
        <v>1.0239</v>
      </c>
      <c r="E37" s="158">
        <f>IF(Eligibility!$J$12="MECO - Maui",$D$33*12,0)</f>
        <v>0</v>
      </c>
      <c r="F37" s="159">
        <f>E37*$D$37</f>
        <v>0</v>
      </c>
      <c r="G37" s="159">
        <f t="shared" ref="G37:X37" si="13">F37*$D$37</f>
        <v>0</v>
      </c>
      <c r="H37" s="159">
        <f t="shared" si="13"/>
        <v>0</v>
      </c>
      <c r="I37" s="159">
        <f t="shared" si="13"/>
        <v>0</v>
      </c>
      <c r="J37" s="159">
        <f t="shared" si="13"/>
        <v>0</v>
      </c>
      <c r="K37" s="159">
        <f t="shared" si="13"/>
        <v>0</v>
      </c>
      <c r="L37" s="159">
        <f t="shared" si="13"/>
        <v>0</v>
      </c>
      <c r="M37" s="159">
        <f t="shared" si="13"/>
        <v>0</v>
      </c>
      <c r="N37" s="159">
        <f t="shared" si="13"/>
        <v>0</v>
      </c>
      <c r="O37" s="159">
        <f t="shared" si="13"/>
        <v>0</v>
      </c>
      <c r="P37" s="159">
        <f t="shared" si="13"/>
        <v>0</v>
      </c>
      <c r="Q37" s="159">
        <f t="shared" si="13"/>
        <v>0</v>
      </c>
      <c r="R37" s="159">
        <f t="shared" si="13"/>
        <v>0</v>
      </c>
      <c r="S37" s="159">
        <f t="shared" si="13"/>
        <v>0</v>
      </c>
      <c r="T37" s="159">
        <f t="shared" si="13"/>
        <v>0</v>
      </c>
      <c r="U37" s="159">
        <f t="shared" si="13"/>
        <v>0</v>
      </c>
      <c r="V37" s="159">
        <f t="shared" si="13"/>
        <v>0</v>
      </c>
      <c r="W37" s="159">
        <f t="shared" si="13"/>
        <v>0</v>
      </c>
      <c r="X37" s="159">
        <f t="shared" si="13"/>
        <v>0</v>
      </c>
      <c r="Y37" s="160">
        <f t="shared" si="12"/>
        <v>0</v>
      </c>
    </row>
    <row r="38" spans="1:25" s="171" customFormat="1" x14ac:dyDescent="0.2">
      <c r="A38" s="167" t="s">
        <v>176</v>
      </c>
      <c r="B38" s="167"/>
      <c r="C38" s="167"/>
      <c r="D38" s="378">
        <v>1.0228999999999999</v>
      </c>
      <c r="E38" s="168">
        <f>IF(Eligibility!$J$12="MECO - Lanai",$D$33*12,0)</f>
        <v>0</v>
      </c>
      <c r="F38" s="169">
        <f>E38*$D$38</f>
        <v>0</v>
      </c>
      <c r="G38" s="169">
        <f t="shared" ref="G38:X38" si="14">F38*$D$38</f>
        <v>0</v>
      </c>
      <c r="H38" s="169">
        <f t="shared" si="14"/>
        <v>0</v>
      </c>
      <c r="I38" s="169">
        <f t="shared" si="14"/>
        <v>0</v>
      </c>
      <c r="J38" s="169">
        <f t="shared" si="14"/>
        <v>0</v>
      </c>
      <c r="K38" s="169">
        <f t="shared" si="14"/>
        <v>0</v>
      </c>
      <c r="L38" s="169">
        <f t="shared" si="14"/>
        <v>0</v>
      </c>
      <c r="M38" s="169">
        <f t="shared" si="14"/>
        <v>0</v>
      </c>
      <c r="N38" s="169">
        <f t="shared" si="14"/>
        <v>0</v>
      </c>
      <c r="O38" s="169">
        <f t="shared" si="14"/>
        <v>0</v>
      </c>
      <c r="P38" s="169">
        <f t="shared" si="14"/>
        <v>0</v>
      </c>
      <c r="Q38" s="169">
        <f t="shared" si="14"/>
        <v>0</v>
      </c>
      <c r="R38" s="169">
        <f t="shared" si="14"/>
        <v>0</v>
      </c>
      <c r="S38" s="169">
        <f t="shared" si="14"/>
        <v>0</v>
      </c>
      <c r="T38" s="169">
        <f t="shared" si="14"/>
        <v>0</v>
      </c>
      <c r="U38" s="169">
        <f t="shared" si="14"/>
        <v>0</v>
      </c>
      <c r="V38" s="169">
        <f t="shared" si="14"/>
        <v>0</v>
      </c>
      <c r="W38" s="169">
        <f t="shared" si="14"/>
        <v>0</v>
      </c>
      <c r="X38" s="169">
        <f t="shared" si="14"/>
        <v>0</v>
      </c>
      <c r="Y38" s="170">
        <f t="shared" si="12"/>
        <v>0</v>
      </c>
    </row>
    <row r="39" spans="1:25" s="166" customFormat="1" x14ac:dyDescent="0.2">
      <c r="A39" s="162" t="s">
        <v>177</v>
      </c>
      <c r="B39" s="162"/>
      <c r="C39" s="162"/>
      <c r="D39" s="379">
        <v>1.0172000000000001</v>
      </c>
      <c r="E39" s="163">
        <f>IF(Eligibility!$J$12="MECO - Molokai",$D$33*12,0)</f>
        <v>0</v>
      </c>
      <c r="F39" s="164">
        <f>E39*$D$39</f>
        <v>0</v>
      </c>
      <c r="G39" s="164">
        <f t="shared" ref="G39:X39" si="15">F39*$D$39</f>
        <v>0</v>
      </c>
      <c r="H39" s="164">
        <f t="shared" si="15"/>
        <v>0</v>
      </c>
      <c r="I39" s="164">
        <f t="shared" si="15"/>
        <v>0</v>
      </c>
      <c r="J39" s="164">
        <f t="shared" si="15"/>
        <v>0</v>
      </c>
      <c r="K39" s="164">
        <f t="shared" si="15"/>
        <v>0</v>
      </c>
      <c r="L39" s="164">
        <f t="shared" si="15"/>
        <v>0</v>
      </c>
      <c r="M39" s="164">
        <f t="shared" si="15"/>
        <v>0</v>
      </c>
      <c r="N39" s="164">
        <f t="shared" si="15"/>
        <v>0</v>
      </c>
      <c r="O39" s="164">
        <f t="shared" si="15"/>
        <v>0</v>
      </c>
      <c r="P39" s="164">
        <f t="shared" si="15"/>
        <v>0</v>
      </c>
      <c r="Q39" s="164">
        <f t="shared" si="15"/>
        <v>0</v>
      </c>
      <c r="R39" s="164">
        <f t="shared" si="15"/>
        <v>0</v>
      </c>
      <c r="S39" s="164">
        <f t="shared" si="15"/>
        <v>0</v>
      </c>
      <c r="T39" s="164">
        <f t="shared" si="15"/>
        <v>0</v>
      </c>
      <c r="U39" s="164">
        <f t="shared" si="15"/>
        <v>0</v>
      </c>
      <c r="V39" s="164">
        <f t="shared" si="15"/>
        <v>0</v>
      </c>
      <c r="W39" s="164">
        <f t="shared" si="15"/>
        <v>0</v>
      </c>
      <c r="X39" s="164">
        <f t="shared" si="15"/>
        <v>0</v>
      </c>
      <c r="Y39" s="165">
        <f t="shared" si="12"/>
        <v>0</v>
      </c>
    </row>
    <row r="40" spans="1:25" s="414" customFormat="1" hidden="1" x14ac:dyDescent="0.2">
      <c r="A40" s="411"/>
      <c r="B40" s="411"/>
      <c r="C40" s="411"/>
      <c r="D40" s="410"/>
      <c r="E40" s="415">
        <f>IF((E14/12)&lt;$B$30,(E14/12)*C30,$B$30*C30)</f>
        <v>0</v>
      </c>
      <c r="F40" s="412" t="e">
        <f>IF((F14/12)&lt;=$B$30,(F14/12)*F$27,$B$30*F$27)</f>
        <v>#REF!</v>
      </c>
      <c r="G40" s="412" t="e">
        <f t="shared" ref="G40:X40" si="16">IF((G14/12)&lt;=$B$30,(G14/12)*G$27,$B$30*G$27)</f>
        <v>#REF!</v>
      </c>
      <c r="H40" s="412" t="e">
        <f t="shared" si="16"/>
        <v>#REF!</v>
      </c>
      <c r="I40" s="412" t="e">
        <f t="shared" si="16"/>
        <v>#REF!</v>
      </c>
      <c r="J40" s="412" t="e">
        <f t="shared" si="16"/>
        <v>#REF!</v>
      </c>
      <c r="K40" s="412" t="e">
        <f t="shared" si="16"/>
        <v>#REF!</v>
      </c>
      <c r="L40" s="412" t="e">
        <f t="shared" si="16"/>
        <v>#REF!</v>
      </c>
      <c r="M40" s="412" t="e">
        <f t="shared" si="16"/>
        <v>#REF!</v>
      </c>
      <c r="N40" s="412" t="e">
        <f t="shared" si="16"/>
        <v>#REF!</v>
      </c>
      <c r="O40" s="412" t="e">
        <f t="shared" si="16"/>
        <v>#REF!</v>
      </c>
      <c r="P40" s="412" t="e">
        <f t="shared" si="16"/>
        <v>#REF!</v>
      </c>
      <c r="Q40" s="412" t="e">
        <f t="shared" si="16"/>
        <v>#REF!</v>
      </c>
      <c r="R40" s="412" t="e">
        <f t="shared" si="16"/>
        <v>#REF!</v>
      </c>
      <c r="S40" s="412" t="e">
        <f t="shared" si="16"/>
        <v>#REF!</v>
      </c>
      <c r="T40" s="412" t="e">
        <f t="shared" si="16"/>
        <v>#REF!</v>
      </c>
      <c r="U40" s="412" t="e">
        <f t="shared" si="16"/>
        <v>#REF!</v>
      </c>
      <c r="V40" s="412" t="e">
        <f t="shared" si="16"/>
        <v>#REF!</v>
      </c>
      <c r="W40" s="412" t="e">
        <f t="shared" si="16"/>
        <v>#REF!</v>
      </c>
      <c r="X40" s="412" t="e">
        <f t="shared" si="16"/>
        <v>#REF!</v>
      </c>
      <c r="Y40" s="172"/>
    </row>
    <row r="41" spans="1:25" s="414" customFormat="1" hidden="1" x14ac:dyDescent="0.2">
      <c r="A41" s="411"/>
      <c r="B41" s="411"/>
      <c r="C41" s="411"/>
      <c r="D41" s="410"/>
      <c r="E41" s="416">
        <f>IF(AND((E14/12)&gt;$B$30,(E14/12)&lt;$B$32),((E14/12)-$B$30)*$C$31,IF((E14/12)&lt;$B$30,0,$B$31*$C$31))</f>
        <v>0</v>
      </c>
      <c r="F41" s="416">
        <f>IF(AND((F14/12)&gt;$B$30,(F14/12)&lt;$B$32),((F14/12)-$B$30)*(F$28),IF((F14/12)&lt;$B$30,0,$B$31*(F$28)))</f>
        <v>0</v>
      </c>
      <c r="G41" s="416">
        <f t="shared" ref="G41:X41" si="17">IF(AND((G14/12)&gt;$B$30,(G14/12)&lt;$B$32),((G14/12)-$B$30)*(G$28),IF((G14/12)&lt;$B$30,0,$B$31*(G$28)))</f>
        <v>0</v>
      </c>
      <c r="H41" s="416">
        <f t="shared" si="17"/>
        <v>0</v>
      </c>
      <c r="I41" s="416">
        <f t="shared" si="17"/>
        <v>0</v>
      </c>
      <c r="J41" s="416">
        <f t="shared" si="17"/>
        <v>0</v>
      </c>
      <c r="K41" s="416">
        <f t="shared" si="17"/>
        <v>0</v>
      </c>
      <c r="L41" s="416">
        <f t="shared" si="17"/>
        <v>0</v>
      </c>
      <c r="M41" s="416">
        <f t="shared" si="17"/>
        <v>0</v>
      </c>
      <c r="N41" s="416">
        <f t="shared" si="17"/>
        <v>0</v>
      </c>
      <c r="O41" s="416">
        <f t="shared" si="17"/>
        <v>0</v>
      </c>
      <c r="P41" s="416">
        <f t="shared" si="17"/>
        <v>0</v>
      </c>
      <c r="Q41" s="416">
        <f t="shared" si="17"/>
        <v>0</v>
      </c>
      <c r="R41" s="416">
        <f t="shared" si="17"/>
        <v>0</v>
      </c>
      <c r="S41" s="416">
        <f t="shared" si="17"/>
        <v>0</v>
      </c>
      <c r="T41" s="416">
        <f t="shared" si="17"/>
        <v>0</v>
      </c>
      <c r="U41" s="416">
        <f t="shared" si="17"/>
        <v>0</v>
      </c>
      <c r="V41" s="416">
        <f t="shared" si="17"/>
        <v>0</v>
      </c>
      <c r="W41" s="416">
        <f t="shared" si="17"/>
        <v>0</v>
      </c>
      <c r="X41" s="416">
        <f t="shared" si="17"/>
        <v>0</v>
      </c>
      <c r="Y41" s="172"/>
    </row>
    <row r="42" spans="1:25" s="414" customFormat="1" hidden="1" x14ac:dyDescent="0.2">
      <c r="A42" s="411"/>
      <c r="B42" s="411"/>
      <c r="C42" s="411"/>
      <c r="D42" s="410"/>
      <c r="E42" s="415">
        <f>IF((E14/12)&gt;=$B$32,((E14/12)-$B$32)*$C$32,0)</f>
        <v>0</v>
      </c>
      <c r="F42" s="417">
        <f>IF((F14/12)&gt;=$B$32,((F14/12)-$B$32)*F$29,0)</f>
        <v>0</v>
      </c>
      <c r="G42" s="417">
        <f t="shared" ref="G42:X42" si="18">IF((G14/12)&gt;=$B$32,((G14/12)-$B$32)*G$29,0)</f>
        <v>0</v>
      </c>
      <c r="H42" s="417">
        <f t="shared" si="18"/>
        <v>0</v>
      </c>
      <c r="I42" s="417">
        <f t="shared" si="18"/>
        <v>0</v>
      </c>
      <c r="J42" s="417">
        <f t="shared" si="18"/>
        <v>0</v>
      </c>
      <c r="K42" s="417">
        <f t="shared" si="18"/>
        <v>0</v>
      </c>
      <c r="L42" s="417">
        <f t="shared" si="18"/>
        <v>0</v>
      </c>
      <c r="M42" s="417">
        <f t="shared" si="18"/>
        <v>0</v>
      </c>
      <c r="N42" s="417">
        <f t="shared" si="18"/>
        <v>0</v>
      </c>
      <c r="O42" s="417">
        <f t="shared" si="18"/>
        <v>0</v>
      </c>
      <c r="P42" s="417">
        <f t="shared" si="18"/>
        <v>0</v>
      </c>
      <c r="Q42" s="417">
        <f t="shared" si="18"/>
        <v>0</v>
      </c>
      <c r="R42" s="417">
        <f t="shared" si="18"/>
        <v>0</v>
      </c>
      <c r="S42" s="417">
        <f t="shared" si="18"/>
        <v>0</v>
      </c>
      <c r="T42" s="417">
        <f t="shared" si="18"/>
        <v>0</v>
      </c>
      <c r="U42" s="417">
        <f t="shared" si="18"/>
        <v>0</v>
      </c>
      <c r="V42" s="417">
        <f t="shared" si="18"/>
        <v>0</v>
      </c>
      <c r="W42" s="417">
        <f t="shared" si="18"/>
        <v>0</v>
      </c>
      <c r="X42" s="417">
        <f t="shared" si="18"/>
        <v>0</v>
      </c>
      <c r="Y42" s="413"/>
    </row>
    <row r="43" spans="1:25" s="66" customFormat="1" x14ac:dyDescent="0.2">
      <c r="A43" s="129" t="s">
        <v>391</v>
      </c>
      <c r="B43" s="129"/>
      <c r="C43" s="129"/>
      <c r="D43" s="129"/>
      <c r="E43" s="141">
        <f>SUM(E40:E42)*12</f>
        <v>0</v>
      </c>
      <c r="F43" s="141" t="e">
        <f t="shared" ref="F43:X43" si="19">SUM(F40:F42)*12</f>
        <v>#REF!</v>
      </c>
      <c r="G43" s="141" t="e">
        <f t="shared" si="19"/>
        <v>#REF!</v>
      </c>
      <c r="H43" s="141" t="e">
        <f t="shared" si="19"/>
        <v>#REF!</v>
      </c>
      <c r="I43" s="141" t="e">
        <f t="shared" si="19"/>
        <v>#REF!</v>
      </c>
      <c r="J43" s="141" t="e">
        <f t="shared" si="19"/>
        <v>#REF!</v>
      </c>
      <c r="K43" s="141" t="e">
        <f t="shared" si="19"/>
        <v>#REF!</v>
      </c>
      <c r="L43" s="141" t="e">
        <f t="shared" si="19"/>
        <v>#REF!</v>
      </c>
      <c r="M43" s="141" t="e">
        <f t="shared" si="19"/>
        <v>#REF!</v>
      </c>
      <c r="N43" s="141" t="e">
        <f t="shared" si="19"/>
        <v>#REF!</v>
      </c>
      <c r="O43" s="141" t="e">
        <f t="shared" si="19"/>
        <v>#REF!</v>
      </c>
      <c r="P43" s="141" t="e">
        <f t="shared" si="19"/>
        <v>#REF!</v>
      </c>
      <c r="Q43" s="141" t="e">
        <f t="shared" si="19"/>
        <v>#REF!</v>
      </c>
      <c r="R43" s="141" t="e">
        <f t="shared" si="19"/>
        <v>#REF!</v>
      </c>
      <c r="S43" s="141" t="e">
        <f t="shared" si="19"/>
        <v>#REF!</v>
      </c>
      <c r="T43" s="141" t="e">
        <f t="shared" si="19"/>
        <v>#REF!</v>
      </c>
      <c r="U43" s="141" t="e">
        <f t="shared" si="19"/>
        <v>#REF!</v>
      </c>
      <c r="V43" s="141" t="e">
        <f t="shared" si="19"/>
        <v>#REF!</v>
      </c>
      <c r="W43" s="141" t="e">
        <f t="shared" si="19"/>
        <v>#REF!</v>
      </c>
      <c r="X43" s="141" t="e">
        <f t="shared" si="19"/>
        <v>#REF!</v>
      </c>
      <c r="Y43" s="131" t="e">
        <f>SUM(E43:X43)</f>
        <v>#REF!</v>
      </c>
    </row>
    <row r="44" spans="1:25" s="66" customFormat="1" x14ac:dyDescent="0.2">
      <c r="A44" s="129" t="s">
        <v>397</v>
      </c>
      <c r="B44" s="129"/>
      <c r="C44" s="129"/>
      <c r="D44" s="132"/>
      <c r="E44" s="141">
        <f>D11*12</f>
        <v>0</v>
      </c>
      <c r="F44" s="130">
        <f>E44</f>
        <v>0</v>
      </c>
      <c r="G44" s="130">
        <f t="shared" ref="G44:X44" si="20">F44</f>
        <v>0</v>
      </c>
      <c r="H44" s="130">
        <f t="shared" si="20"/>
        <v>0</v>
      </c>
      <c r="I44" s="130">
        <f t="shared" si="20"/>
        <v>0</v>
      </c>
      <c r="J44" s="130">
        <f t="shared" si="20"/>
        <v>0</v>
      </c>
      <c r="K44" s="130">
        <f t="shared" si="20"/>
        <v>0</v>
      </c>
      <c r="L44" s="130">
        <f t="shared" si="20"/>
        <v>0</v>
      </c>
      <c r="M44" s="130">
        <f t="shared" si="20"/>
        <v>0</v>
      </c>
      <c r="N44" s="130">
        <f t="shared" si="20"/>
        <v>0</v>
      </c>
      <c r="O44" s="130">
        <f t="shared" si="20"/>
        <v>0</v>
      </c>
      <c r="P44" s="130">
        <f t="shared" si="20"/>
        <v>0</v>
      </c>
      <c r="Q44" s="130">
        <f t="shared" si="20"/>
        <v>0</v>
      </c>
      <c r="R44" s="130">
        <f t="shared" si="20"/>
        <v>0</v>
      </c>
      <c r="S44" s="130">
        <f t="shared" si="20"/>
        <v>0</v>
      </c>
      <c r="T44" s="130">
        <f t="shared" si="20"/>
        <v>0</v>
      </c>
      <c r="U44" s="130">
        <f t="shared" si="20"/>
        <v>0</v>
      </c>
      <c r="V44" s="130">
        <f t="shared" si="20"/>
        <v>0</v>
      </c>
      <c r="W44" s="130">
        <f t="shared" si="20"/>
        <v>0</v>
      </c>
      <c r="X44" s="130">
        <f t="shared" si="20"/>
        <v>0</v>
      </c>
      <c r="Y44" s="131">
        <f t="shared" si="12"/>
        <v>0</v>
      </c>
    </row>
    <row r="45" spans="1:25" s="66" customFormat="1" x14ac:dyDescent="0.2">
      <c r="A45" s="129"/>
      <c r="B45" s="129"/>
      <c r="C45" s="129"/>
      <c r="D45" s="132"/>
      <c r="E45" s="141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1"/>
    </row>
    <row r="46" spans="1:25" s="151" customFormat="1" x14ac:dyDescent="0.2">
      <c r="A46" s="147" t="s">
        <v>246</v>
      </c>
      <c r="B46" s="147"/>
      <c r="C46" s="147"/>
      <c r="D46" s="178"/>
      <c r="E46" s="179">
        <f>IF(Eligibility!$J$12="HECO",SUM(E30:E32)*12,0)</f>
        <v>4055.5694159999998</v>
      </c>
      <c r="F46" s="179" t="e">
        <f>IF(Eligibility!$J$12="HECO",SUM(F30:F32)*12,0)</f>
        <v>#REF!</v>
      </c>
      <c r="G46" s="179" t="e">
        <f>IF(Eligibility!$J$12="HECO",SUM(G30:G32)*12,0)</f>
        <v>#REF!</v>
      </c>
      <c r="H46" s="179" t="e">
        <f>IF(Eligibility!$J$12="HECO",SUM(H30:H32)*12,0)</f>
        <v>#REF!</v>
      </c>
      <c r="I46" s="179" t="e">
        <f>IF(Eligibility!$J$12="HECO",SUM(I30:I32)*12,0)</f>
        <v>#REF!</v>
      </c>
      <c r="J46" s="179" t="e">
        <f>IF(Eligibility!$J$12="HECO",SUM(J30:J32)*12,0)</f>
        <v>#REF!</v>
      </c>
      <c r="K46" s="179" t="e">
        <f>IF(Eligibility!$J$12="HECO",SUM(K30:K32)*12,0)</f>
        <v>#REF!</v>
      </c>
      <c r="L46" s="179" t="e">
        <f>IF(Eligibility!$J$12="HECO",SUM(L30:L32)*12,0)</f>
        <v>#REF!</v>
      </c>
      <c r="M46" s="179" t="e">
        <f>IF(Eligibility!$J$12="HECO",SUM(M30:M32)*12,0)</f>
        <v>#REF!</v>
      </c>
      <c r="N46" s="179" t="e">
        <f>IF(Eligibility!$J$12="HECO",SUM(N30:N32)*12,0)</f>
        <v>#REF!</v>
      </c>
      <c r="O46" s="179" t="e">
        <f>IF(Eligibility!$J$12="HECO",SUM(O30:O32)*12,0)</f>
        <v>#REF!</v>
      </c>
      <c r="P46" s="179" t="e">
        <f>IF(Eligibility!$J$12="HECO",SUM(P30:P32)*12,0)</f>
        <v>#REF!</v>
      </c>
      <c r="Q46" s="179" t="e">
        <f>IF(Eligibility!$J$12="HECO",SUM(Q30:Q32)*12,0)</f>
        <v>#REF!</v>
      </c>
      <c r="R46" s="179" t="e">
        <f>IF(Eligibility!$J$12="HECO",SUM(R30:R32)*12,0)</f>
        <v>#REF!</v>
      </c>
      <c r="S46" s="179" t="e">
        <f>IF(Eligibility!$J$12="HECO",SUM(S30:S32)*12,0)</f>
        <v>#REF!</v>
      </c>
      <c r="T46" s="179" t="e">
        <f>IF(Eligibility!$J$12="HECO",SUM(T30:T32)*12,0)</f>
        <v>#REF!</v>
      </c>
      <c r="U46" s="179" t="e">
        <f>IF(Eligibility!$J$12="HECO",SUM(U30:U32)*12,0)</f>
        <v>#REF!</v>
      </c>
      <c r="V46" s="179" t="e">
        <f>IF(Eligibility!$J$12="HECO",SUM(V30:V32)*12,0)</f>
        <v>#REF!</v>
      </c>
      <c r="W46" s="179" t="e">
        <f>IF(Eligibility!$J$12="HECO",SUM(W30:W32)*12,0)</f>
        <v>#REF!</v>
      </c>
      <c r="X46" s="179" t="e">
        <f>IF(Eligibility!$J$12="HECO",SUM(X30:X32)*12,0)</f>
        <v>#REF!</v>
      </c>
      <c r="Y46" s="150" t="e">
        <f t="shared" si="12"/>
        <v>#REF!</v>
      </c>
    </row>
    <row r="47" spans="1:25" s="151" customFormat="1" ht="17" x14ac:dyDescent="0.3">
      <c r="A47" s="147" t="s">
        <v>362</v>
      </c>
      <c r="B47" s="147"/>
      <c r="C47" s="147"/>
      <c r="D47" s="381">
        <v>0.1507</v>
      </c>
      <c r="E47" s="293">
        <f>IF(Eligibility!$J$12="HECO",IF((AND(E17&gt;0,E23&gt;0)),IF(E23&lt;=E17,-E23*$D$47,-E17*$D$47),0),0)</f>
        <v>0</v>
      </c>
      <c r="F47" s="293">
        <f>IF(Eligibility!$J$12="HECO",IF((AND(F17&gt;0,F23&gt;0)),IF(F23&lt;=F17,-F23*$D$47,-F17*$D$47),0),0)</f>
        <v>0</v>
      </c>
      <c r="G47" s="293">
        <f>IF(Eligibility!$J$12="HECO",IF((AND(G17&gt;0,G23&gt;0)),IF(G23&lt;=G17,-G23*$D$47,-G17*$D$47),0),0)</f>
        <v>0</v>
      </c>
      <c r="H47" s="293">
        <f>IF(Eligibility!$J$12="HECO",IF((AND(H17&gt;0,H23&gt;0)),IF(H23&lt;=H17,-H23*$D$47,-H17*$D$47),0),0)</f>
        <v>0</v>
      </c>
      <c r="I47" s="293">
        <f>IF(Eligibility!$J$12="HECO",IF((AND(I17&gt;0,I23&gt;0)),IF(I23&lt;=I17,-I23*$D$47,-I17*$D$47),0),0)</f>
        <v>0</v>
      </c>
      <c r="J47" s="293">
        <f>IF(Eligibility!$J$12="HECO",IF((AND(J17&gt;0,J23&gt;0)),IF(J23&lt;=J17,-J23*$D$47,-J17*$D$47),0),0)</f>
        <v>0</v>
      </c>
      <c r="K47" s="293">
        <f>IF(Eligibility!$J$12="HECO",IF((AND(K17&gt;0,K23&gt;0)),IF(K23&lt;=K17,-K23*$D$47,-K17*$D$47),0),0)</f>
        <v>0</v>
      </c>
      <c r="L47" s="293">
        <f>IF(Eligibility!$J$12="HECO",IF((AND(L17&gt;0,L23&gt;0)),IF(L23&lt;=L17,-L23*$D$47,-L17*$D$47),0),0)</f>
        <v>0</v>
      </c>
      <c r="M47" s="293">
        <f>IF(Eligibility!$J$12="HECO",IF((AND(M17&gt;0,M23&gt;0)),IF(M23&lt;=M17,-M23*$D$47,-M17*$D$47),0),0)</f>
        <v>0</v>
      </c>
      <c r="N47" s="293">
        <f>IF(Eligibility!$J$12="HECO",IF((AND(N17&gt;0,N23&gt;0)),IF(N23&lt;=N17,-N23*$D$47,-N17*$D$47),0),0)</f>
        <v>0</v>
      </c>
      <c r="O47" s="293">
        <f>IF(Eligibility!$J$12="HECO",IF((AND(O17&gt;0,O23&gt;0)),IF(O23&lt;=O17,-O23*$D$47,-O17*$D$47),0),0)</f>
        <v>0</v>
      </c>
      <c r="P47" s="293">
        <f>IF(Eligibility!$J$12="HECO",IF((AND(P17&gt;0,P23&gt;0)),IF(P23&lt;=P17,-P23*$D$47,-P17*$D$47),0),0)</f>
        <v>0</v>
      </c>
      <c r="Q47" s="293">
        <f>IF(Eligibility!$J$12="HECO",IF((AND(Q17&gt;0,Q23&gt;0)),IF(Q23&lt;=Q17,-Q23*$D$47,-Q17*$D$47),0),0)</f>
        <v>0</v>
      </c>
      <c r="R47" s="293">
        <f>IF(Eligibility!$J$12="HECO",IF((AND(R17&gt;0,R23&gt;0)),IF(R23&lt;=R17,-R23*$D$47,-R17*$D$47),0),0)</f>
        <v>0</v>
      </c>
      <c r="S47" s="293">
        <f>IF(Eligibility!$J$12="HECO",IF((AND(S17&gt;0,S23&gt;0)),IF(S23&lt;=S17,-S23*$D$47,-S17*$D$47),0),0)</f>
        <v>0</v>
      </c>
      <c r="T47" s="293">
        <f>IF(Eligibility!$J$12="HECO",IF((AND(T17&gt;0,T23&gt;0)),IF(T23&lt;=T17,-T23*$D$47,-T17*$D$47),0),0)</f>
        <v>0</v>
      </c>
      <c r="U47" s="293">
        <f>IF(Eligibility!$J$12="HECO",IF((AND(U17&gt;0,U23&gt;0)),IF(U23&lt;=U17,-U23*$D$47,-U17*$D$47),0),0)</f>
        <v>0</v>
      </c>
      <c r="V47" s="293">
        <f>IF(Eligibility!$J$12="HECO",IF((AND(V17&gt;0,V23&gt;0)),IF(V23&lt;=V17,-V23*$D$47,-V17*$D$47),0),0)</f>
        <v>0</v>
      </c>
      <c r="W47" s="293">
        <f>IF(Eligibility!$J$12="HECO",IF((AND(W17&gt;0,W23&gt;0)),IF(W23&lt;=W17,-W23*$D$47,-W17*$D$47),0),0)</f>
        <v>0</v>
      </c>
      <c r="X47" s="293">
        <f>IF(Eligibility!$J$12="HECO",IF((AND(X17&gt;0,X23&gt;0)),IF(X23&lt;=X17,-X23*$D$47,-X17*$D$47),0),0)</f>
        <v>0</v>
      </c>
      <c r="Y47" s="294">
        <f t="shared" si="12"/>
        <v>0</v>
      </c>
    </row>
    <row r="48" spans="1:25" s="151" customFormat="1" x14ac:dyDescent="0.2">
      <c r="A48" s="147" t="s">
        <v>257</v>
      </c>
      <c r="B48" s="147"/>
      <c r="C48" s="147"/>
      <c r="D48" s="178"/>
      <c r="E48" s="179">
        <f>SUM(E46:E47)</f>
        <v>4055.5694159999998</v>
      </c>
      <c r="F48" s="179" t="e">
        <f t="shared" ref="F48:X48" si="21">SUM(F46:F47)</f>
        <v>#REF!</v>
      </c>
      <c r="G48" s="179" t="e">
        <f t="shared" si="21"/>
        <v>#REF!</v>
      </c>
      <c r="H48" s="179" t="e">
        <f t="shared" si="21"/>
        <v>#REF!</v>
      </c>
      <c r="I48" s="179" t="e">
        <f t="shared" si="21"/>
        <v>#REF!</v>
      </c>
      <c r="J48" s="179" t="e">
        <f t="shared" si="21"/>
        <v>#REF!</v>
      </c>
      <c r="K48" s="179" t="e">
        <f t="shared" si="21"/>
        <v>#REF!</v>
      </c>
      <c r="L48" s="179" t="e">
        <f t="shared" si="21"/>
        <v>#REF!</v>
      </c>
      <c r="M48" s="179" t="e">
        <f t="shared" si="21"/>
        <v>#REF!</v>
      </c>
      <c r="N48" s="179" t="e">
        <f t="shared" si="21"/>
        <v>#REF!</v>
      </c>
      <c r="O48" s="179" t="e">
        <f t="shared" si="21"/>
        <v>#REF!</v>
      </c>
      <c r="P48" s="179" t="e">
        <f t="shared" si="21"/>
        <v>#REF!</v>
      </c>
      <c r="Q48" s="179" t="e">
        <f t="shared" si="21"/>
        <v>#REF!</v>
      </c>
      <c r="R48" s="179" t="e">
        <f t="shared" si="21"/>
        <v>#REF!</v>
      </c>
      <c r="S48" s="179" t="e">
        <f t="shared" si="21"/>
        <v>#REF!</v>
      </c>
      <c r="T48" s="179" t="e">
        <f t="shared" si="21"/>
        <v>#REF!</v>
      </c>
      <c r="U48" s="179" t="e">
        <f t="shared" si="21"/>
        <v>#REF!</v>
      </c>
      <c r="V48" s="179" t="e">
        <f t="shared" si="21"/>
        <v>#REF!</v>
      </c>
      <c r="W48" s="179" t="e">
        <f t="shared" si="21"/>
        <v>#REF!</v>
      </c>
      <c r="X48" s="179" t="e">
        <f t="shared" si="21"/>
        <v>#REF!</v>
      </c>
      <c r="Y48" s="150" t="e">
        <f t="shared" si="12"/>
        <v>#REF!</v>
      </c>
    </row>
    <row r="49" spans="1:27" s="156" customFormat="1" x14ac:dyDescent="0.2">
      <c r="A49" s="152" t="s">
        <v>189</v>
      </c>
      <c r="B49" s="152"/>
      <c r="C49" s="152"/>
      <c r="D49" s="183"/>
      <c r="E49" s="184">
        <f>IF(Eligibility!$J$12="HELCO",SUM(E30:E32)*12,0)</f>
        <v>0</v>
      </c>
      <c r="F49" s="184">
        <f>IF(Eligibility!$J$12="HELCO",SUM(F30:F32)*12,0)</f>
        <v>0</v>
      </c>
      <c r="G49" s="184">
        <f>IF(Eligibility!$J$12="HELCO",SUM(G30:G32)*12,0)</f>
        <v>0</v>
      </c>
      <c r="H49" s="184">
        <f>IF(Eligibility!$J$12="HELCO",SUM(H30:H32)*12,0)</f>
        <v>0</v>
      </c>
      <c r="I49" s="184">
        <f>IF(Eligibility!$J$12="HELCO",SUM(I30:I32)*12,0)</f>
        <v>0</v>
      </c>
      <c r="J49" s="184">
        <f>IF(Eligibility!$J$12="HELCO",SUM(J30:J32)*12,0)</f>
        <v>0</v>
      </c>
      <c r="K49" s="184">
        <f>IF(Eligibility!$J$12="HELCO",SUM(K30:K32)*12,0)</f>
        <v>0</v>
      </c>
      <c r="L49" s="184">
        <f>IF(Eligibility!$J$12="HELCO",SUM(L30:L32)*12,0)</f>
        <v>0</v>
      </c>
      <c r="M49" s="184">
        <f>IF(Eligibility!$J$12="HELCO",SUM(M30:M32)*12,0)</f>
        <v>0</v>
      </c>
      <c r="N49" s="184">
        <f>IF(Eligibility!$J$12="HELCO",SUM(N30:N32)*12,0)</f>
        <v>0</v>
      </c>
      <c r="O49" s="184">
        <f>IF(Eligibility!$J$12="HELCO",SUM(O30:O32)*12,0)</f>
        <v>0</v>
      </c>
      <c r="P49" s="184">
        <f>IF(Eligibility!$J$12="HELCO",SUM(P30:P32)*12,0)</f>
        <v>0</v>
      </c>
      <c r="Q49" s="184">
        <f>IF(Eligibility!$J$12="HELCO",SUM(Q30:Q32)*12,0)</f>
        <v>0</v>
      </c>
      <c r="R49" s="184">
        <f>IF(Eligibility!$J$12="HELCO",SUM(R30:R32)*12,0)</f>
        <v>0</v>
      </c>
      <c r="S49" s="184">
        <f>IF(Eligibility!$J$12="HELCO",SUM(S30:S32)*12,0)</f>
        <v>0</v>
      </c>
      <c r="T49" s="184">
        <f>IF(Eligibility!$J$12="HELCO",SUM(T30:T32)*12,0)</f>
        <v>0</v>
      </c>
      <c r="U49" s="184">
        <f>IF(Eligibility!$J$12="HELCO",SUM(U30:U32)*12,0)</f>
        <v>0</v>
      </c>
      <c r="V49" s="184">
        <f>IF(Eligibility!$J$12="HELCO",SUM(V30:V32)*12,0)</f>
        <v>0</v>
      </c>
      <c r="W49" s="184">
        <f>IF(Eligibility!$J$12="HELCO",SUM(W30:W32)*12,0)</f>
        <v>0</v>
      </c>
      <c r="X49" s="184">
        <f>IF(Eligibility!$J$12="HELCO",SUM(X30:X32)*12,0)</f>
        <v>0</v>
      </c>
      <c r="Y49" s="155">
        <f t="shared" si="12"/>
        <v>0</v>
      </c>
    </row>
    <row r="50" spans="1:27" s="156" customFormat="1" ht="17" x14ac:dyDescent="0.3">
      <c r="A50" s="152" t="s">
        <v>362</v>
      </c>
      <c r="B50" s="152"/>
      <c r="C50" s="152"/>
      <c r="D50" s="382">
        <v>0.15140000000000001</v>
      </c>
      <c r="E50" s="295">
        <f>IF(Eligibility!$J$12="HELCO",-(E$22*$D$50),0)</f>
        <v>0</v>
      </c>
      <c r="F50" s="295">
        <f>IF(Eligibility!$J$12="HELCO",-(F$22*$D$50),0)</f>
        <v>0</v>
      </c>
      <c r="G50" s="295">
        <f>IF(Eligibility!$J$12="HELCO",-(G$22*$D$50),0)</f>
        <v>0</v>
      </c>
      <c r="H50" s="295">
        <f>IF(Eligibility!$J$12="HELCO",-(H$22*$D$50),0)</f>
        <v>0</v>
      </c>
      <c r="I50" s="295">
        <f>IF(Eligibility!$J$12="HELCO",-(I$22*$D$50),0)</f>
        <v>0</v>
      </c>
      <c r="J50" s="295">
        <f>IF(Eligibility!$J$12="HELCO",-(J$22*$D$50),0)</f>
        <v>0</v>
      </c>
      <c r="K50" s="295">
        <f>IF(Eligibility!$J$12="HELCO",-(K$22*$D$50),0)</f>
        <v>0</v>
      </c>
      <c r="L50" s="295">
        <f>IF(Eligibility!$J$12="HELCO",-(L$22*$D$50),0)</f>
        <v>0</v>
      </c>
      <c r="M50" s="295">
        <f>IF(Eligibility!$J$12="HELCO",-(M$22*$D$50),0)</f>
        <v>0</v>
      </c>
      <c r="N50" s="295">
        <f>IF(Eligibility!$J$12="HELCO",-(N$22*$D$50),0)</f>
        <v>0</v>
      </c>
      <c r="O50" s="295">
        <f>IF(Eligibility!$J$12="HELCO",-(O$22*$D$50),0)</f>
        <v>0</v>
      </c>
      <c r="P50" s="295">
        <f>IF(Eligibility!$J$12="HELCO",-(P$22*$D$50),0)</f>
        <v>0</v>
      </c>
      <c r="Q50" s="295">
        <f>IF(Eligibility!$J$12="HELCO",-(Q$22*$D$50),0)</f>
        <v>0</v>
      </c>
      <c r="R50" s="295">
        <f>IF(Eligibility!$J$12="HELCO",-(R$22*$D$50),0)</f>
        <v>0</v>
      </c>
      <c r="S50" s="295">
        <f>IF(Eligibility!$J$12="HELCO",-(S$22*$D$50),0)</f>
        <v>0</v>
      </c>
      <c r="T50" s="295">
        <f>IF(Eligibility!$J$12="HELCO",-(T$22*$D$50),0)</f>
        <v>0</v>
      </c>
      <c r="U50" s="295">
        <f>IF(Eligibility!$J$12="HELCO",-(U$22*$D$50),0)</f>
        <v>0</v>
      </c>
      <c r="V50" s="295">
        <f>IF(Eligibility!$J$12="HELCO",-(V$22*$D$50),0)</f>
        <v>0</v>
      </c>
      <c r="W50" s="295">
        <f>IF(Eligibility!$J$12="HELCO",-(W$22*$D$50),0)</f>
        <v>0</v>
      </c>
      <c r="X50" s="295">
        <f>IF(Eligibility!$J$12="HELCO",-(X$22*$D$50),0)</f>
        <v>0</v>
      </c>
      <c r="Y50" s="296">
        <f t="shared" si="12"/>
        <v>0</v>
      </c>
    </row>
    <row r="51" spans="1:27" s="156" customFormat="1" x14ac:dyDescent="0.2">
      <c r="A51" s="152" t="s">
        <v>259</v>
      </c>
      <c r="B51" s="152"/>
      <c r="C51" s="152"/>
      <c r="D51" s="183"/>
      <c r="E51" s="184">
        <f>SUM(E49:E50)</f>
        <v>0</v>
      </c>
      <c r="F51" s="184">
        <f t="shared" ref="F51:X51" si="22">SUM(F49:F50)</f>
        <v>0</v>
      </c>
      <c r="G51" s="184">
        <f t="shared" si="22"/>
        <v>0</v>
      </c>
      <c r="H51" s="184">
        <f t="shared" si="22"/>
        <v>0</v>
      </c>
      <c r="I51" s="184">
        <f t="shared" si="22"/>
        <v>0</v>
      </c>
      <c r="J51" s="184">
        <f t="shared" si="22"/>
        <v>0</v>
      </c>
      <c r="K51" s="184">
        <f t="shared" si="22"/>
        <v>0</v>
      </c>
      <c r="L51" s="184">
        <f t="shared" si="22"/>
        <v>0</v>
      </c>
      <c r="M51" s="184">
        <f t="shared" si="22"/>
        <v>0</v>
      </c>
      <c r="N51" s="184">
        <f t="shared" si="22"/>
        <v>0</v>
      </c>
      <c r="O51" s="184">
        <f t="shared" si="22"/>
        <v>0</v>
      </c>
      <c r="P51" s="184">
        <f t="shared" si="22"/>
        <v>0</v>
      </c>
      <c r="Q51" s="184">
        <f t="shared" si="22"/>
        <v>0</v>
      </c>
      <c r="R51" s="184">
        <f t="shared" si="22"/>
        <v>0</v>
      </c>
      <c r="S51" s="184">
        <f t="shared" si="22"/>
        <v>0</v>
      </c>
      <c r="T51" s="184">
        <f t="shared" si="22"/>
        <v>0</v>
      </c>
      <c r="U51" s="184">
        <f t="shared" si="22"/>
        <v>0</v>
      </c>
      <c r="V51" s="184">
        <f t="shared" si="22"/>
        <v>0</v>
      </c>
      <c r="W51" s="184">
        <f t="shared" si="22"/>
        <v>0</v>
      </c>
      <c r="X51" s="184">
        <f t="shared" si="22"/>
        <v>0</v>
      </c>
      <c r="Y51" s="155">
        <f t="shared" si="12"/>
        <v>0</v>
      </c>
    </row>
    <row r="52" spans="1:27" s="161" customFormat="1" x14ac:dyDescent="0.2">
      <c r="A52" s="157" t="s">
        <v>190</v>
      </c>
      <c r="B52" s="157"/>
      <c r="C52" s="157"/>
      <c r="D52" s="180"/>
      <c r="E52" s="181">
        <f>IF(Eligibility!$J$12="MECO - Maui",SUM(E30:E32)*12,0)</f>
        <v>0</v>
      </c>
      <c r="F52" s="181">
        <f>IF(Eligibility!$J$12="MECO - Maui",SUM(F30:F32)*12,0)</f>
        <v>0</v>
      </c>
      <c r="G52" s="181">
        <f>IF(Eligibility!$J$12="MECO - Maui",SUM(G30:G32)*12,0)</f>
        <v>0</v>
      </c>
      <c r="H52" s="181">
        <f>IF(Eligibility!$J$12="MECO - Maui",SUM(H30:H32)*12,0)</f>
        <v>0</v>
      </c>
      <c r="I52" s="181">
        <f>IF(Eligibility!$J$12="MECO - Maui",SUM(I30:I32)*12,0)</f>
        <v>0</v>
      </c>
      <c r="J52" s="181">
        <f>IF(Eligibility!$J$12="MECO - Maui",SUM(J30:J32)*12,0)</f>
        <v>0</v>
      </c>
      <c r="K52" s="181">
        <f>IF(Eligibility!$J$12="MECO - Maui",SUM(K30:K32)*12,0)</f>
        <v>0</v>
      </c>
      <c r="L52" s="181">
        <f>IF(Eligibility!$J$12="MECO - Maui",SUM(L30:L32)*12,0)</f>
        <v>0</v>
      </c>
      <c r="M52" s="181">
        <f>IF(Eligibility!$J$12="MECO - Maui",SUM(M30:M32)*12,0)</f>
        <v>0</v>
      </c>
      <c r="N52" s="181">
        <f>IF(Eligibility!$J$12="MECO - Maui",SUM(N30:N32)*12,0)</f>
        <v>0</v>
      </c>
      <c r="O52" s="181">
        <f>IF(Eligibility!$J$12="MECO - Maui",SUM(O30:O32)*12,0)</f>
        <v>0</v>
      </c>
      <c r="P52" s="181">
        <f>IF(Eligibility!$J$12="MECO - Maui",SUM(P30:P32)*12,0)</f>
        <v>0</v>
      </c>
      <c r="Q52" s="181">
        <f>IF(Eligibility!$J$12="MECO - Maui",SUM(Q30:Q32)*12,0)</f>
        <v>0</v>
      </c>
      <c r="R52" s="181">
        <f>IF(Eligibility!$J$12="MECO - Maui",SUM(R30:R32)*12,0)</f>
        <v>0</v>
      </c>
      <c r="S52" s="181">
        <f>IF(Eligibility!$J$12="MECO - Maui",SUM(S30:S32)*12,0)</f>
        <v>0</v>
      </c>
      <c r="T52" s="181">
        <f>IF(Eligibility!$J$12="MECO - Maui",SUM(T30:T32)*12,0)</f>
        <v>0</v>
      </c>
      <c r="U52" s="181">
        <f>IF(Eligibility!$J$12="MECO - Maui",SUM(U30:U32)*12,0)</f>
        <v>0</v>
      </c>
      <c r="V52" s="181">
        <f>IF(Eligibility!$J$12="MECO - Maui",SUM(V30:V32)*12,0)</f>
        <v>0</v>
      </c>
      <c r="W52" s="181">
        <f>IF(Eligibility!$J$12="MECO - Maui",SUM(W30:W32)*12,0)</f>
        <v>0</v>
      </c>
      <c r="X52" s="181">
        <f>IF(Eligibility!$J$12="MECO - Maui",SUM(X30:X32)*12,0)</f>
        <v>0</v>
      </c>
      <c r="Y52" s="160">
        <f t="shared" si="12"/>
        <v>0</v>
      </c>
    </row>
    <row r="53" spans="1:27" s="161" customFormat="1" ht="17" x14ac:dyDescent="0.3">
      <c r="A53" s="157" t="s">
        <v>363</v>
      </c>
      <c r="B53" s="157"/>
      <c r="C53" s="157"/>
      <c r="D53" s="383">
        <v>0.1716</v>
      </c>
      <c r="E53" s="297">
        <f>IF(Eligibility!$J$12="MECO - Maui",-(E$22*$D$53),0)</f>
        <v>0</v>
      </c>
      <c r="F53" s="297">
        <f>IF(Eligibility!$J$12="MECO - Maui",-(F$22*$D$53),0)</f>
        <v>0</v>
      </c>
      <c r="G53" s="297">
        <f>IF(Eligibility!$J$12="MECO - Maui",-(G$22*$D$53),0)</f>
        <v>0</v>
      </c>
      <c r="H53" s="297">
        <f>IF(Eligibility!$J$12="MECO - Maui",-(H$22*$D$53),0)</f>
        <v>0</v>
      </c>
      <c r="I53" s="297">
        <f>IF(Eligibility!$J$12="MECO - Maui",-(I$22*$D$53),0)</f>
        <v>0</v>
      </c>
      <c r="J53" s="297">
        <f>IF(Eligibility!$J$12="MECO - Maui",-(J$22*$D$53),0)</f>
        <v>0</v>
      </c>
      <c r="K53" s="297">
        <f>IF(Eligibility!$J$12="MECO - Maui",-(K$22*$D$53),0)</f>
        <v>0</v>
      </c>
      <c r="L53" s="297">
        <f>IF(Eligibility!$J$12="MECO - Maui",-(L$22*$D$53),0)</f>
        <v>0</v>
      </c>
      <c r="M53" s="297">
        <f>IF(Eligibility!$J$12="MECO - Maui",-(M$22*$D$53),0)</f>
        <v>0</v>
      </c>
      <c r="N53" s="297">
        <f>IF(Eligibility!$J$12="MECO - Maui",-(N$22*$D$53),0)</f>
        <v>0</v>
      </c>
      <c r="O53" s="297">
        <f>IF(Eligibility!$J$12="MECO - Maui",-(O$22*$D$53),0)</f>
        <v>0</v>
      </c>
      <c r="P53" s="297">
        <f>IF(Eligibility!$J$12="MECO - Maui",-(P$22*$D$53),0)</f>
        <v>0</v>
      </c>
      <c r="Q53" s="297">
        <f>IF(Eligibility!$J$12="MECO - Maui",-(Q$22*$D$53),0)</f>
        <v>0</v>
      </c>
      <c r="R53" s="297">
        <f>IF(Eligibility!$J$12="MECO - Maui",-(R$22*$D$53),0)</f>
        <v>0</v>
      </c>
      <c r="S53" s="297">
        <f>IF(Eligibility!$J$12="MECO - Maui",-(S$22*$D$53),0)</f>
        <v>0</v>
      </c>
      <c r="T53" s="297">
        <f>IF(Eligibility!$J$12="MECO - Maui",-(T$22*$D$53),0)</f>
        <v>0</v>
      </c>
      <c r="U53" s="297">
        <f>IF(Eligibility!$J$12="MECO - Maui",-(U$22*$D$53),0)</f>
        <v>0</v>
      </c>
      <c r="V53" s="297">
        <f>IF(Eligibility!$J$12="MECO - Maui",-(V$22*$D$53),0)</f>
        <v>0</v>
      </c>
      <c r="W53" s="297">
        <f>IF(Eligibility!$J$12="MECO - Maui",-(W$22*$D$53),0)</f>
        <v>0</v>
      </c>
      <c r="X53" s="297">
        <f>IF(Eligibility!$J$12="MECO - Maui",-(X$22*$D$53),0)</f>
        <v>0</v>
      </c>
      <c r="Y53" s="298">
        <f t="shared" si="12"/>
        <v>0</v>
      </c>
    </row>
    <row r="54" spans="1:27" s="161" customFormat="1" x14ac:dyDescent="0.2">
      <c r="A54" s="157" t="s">
        <v>258</v>
      </c>
      <c r="B54" s="157"/>
      <c r="C54" s="157"/>
      <c r="D54" s="180"/>
      <c r="E54" s="181">
        <f>SUM(E52:E53)</f>
        <v>0</v>
      </c>
      <c r="F54" s="181">
        <f t="shared" ref="F54:X54" si="23">SUM(F52:F53)</f>
        <v>0</v>
      </c>
      <c r="G54" s="181">
        <f t="shared" si="23"/>
        <v>0</v>
      </c>
      <c r="H54" s="181">
        <f t="shared" si="23"/>
        <v>0</v>
      </c>
      <c r="I54" s="181">
        <f t="shared" si="23"/>
        <v>0</v>
      </c>
      <c r="J54" s="181">
        <f t="shared" si="23"/>
        <v>0</v>
      </c>
      <c r="K54" s="181">
        <f t="shared" si="23"/>
        <v>0</v>
      </c>
      <c r="L54" s="181">
        <f t="shared" si="23"/>
        <v>0</v>
      </c>
      <c r="M54" s="181">
        <f t="shared" si="23"/>
        <v>0</v>
      </c>
      <c r="N54" s="181">
        <f t="shared" si="23"/>
        <v>0</v>
      </c>
      <c r="O54" s="181">
        <f t="shared" si="23"/>
        <v>0</v>
      </c>
      <c r="P54" s="181">
        <f t="shared" si="23"/>
        <v>0</v>
      </c>
      <c r="Q54" s="181">
        <f t="shared" si="23"/>
        <v>0</v>
      </c>
      <c r="R54" s="181">
        <f t="shared" si="23"/>
        <v>0</v>
      </c>
      <c r="S54" s="181">
        <f t="shared" si="23"/>
        <v>0</v>
      </c>
      <c r="T54" s="181">
        <f t="shared" si="23"/>
        <v>0</v>
      </c>
      <c r="U54" s="181">
        <f t="shared" si="23"/>
        <v>0</v>
      </c>
      <c r="V54" s="181">
        <f t="shared" si="23"/>
        <v>0</v>
      </c>
      <c r="W54" s="181">
        <f t="shared" si="23"/>
        <v>0</v>
      </c>
      <c r="X54" s="181">
        <f t="shared" si="23"/>
        <v>0</v>
      </c>
      <c r="Y54" s="160">
        <f t="shared" si="12"/>
        <v>0</v>
      </c>
    </row>
    <row r="55" spans="1:27" s="171" customFormat="1" x14ac:dyDescent="0.2">
      <c r="A55" s="167" t="s">
        <v>191</v>
      </c>
      <c r="B55" s="167"/>
      <c r="C55" s="167"/>
      <c r="D55" s="186"/>
      <c r="E55" s="187">
        <f>IF(Eligibility!$J$12="MECO - Lanai",SUM(E30:E32)*12,0)</f>
        <v>0</v>
      </c>
      <c r="F55" s="187">
        <f>IF(Eligibility!$J$12="MECO - Lanai",SUM(F30:F32)*12,0)</f>
        <v>0</v>
      </c>
      <c r="G55" s="187">
        <f>IF(Eligibility!$J$12="MECO - Lanai",SUM(G30:G32)*12,0)</f>
        <v>0</v>
      </c>
      <c r="H55" s="187">
        <f>IF(Eligibility!$J$12="MECO - Lanai",SUM(H30:H32)*12,0)</f>
        <v>0</v>
      </c>
      <c r="I55" s="187">
        <f>IF(Eligibility!$J$12="MECO - Lanai",SUM(I30:I32)*12,0)</f>
        <v>0</v>
      </c>
      <c r="J55" s="187">
        <f>IF(Eligibility!$J$12="MECO - Lanai",SUM(J30:J32)*12,0)</f>
        <v>0</v>
      </c>
      <c r="K55" s="187">
        <f>IF(Eligibility!$J$12="MECO - Lanai",SUM(K30:K32)*12,0)</f>
        <v>0</v>
      </c>
      <c r="L55" s="187">
        <f>IF(Eligibility!$J$12="MECO - Lanai",SUM(L30:L32)*12,0)</f>
        <v>0</v>
      </c>
      <c r="M55" s="187">
        <f>IF(Eligibility!$J$12="MECO - Lanai",SUM(M30:M32)*12,0)</f>
        <v>0</v>
      </c>
      <c r="N55" s="187">
        <f>IF(Eligibility!$J$12="MECO - Lanai",SUM(N30:N32)*12,0)</f>
        <v>0</v>
      </c>
      <c r="O55" s="187">
        <f>IF(Eligibility!$J$12="MECO - Lanai",SUM(O30:O32)*12,0)</f>
        <v>0</v>
      </c>
      <c r="P55" s="187">
        <f>IF(Eligibility!$J$12="MECO - Lanai",SUM(P30:P32)*12,0)</f>
        <v>0</v>
      </c>
      <c r="Q55" s="187">
        <f>IF(Eligibility!$J$12="MECO - Lanai",SUM(Q30:Q32)*12,0)</f>
        <v>0</v>
      </c>
      <c r="R55" s="187">
        <f>IF(Eligibility!$J$12="MECO - Lanai",SUM(R30:R32)*12,0)</f>
        <v>0</v>
      </c>
      <c r="S55" s="187">
        <f>IF(Eligibility!$J$12="MECO - Lanai",SUM(S30:S32)*12,0)</f>
        <v>0</v>
      </c>
      <c r="T55" s="187">
        <f>IF(Eligibility!$J$12="MECO - Lanai",SUM(T30:T32)*12,0)</f>
        <v>0</v>
      </c>
      <c r="U55" s="187">
        <f>IF(Eligibility!$J$12="MECO - Lanai",SUM(U30:U32)*12,0)</f>
        <v>0</v>
      </c>
      <c r="V55" s="187">
        <f>IF(Eligibility!$J$12="MECO - Lanai",SUM(V30:V32)*12,0)</f>
        <v>0</v>
      </c>
      <c r="W55" s="187">
        <f>IF(Eligibility!$J$12="MECO - Lanai",SUM(W30:W32)*12,0)</f>
        <v>0</v>
      </c>
      <c r="X55" s="187">
        <f>IF(Eligibility!$J$12="MECO - Lanai",SUM(X30:X32)*12,0)</f>
        <v>0</v>
      </c>
      <c r="Y55" s="170">
        <f t="shared" si="12"/>
        <v>0</v>
      </c>
    </row>
    <row r="56" spans="1:27" s="171" customFormat="1" ht="17" x14ac:dyDescent="0.3">
      <c r="A56" s="167" t="s">
        <v>363</v>
      </c>
      <c r="B56" s="167"/>
      <c r="C56" s="167"/>
      <c r="D56" s="384">
        <v>0.27879999999999999</v>
      </c>
      <c r="E56" s="299">
        <f>IF(Eligibility!$J$12="MECO - Lanai",-(E$22*$D$56),0)</f>
        <v>0</v>
      </c>
      <c r="F56" s="299">
        <f>IF(Eligibility!$J$12="MECO - Lanai",-(F$22*$D$56),0)</f>
        <v>0</v>
      </c>
      <c r="G56" s="299">
        <f>IF(Eligibility!$J$12="MECO - Lanai",-(G$22*$D$56),0)</f>
        <v>0</v>
      </c>
      <c r="H56" s="299">
        <f>IF(Eligibility!$J$12="MECO - Lanai",-(H$22*$D$56),0)</f>
        <v>0</v>
      </c>
      <c r="I56" s="299">
        <f>IF(Eligibility!$J$12="MECO - Lanai",-(I$22*$D$56),0)</f>
        <v>0</v>
      </c>
      <c r="J56" s="299">
        <f>IF(Eligibility!$J$12="MECO - Lanai",-(J$22*$D$56),0)</f>
        <v>0</v>
      </c>
      <c r="K56" s="299">
        <f>IF(Eligibility!$J$12="MECO - Lanai",-(K$22*$D$56),0)</f>
        <v>0</v>
      </c>
      <c r="L56" s="299">
        <f>IF(Eligibility!$J$12="MECO - Lanai",-(L$22*$D$56),0)</f>
        <v>0</v>
      </c>
      <c r="M56" s="299">
        <f>IF(Eligibility!$J$12="MECO - Lanai",-(M$22*$D$56),0)</f>
        <v>0</v>
      </c>
      <c r="N56" s="299">
        <f>IF(Eligibility!$J$12="MECO - Lanai",-(N$22*$D$56),0)</f>
        <v>0</v>
      </c>
      <c r="O56" s="299">
        <f>IF(Eligibility!$J$12="MECO - Lanai",-(O$22*$D$56),0)</f>
        <v>0</v>
      </c>
      <c r="P56" s="299">
        <f>IF(Eligibility!$J$12="MECO - Lanai",-(P$22*$D$56),0)</f>
        <v>0</v>
      </c>
      <c r="Q56" s="299">
        <f>IF(Eligibility!$J$12="MECO - Lanai",-(Q$22*$D$56),0)</f>
        <v>0</v>
      </c>
      <c r="R56" s="299">
        <f>IF(Eligibility!$J$12="MECO - Lanai",-(R$22*$D$56),0)</f>
        <v>0</v>
      </c>
      <c r="S56" s="299">
        <f>IF(Eligibility!$J$12="MECO - Lanai",-(S$22*$D$56),0)</f>
        <v>0</v>
      </c>
      <c r="T56" s="299">
        <f>IF(Eligibility!$J$12="MECO - Lanai",-(T$22*$D$56),0)</f>
        <v>0</v>
      </c>
      <c r="U56" s="299">
        <f>IF(Eligibility!$J$12="MECO - Lanai",-(U$22*$D$56),0)</f>
        <v>0</v>
      </c>
      <c r="V56" s="299">
        <f>IF(Eligibility!$J$12="MECO - Lanai",-(V$22*$D$56),0)</f>
        <v>0</v>
      </c>
      <c r="W56" s="299">
        <f>IF(Eligibility!$J$12="MECO - Lanai",-(W$22*$D$56),0)</f>
        <v>0</v>
      </c>
      <c r="X56" s="299">
        <f>IF(Eligibility!$J$12="MECO - Lanai",-(X$22*$D$56),0)</f>
        <v>0</v>
      </c>
      <c r="Y56" s="300">
        <f t="shared" si="12"/>
        <v>0</v>
      </c>
    </row>
    <row r="57" spans="1:27" s="171" customFormat="1" x14ac:dyDescent="0.2">
      <c r="A57" s="167" t="s">
        <v>260</v>
      </c>
      <c r="B57" s="167"/>
      <c r="C57" s="167"/>
      <c r="D57" s="186"/>
      <c r="E57" s="187">
        <f>SUM(E55:E56)</f>
        <v>0</v>
      </c>
      <c r="F57" s="187">
        <f t="shared" ref="F57:X57" si="24">SUM(F55:F56)</f>
        <v>0</v>
      </c>
      <c r="G57" s="187">
        <f t="shared" si="24"/>
        <v>0</v>
      </c>
      <c r="H57" s="187">
        <f t="shared" si="24"/>
        <v>0</v>
      </c>
      <c r="I57" s="187">
        <f t="shared" si="24"/>
        <v>0</v>
      </c>
      <c r="J57" s="187">
        <f t="shared" si="24"/>
        <v>0</v>
      </c>
      <c r="K57" s="187">
        <f t="shared" si="24"/>
        <v>0</v>
      </c>
      <c r="L57" s="187">
        <f t="shared" si="24"/>
        <v>0</v>
      </c>
      <c r="M57" s="187">
        <f t="shared" si="24"/>
        <v>0</v>
      </c>
      <c r="N57" s="187">
        <f t="shared" si="24"/>
        <v>0</v>
      </c>
      <c r="O57" s="187">
        <f t="shared" si="24"/>
        <v>0</v>
      </c>
      <c r="P57" s="187">
        <f t="shared" si="24"/>
        <v>0</v>
      </c>
      <c r="Q57" s="187">
        <f t="shared" si="24"/>
        <v>0</v>
      </c>
      <c r="R57" s="187">
        <f t="shared" si="24"/>
        <v>0</v>
      </c>
      <c r="S57" s="187">
        <f t="shared" si="24"/>
        <v>0</v>
      </c>
      <c r="T57" s="187">
        <f t="shared" si="24"/>
        <v>0</v>
      </c>
      <c r="U57" s="187">
        <f t="shared" si="24"/>
        <v>0</v>
      </c>
      <c r="V57" s="187">
        <f t="shared" si="24"/>
        <v>0</v>
      </c>
      <c r="W57" s="187">
        <f t="shared" si="24"/>
        <v>0</v>
      </c>
      <c r="X57" s="187">
        <f t="shared" si="24"/>
        <v>0</v>
      </c>
      <c r="Y57" s="170">
        <f t="shared" si="12"/>
        <v>0</v>
      </c>
    </row>
    <row r="58" spans="1:27" s="166" customFormat="1" x14ac:dyDescent="0.2">
      <c r="A58" s="162" t="s">
        <v>192</v>
      </c>
      <c r="B58" s="162"/>
      <c r="C58" s="162"/>
      <c r="D58" s="189"/>
      <c r="E58" s="190">
        <f>IF(Eligibility!$J$12="MECO - Molokai",SUM(E30:E32)*12,0)</f>
        <v>0</v>
      </c>
      <c r="F58" s="190">
        <f>IF(Eligibility!$J$12="MECO - Molokai",SUM(F30:F32)*12,0)</f>
        <v>0</v>
      </c>
      <c r="G58" s="190">
        <f>IF(Eligibility!$J$12="MECO - Molokai",SUM(G30:G32)*12,0)</f>
        <v>0</v>
      </c>
      <c r="H58" s="190">
        <f>IF(Eligibility!$J$12="MECO - Molokai",SUM(H30:H32)*12,0)</f>
        <v>0</v>
      </c>
      <c r="I58" s="190">
        <f>IF(Eligibility!$J$12="MECO - Molokai",SUM(I30:I32)*12,0)</f>
        <v>0</v>
      </c>
      <c r="J58" s="190">
        <f>IF(Eligibility!$J$12="MECO - Molokai",SUM(J30:J32)*12,0)</f>
        <v>0</v>
      </c>
      <c r="K58" s="190">
        <f>IF(Eligibility!$J$12="MECO - Molokai",SUM(K30:K32)*12,0)</f>
        <v>0</v>
      </c>
      <c r="L58" s="190">
        <f>IF(Eligibility!$J$12="MECO - Molokai",SUM(L30:L32)*12,0)</f>
        <v>0</v>
      </c>
      <c r="M58" s="190">
        <f>IF(Eligibility!$J$12="MECO - Molokai",SUM(M30:M32)*12,0)</f>
        <v>0</v>
      </c>
      <c r="N58" s="190">
        <f>IF(Eligibility!$J$12="MECO - Molokai",SUM(N30:N32)*12,0)</f>
        <v>0</v>
      </c>
      <c r="O58" s="190">
        <f>IF(Eligibility!$J$12="MECO - Molokai",SUM(O30:O32)*12,0)</f>
        <v>0</v>
      </c>
      <c r="P58" s="190">
        <f>IF(Eligibility!$J$12="MECO - Molokai",SUM(P30:P32)*12,0)</f>
        <v>0</v>
      </c>
      <c r="Q58" s="190">
        <f>IF(Eligibility!$J$12="MECO - Molokai",SUM(Q30:Q32)*12,0)</f>
        <v>0</v>
      </c>
      <c r="R58" s="190">
        <f>IF(Eligibility!$J$12="MECO - Molokai",SUM(R30:R32)*12,0)</f>
        <v>0</v>
      </c>
      <c r="S58" s="190">
        <f>IF(Eligibility!$J$12="MECO - Molokai",SUM(S30:S32)*12,0)</f>
        <v>0</v>
      </c>
      <c r="T58" s="190">
        <f>IF(Eligibility!$J$12="MECO - Molokai",SUM(T30:T32)*12,0)</f>
        <v>0</v>
      </c>
      <c r="U58" s="190">
        <f>IF(Eligibility!$J$12="MECO - Molokai",SUM(U30:U32)*12,0)</f>
        <v>0</v>
      </c>
      <c r="V58" s="190">
        <f>IF(Eligibility!$J$12="MECO - Molokai",SUM(V30:V32)*12,0)</f>
        <v>0</v>
      </c>
      <c r="W58" s="190">
        <f>IF(Eligibility!$J$12="MECO - Molokai",SUM(W30:W32)*12,0)</f>
        <v>0</v>
      </c>
      <c r="X58" s="190">
        <f>IF(Eligibility!$J$12="MECO - Molokai",SUM(X30:X32)*12,0)</f>
        <v>0</v>
      </c>
      <c r="Y58" s="165">
        <f t="shared" si="12"/>
        <v>0</v>
      </c>
    </row>
    <row r="59" spans="1:27" s="166" customFormat="1" ht="17" x14ac:dyDescent="0.3">
      <c r="A59" s="162" t="s">
        <v>363</v>
      </c>
      <c r="B59" s="162"/>
      <c r="C59" s="162"/>
      <c r="D59" s="385">
        <v>0.2407</v>
      </c>
      <c r="E59" s="301">
        <f>IF(Eligibility!$J$12="MECO - Molokai",-(E$22*$D$59),0)</f>
        <v>0</v>
      </c>
      <c r="F59" s="301">
        <f>IF(Eligibility!$J$12="MECO - Molokai",-(F$22*$D$59),0)</f>
        <v>0</v>
      </c>
      <c r="G59" s="301">
        <f>IF(Eligibility!$J$12="MECO - Molokai",-(G$22*$D$59),0)</f>
        <v>0</v>
      </c>
      <c r="H59" s="301">
        <f>IF(Eligibility!$J$12="MECO - Molokai",-(H$22*$D$59),0)</f>
        <v>0</v>
      </c>
      <c r="I59" s="301">
        <f>IF(Eligibility!$J$12="MECO - Molokai",-(I$22*$D$59),0)</f>
        <v>0</v>
      </c>
      <c r="J59" s="301">
        <f>IF(Eligibility!$J$12="MECO - Molokai",-(J$22*$D$59),0)</f>
        <v>0</v>
      </c>
      <c r="K59" s="301">
        <f>IF(Eligibility!$J$12="MECO - Molokai",-(K$22*$D$59),0)</f>
        <v>0</v>
      </c>
      <c r="L59" s="301">
        <f>IF(Eligibility!$J$12="MECO - Molokai",-(L$22*$D$59),0)</f>
        <v>0</v>
      </c>
      <c r="M59" s="301">
        <f>IF(Eligibility!$J$12="MECO - Molokai",-(M$22*$D$59),0)</f>
        <v>0</v>
      </c>
      <c r="N59" s="301">
        <f>IF(Eligibility!$J$12="MECO - Molokai",-(N$22*$D$59),0)</f>
        <v>0</v>
      </c>
      <c r="O59" s="301">
        <f>IF(Eligibility!$J$12="MECO - Molokai",-(O$22*$D$59),0)</f>
        <v>0</v>
      </c>
      <c r="P59" s="301">
        <f>IF(Eligibility!$J$12="MECO - Molokai",-(P$22*$D$59),0)</f>
        <v>0</v>
      </c>
      <c r="Q59" s="301">
        <f>IF(Eligibility!$J$12="MECO - Molokai",-(Q$22*$D$59),0)</f>
        <v>0</v>
      </c>
      <c r="R59" s="301">
        <f>IF(Eligibility!$J$12="MECO - Molokai",-(R$22*$D$59),0)</f>
        <v>0</v>
      </c>
      <c r="S59" s="301">
        <f>IF(Eligibility!$J$12="MECO - Molokai",-(S$22*$D$59),0)</f>
        <v>0</v>
      </c>
      <c r="T59" s="301">
        <f>IF(Eligibility!$J$12="MECO - Molokai",-(T$22*$D$59),0)</f>
        <v>0</v>
      </c>
      <c r="U59" s="301">
        <f>IF(Eligibility!$J$12="MECO - Molokai",-(U$22*$D$59),0)</f>
        <v>0</v>
      </c>
      <c r="V59" s="301">
        <f>IF(Eligibility!$J$12="MECO - Molokai",-(V$22*$D$59),0)</f>
        <v>0</v>
      </c>
      <c r="W59" s="301">
        <f>IF(Eligibility!$J$12="MECO - Molokai",-(W$22*$D$59),0)</f>
        <v>0</v>
      </c>
      <c r="X59" s="301">
        <f>IF(Eligibility!$J$12="MECO - Molokai",-(X$22*$D$59),0)</f>
        <v>0</v>
      </c>
      <c r="Y59" s="302">
        <f t="shared" si="12"/>
        <v>0</v>
      </c>
    </row>
    <row r="60" spans="1:27" s="166" customFormat="1" x14ac:dyDescent="0.2">
      <c r="A60" s="162" t="s">
        <v>261</v>
      </c>
      <c r="B60" s="162"/>
      <c r="C60" s="162"/>
      <c r="D60" s="189"/>
      <c r="E60" s="190">
        <f>SUM(E58:E59)</f>
        <v>0</v>
      </c>
      <c r="F60" s="190">
        <f t="shared" ref="F60:X60" si="25">SUM(F58:F59)</f>
        <v>0</v>
      </c>
      <c r="G60" s="190">
        <f t="shared" si="25"/>
        <v>0</v>
      </c>
      <c r="H60" s="190">
        <f t="shared" si="25"/>
        <v>0</v>
      </c>
      <c r="I60" s="190">
        <f t="shared" si="25"/>
        <v>0</v>
      </c>
      <c r="J60" s="190">
        <f t="shared" si="25"/>
        <v>0</v>
      </c>
      <c r="K60" s="190">
        <f t="shared" si="25"/>
        <v>0</v>
      </c>
      <c r="L60" s="190">
        <f t="shared" si="25"/>
        <v>0</v>
      </c>
      <c r="M60" s="190">
        <f t="shared" si="25"/>
        <v>0</v>
      </c>
      <c r="N60" s="190">
        <f t="shared" si="25"/>
        <v>0</v>
      </c>
      <c r="O60" s="190">
        <f t="shared" si="25"/>
        <v>0</v>
      </c>
      <c r="P60" s="190">
        <f t="shared" si="25"/>
        <v>0</v>
      </c>
      <c r="Q60" s="190">
        <f t="shared" si="25"/>
        <v>0</v>
      </c>
      <c r="R60" s="190">
        <f t="shared" si="25"/>
        <v>0</v>
      </c>
      <c r="S60" s="190">
        <f t="shared" si="25"/>
        <v>0</v>
      </c>
      <c r="T60" s="190">
        <f t="shared" si="25"/>
        <v>0</v>
      </c>
      <c r="U60" s="190">
        <f t="shared" si="25"/>
        <v>0</v>
      </c>
      <c r="V60" s="190">
        <f t="shared" si="25"/>
        <v>0</v>
      </c>
      <c r="W60" s="190">
        <f t="shared" si="25"/>
        <v>0</v>
      </c>
      <c r="X60" s="190">
        <f t="shared" si="25"/>
        <v>0</v>
      </c>
      <c r="Y60" s="165">
        <f t="shared" si="12"/>
        <v>0</v>
      </c>
    </row>
    <row r="61" spans="1:27" s="68" customFormat="1" x14ac:dyDescent="0.2">
      <c r="A61" s="133"/>
      <c r="B61" s="133"/>
      <c r="C61" s="133"/>
      <c r="D61" s="144"/>
      <c r="E61" s="14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72"/>
    </row>
    <row r="62" spans="1:27" s="151" customFormat="1" x14ac:dyDescent="0.2">
      <c r="A62" s="147" t="s">
        <v>193</v>
      </c>
      <c r="B62" s="147"/>
      <c r="C62" s="147"/>
      <c r="D62" s="193"/>
      <c r="E62" s="148">
        <f>IF(Eligibility!$J$12="HECO",E$44+E48,0)</f>
        <v>4055.5694159999998</v>
      </c>
      <c r="F62" s="148" t="e">
        <f>IF(Eligibility!$J$12="HECO",F$44+F48,0)</f>
        <v>#REF!</v>
      </c>
      <c r="G62" s="148" t="e">
        <f>IF(Eligibility!$J$12="HECO",G$44+G48,0)</f>
        <v>#REF!</v>
      </c>
      <c r="H62" s="148" t="e">
        <f>IF(Eligibility!$J$12="HECO",H$44+H48,0)</f>
        <v>#REF!</v>
      </c>
      <c r="I62" s="148" t="e">
        <f>IF(Eligibility!$J$12="HECO",I$44+I48,0)</f>
        <v>#REF!</v>
      </c>
      <c r="J62" s="148" t="e">
        <f>IF(Eligibility!$J$12="HECO",J$44+J48,0)</f>
        <v>#REF!</v>
      </c>
      <c r="K62" s="148" t="e">
        <f>IF(Eligibility!$J$12="HECO",K$44+K48,0)</f>
        <v>#REF!</v>
      </c>
      <c r="L62" s="148" t="e">
        <f>IF(Eligibility!$J$12="HECO",L$44+L48,0)</f>
        <v>#REF!</v>
      </c>
      <c r="M62" s="148" t="e">
        <f>IF(Eligibility!$J$12="HECO",M$44+M48,0)</f>
        <v>#REF!</v>
      </c>
      <c r="N62" s="148" t="e">
        <f>IF(Eligibility!$J$12="HECO",N$44+N48,0)</f>
        <v>#REF!</v>
      </c>
      <c r="O62" s="148" t="e">
        <f>IF(Eligibility!$J$12="HECO",O$44+O48,0)</f>
        <v>#REF!</v>
      </c>
      <c r="P62" s="148" t="e">
        <f>IF(Eligibility!$J$12="HECO",P$44+P48,0)</f>
        <v>#REF!</v>
      </c>
      <c r="Q62" s="148" t="e">
        <f>IF(Eligibility!$J$12="HECO",Q$44+Q48,0)</f>
        <v>#REF!</v>
      </c>
      <c r="R62" s="148" t="e">
        <f>IF(Eligibility!$J$12="HECO",R$44+R48,0)</f>
        <v>#REF!</v>
      </c>
      <c r="S62" s="148" t="e">
        <f>IF(Eligibility!$J$12="HECO",S$44+S48,0)</f>
        <v>#REF!</v>
      </c>
      <c r="T62" s="148" t="e">
        <f>IF(Eligibility!$J$12="HECO",T$44+T48,0)</f>
        <v>#REF!</v>
      </c>
      <c r="U62" s="148" t="e">
        <f>IF(Eligibility!$J$12="HECO",U$44+U48,0)</f>
        <v>#REF!</v>
      </c>
      <c r="V62" s="148" t="e">
        <f>IF(Eligibility!$J$12="HECO",V$44+V48,0)</f>
        <v>#REF!</v>
      </c>
      <c r="W62" s="148" t="e">
        <f>IF(Eligibility!$J$12="HECO",W$44+W48,0)</f>
        <v>#REF!</v>
      </c>
      <c r="X62" s="148" t="e">
        <f>IF(Eligibility!$J$12="HECO",X$44+X48,0)</f>
        <v>#REF!</v>
      </c>
      <c r="Y62" s="150" t="e">
        <f>SUM(E62:X62)</f>
        <v>#REF!</v>
      </c>
      <c r="AA62" s="227"/>
    </row>
    <row r="63" spans="1:27" s="156" customFormat="1" x14ac:dyDescent="0.2">
      <c r="A63" s="152" t="s">
        <v>194</v>
      </c>
      <c r="B63" s="152"/>
      <c r="C63" s="152"/>
      <c r="D63" s="196"/>
      <c r="E63" s="153">
        <f>IF(Eligibility!$J$12="HELCO",E$44+E51,0)</f>
        <v>0</v>
      </c>
      <c r="F63" s="153">
        <f>IF(Eligibility!$J$12="HELCO",F$44+F51,0)</f>
        <v>0</v>
      </c>
      <c r="G63" s="153">
        <f>IF(Eligibility!$J$12="HELCO",G$44+G51,0)</f>
        <v>0</v>
      </c>
      <c r="H63" s="153">
        <f>IF(Eligibility!$J$12="HELCO",H$44+H51,0)</f>
        <v>0</v>
      </c>
      <c r="I63" s="153">
        <f>IF(Eligibility!$J$12="HELCO",I$44+I51,0)</f>
        <v>0</v>
      </c>
      <c r="J63" s="153">
        <f>IF(Eligibility!$J$12="HELCO",J$44+J51,0)</f>
        <v>0</v>
      </c>
      <c r="K63" s="153">
        <f>IF(Eligibility!$J$12="HELCO",K$44+K51,0)</f>
        <v>0</v>
      </c>
      <c r="L63" s="153">
        <f>IF(Eligibility!$J$12="HELCO",L$44+L51,0)</f>
        <v>0</v>
      </c>
      <c r="M63" s="153">
        <f>IF(Eligibility!$J$12="HELCO",M$44+M51,0)</f>
        <v>0</v>
      </c>
      <c r="N63" s="153">
        <f>IF(Eligibility!$J$12="HELCO",N$44+N51,0)</f>
        <v>0</v>
      </c>
      <c r="O63" s="153">
        <f>IF(Eligibility!$J$12="HELCO",O$44+O51,0)</f>
        <v>0</v>
      </c>
      <c r="P63" s="153">
        <f>IF(Eligibility!$J$12="HELCO",P$44+P51,0)</f>
        <v>0</v>
      </c>
      <c r="Q63" s="153">
        <f>IF(Eligibility!$J$12="HELCO",Q$44+Q51,0)</f>
        <v>0</v>
      </c>
      <c r="R63" s="153">
        <f>IF(Eligibility!$J$12="HELCO",R$44+R51,0)</f>
        <v>0</v>
      </c>
      <c r="S63" s="153">
        <f>IF(Eligibility!$J$12="HELCO",S$44+S51,0)</f>
        <v>0</v>
      </c>
      <c r="T63" s="153">
        <f>IF(Eligibility!$J$12="HELCO",T$44+T51,0)</f>
        <v>0</v>
      </c>
      <c r="U63" s="153">
        <f>IF(Eligibility!$J$12="HELCO",U$44+U51,0)</f>
        <v>0</v>
      </c>
      <c r="V63" s="153">
        <f>IF(Eligibility!$J$12="HELCO",V$44+V51,0)</f>
        <v>0</v>
      </c>
      <c r="W63" s="153">
        <f>IF(Eligibility!$J$12="HELCO",W$44+W51,0)</f>
        <v>0</v>
      </c>
      <c r="X63" s="153">
        <f>IF(Eligibility!$J$12="HELCO",X$44+X51,0)</f>
        <v>0</v>
      </c>
      <c r="Y63" s="155">
        <f t="shared" ref="Y63:Y66" si="26">SUM(E63:X63)</f>
        <v>0</v>
      </c>
      <c r="AA63" s="303"/>
    </row>
    <row r="64" spans="1:27" s="161" customFormat="1" x14ac:dyDescent="0.2">
      <c r="A64" s="157" t="s">
        <v>195</v>
      </c>
      <c r="B64" s="157"/>
      <c r="C64" s="157"/>
      <c r="D64" s="195"/>
      <c r="E64" s="158">
        <f>IF(Eligibility!$J$12="MECO - Maui",E$44+E54,0)</f>
        <v>0</v>
      </c>
      <c r="F64" s="158">
        <f>IF(Eligibility!$J$12="MECO - Maui",F$44+F54,0)</f>
        <v>0</v>
      </c>
      <c r="G64" s="158">
        <f>IF(Eligibility!$J$12="MECO - Maui",G$44+G54,0)</f>
        <v>0</v>
      </c>
      <c r="H64" s="158">
        <f>IF(Eligibility!$J$12="MECO - Maui",H$44+H54,0)</f>
        <v>0</v>
      </c>
      <c r="I64" s="158">
        <f>IF(Eligibility!$J$12="MECO - Maui",I$44+I54,0)</f>
        <v>0</v>
      </c>
      <c r="J64" s="158">
        <f>IF(Eligibility!$J$12="MECO - Maui",J$44+J54,0)</f>
        <v>0</v>
      </c>
      <c r="K64" s="158">
        <f>IF(Eligibility!$J$12="MECO - Maui",K$44+K54,0)</f>
        <v>0</v>
      </c>
      <c r="L64" s="158">
        <f>IF(Eligibility!$J$12="MECO - Maui",L$44+L54,0)</f>
        <v>0</v>
      </c>
      <c r="M64" s="158">
        <f>IF(Eligibility!$J$12="MECO - Maui",M$44+M54,0)</f>
        <v>0</v>
      </c>
      <c r="N64" s="158">
        <f>IF(Eligibility!$J$12="MECO - Maui",N$44+N54,0)</f>
        <v>0</v>
      </c>
      <c r="O64" s="158">
        <f>IF(Eligibility!$J$12="MECO - Maui",O$44+O54,0)</f>
        <v>0</v>
      </c>
      <c r="P64" s="158">
        <f>IF(Eligibility!$J$12="MECO - Maui",P$44+P54,0)</f>
        <v>0</v>
      </c>
      <c r="Q64" s="158">
        <f>IF(Eligibility!$J$12="MECO - Maui",Q$44+Q54,0)</f>
        <v>0</v>
      </c>
      <c r="R64" s="158">
        <f>IF(Eligibility!$J$12="MECO - Maui",R$44+R54,0)</f>
        <v>0</v>
      </c>
      <c r="S64" s="158">
        <f>IF(Eligibility!$J$12="MECO - Maui",S$44+S54,0)</f>
        <v>0</v>
      </c>
      <c r="T64" s="158">
        <f>IF(Eligibility!$J$12="MECO - Maui",T$44+T54,0)</f>
        <v>0</v>
      </c>
      <c r="U64" s="158">
        <f>IF(Eligibility!$J$12="MECO - Maui",U$44+U54,0)</f>
        <v>0</v>
      </c>
      <c r="V64" s="158">
        <f>IF(Eligibility!$J$12="MECO - Maui",V$44+V54,0)</f>
        <v>0</v>
      </c>
      <c r="W64" s="158">
        <f>IF(Eligibility!$J$12="MECO - Maui",W$44+W54,0)</f>
        <v>0</v>
      </c>
      <c r="X64" s="158">
        <f>IF(Eligibility!$J$12="MECO - Maui",X$44+X54,0)</f>
        <v>0</v>
      </c>
      <c r="Y64" s="160">
        <f t="shared" si="26"/>
        <v>0</v>
      </c>
      <c r="AA64" s="304"/>
    </row>
    <row r="65" spans="1:26" s="171" customFormat="1" x14ac:dyDescent="0.2">
      <c r="A65" s="167" t="s">
        <v>196</v>
      </c>
      <c r="B65" s="167"/>
      <c r="C65" s="167"/>
      <c r="D65" s="194"/>
      <c r="E65" s="168">
        <f>IF(Eligibility!$J$12="MECO - Lanai",E$44+E57,0)</f>
        <v>0</v>
      </c>
      <c r="F65" s="168">
        <f>IF(Eligibility!$J$12="MECO - Lanai",F$44+F57,0)</f>
        <v>0</v>
      </c>
      <c r="G65" s="168">
        <f>IF(Eligibility!$J$12="MECO - Lanai",G$44+G57,0)</f>
        <v>0</v>
      </c>
      <c r="H65" s="168">
        <f>IF(Eligibility!$J$12="MECO - Lanai",H$44+H57,0)</f>
        <v>0</v>
      </c>
      <c r="I65" s="168">
        <f>IF(Eligibility!$J$12="MECO - Lanai",I$44+I57,0)</f>
        <v>0</v>
      </c>
      <c r="J65" s="168">
        <f>IF(Eligibility!$J$12="MECO - Lanai",J$44+J57,0)</f>
        <v>0</v>
      </c>
      <c r="K65" s="168">
        <f>IF(Eligibility!$J$12="MECO - Lanai",K$44+K57,0)</f>
        <v>0</v>
      </c>
      <c r="L65" s="168">
        <f>IF(Eligibility!$J$12="MECO - Lanai",L$44+L57,0)</f>
        <v>0</v>
      </c>
      <c r="M65" s="168">
        <f>IF(Eligibility!$J$12="MECO - Lanai",M$44+M57,0)</f>
        <v>0</v>
      </c>
      <c r="N65" s="168">
        <f>IF(Eligibility!$J$12="MECO - Lanai",N$44+N57,0)</f>
        <v>0</v>
      </c>
      <c r="O65" s="168">
        <f>IF(Eligibility!$J$12="MECO - Lanai",O$44+O57,0)</f>
        <v>0</v>
      </c>
      <c r="P65" s="168">
        <f>IF(Eligibility!$J$12="MECO - Lanai",P$44+P57,0)</f>
        <v>0</v>
      </c>
      <c r="Q65" s="168">
        <f>IF(Eligibility!$J$12="MECO - Lanai",Q$44+Q57,0)</f>
        <v>0</v>
      </c>
      <c r="R65" s="168">
        <f>IF(Eligibility!$J$12="MECO - Lanai",R$44+R57,0)</f>
        <v>0</v>
      </c>
      <c r="S65" s="168">
        <f>IF(Eligibility!$J$12="MECO - Lanai",S$44+S57,0)</f>
        <v>0</v>
      </c>
      <c r="T65" s="168">
        <f>IF(Eligibility!$J$12="MECO - Lanai",T$44+T57,0)</f>
        <v>0</v>
      </c>
      <c r="U65" s="168">
        <f>IF(Eligibility!$J$12="MECO - Lanai",U$44+U57,0)</f>
        <v>0</v>
      </c>
      <c r="V65" s="168">
        <f>IF(Eligibility!$J$12="MECO - Lanai",V$44+V57,0)</f>
        <v>0</v>
      </c>
      <c r="W65" s="168">
        <f>IF(Eligibility!$J$12="MECO - Lanai",W$44+W57,0)</f>
        <v>0</v>
      </c>
      <c r="X65" s="168">
        <f>IF(Eligibility!$J$12="MECO - Lanai",X$44+X57,0)</f>
        <v>0</v>
      </c>
      <c r="Y65" s="170">
        <f t="shared" si="26"/>
        <v>0</v>
      </c>
    </row>
    <row r="66" spans="1:26" s="166" customFormat="1" x14ac:dyDescent="0.2">
      <c r="A66" s="162" t="s">
        <v>197</v>
      </c>
      <c r="B66" s="162"/>
      <c r="C66" s="162"/>
      <c r="D66" s="192"/>
      <c r="E66" s="163">
        <f>IF(Eligibility!$J$12="MECO - Molokai",E$44+E60,0)</f>
        <v>0</v>
      </c>
      <c r="F66" s="163">
        <f>IF(Eligibility!$J$12="MECO - Molokai",F$44+F60,0)</f>
        <v>0</v>
      </c>
      <c r="G66" s="163">
        <f>IF(Eligibility!$J$12="MECO - Molokai",G$44+G60,0)</f>
        <v>0</v>
      </c>
      <c r="H66" s="163">
        <f>IF(Eligibility!$J$12="MECO - Molokai",H$44+H60,0)</f>
        <v>0</v>
      </c>
      <c r="I66" s="163">
        <f>IF(Eligibility!$J$12="MECO - Molokai",I$44+I60,0)</f>
        <v>0</v>
      </c>
      <c r="J66" s="163">
        <f>IF(Eligibility!$J$12="MECO - Molokai",J$44+J60,0)</f>
        <v>0</v>
      </c>
      <c r="K66" s="163">
        <f>IF(Eligibility!$J$12="MECO - Molokai",K$44+K60,0)</f>
        <v>0</v>
      </c>
      <c r="L66" s="163">
        <f>IF(Eligibility!$J$12="MECO - Molokai",L$44+L60,0)</f>
        <v>0</v>
      </c>
      <c r="M66" s="163">
        <f>IF(Eligibility!$J$12="MECO - Molokai",M$44+M60,0)</f>
        <v>0</v>
      </c>
      <c r="N66" s="163">
        <f>IF(Eligibility!$J$12="MECO - Molokai",N$44+N60,0)</f>
        <v>0</v>
      </c>
      <c r="O66" s="163">
        <f>IF(Eligibility!$J$12="MECO - Molokai",O$44+O60,0)</f>
        <v>0</v>
      </c>
      <c r="P66" s="163">
        <f>IF(Eligibility!$J$12="MECO - Molokai",P$44+P60,0)</f>
        <v>0</v>
      </c>
      <c r="Q66" s="163">
        <f>IF(Eligibility!$J$12="MECO - Molokai",Q$44+Q60,0)</f>
        <v>0</v>
      </c>
      <c r="R66" s="163">
        <f>IF(Eligibility!$J$12="MECO - Molokai",R$44+R60,0)</f>
        <v>0</v>
      </c>
      <c r="S66" s="163">
        <f>IF(Eligibility!$J$12="MECO - Molokai",S$44+S60,0)</f>
        <v>0</v>
      </c>
      <c r="T66" s="163">
        <f>IF(Eligibility!$J$12="MECO - Molokai",T$44+T60,0)</f>
        <v>0</v>
      </c>
      <c r="U66" s="163">
        <f>IF(Eligibility!$J$12="MECO - Molokai",U$44+U60,0)</f>
        <v>0</v>
      </c>
      <c r="V66" s="163">
        <f>IF(Eligibility!$J$12="MECO - Molokai",V$44+V60,0)</f>
        <v>0</v>
      </c>
      <c r="W66" s="163">
        <f>IF(Eligibility!$J$12="MECO - Molokai",W$44+W60,0)</f>
        <v>0</v>
      </c>
      <c r="X66" s="163">
        <f>IF(Eligibility!$J$12="MECO - Molokai",X$44+X60,0)</f>
        <v>0</v>
      </c>
      <c r="Y66" s="165">
        <f t="shared" si="26"/>
        <v>0</v>
      </c>
    </row>
    <row r="67" spans="1:26" s="66" customFormat="1" x14ac:dyDescent="0.2">
      <c r="A67" s="129"/>
      <c r="B67" s="129"/>
      <c r="C67" s="129"/>
      <c r="D67" s="134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1"/>
    </row>
    <row r="68" spans="1:26" s="151" customFormat="1" x14ac:dyDescent="0.2">
      <c r="A68" s="147" t="s">
        <v>205</v>
      </c>
      <c r="B68" s="147"/>
      <c r="C68" s="147"/>
      <c r="D68" s="197"/>
      <c r="E68" s="148">
        <f t="shared" ref="E68:X68" si="27">E35-E62</f>
        <v>0</v>
      </c>
      <c r="F68" s="148" t="e">
        <f t="shared" si="27"/>
        <v>#REF!</v>
      </c>
      <c r="G68" s="148" t="e">
        <f t="shared" si="27"/>
        <v>#REF!</v>
      </c>
      <c r="H68" s="148" t="e">
        <f t="shared" si="27"/>
        <v>#REF!</v>
      </c>
      <c r="I68" s="148" t="e">
        <f t="shared" si="27"/>
        <v>#REF!</v>
      </c>
      <c r="J68" s="148" t="e">
        <f t="shared" si="27"/>
        <v>#REF!</v>
      </c>
      <c r="K68" s="148" t="e">
        <f t="shared" si="27"/>
        <v>#REF!</v>
      </c>
      <c r="L68" s="148" t="e">
        <f t="shared" si="27"/>
        <v>#REF!</v>
      </c>
      <c r="M68" s="148" t="e">
        <f t="shared" si="27"/>
        <v>#REF!</v>
      </c>
      <c r="N68" s="148" t="e">
        <f t="shared" si="27"/>
        <v>#REF!</v>
      </c>
      <c r="O68" s="148" t="e">
        <f t="shared" si="27"/>
        <v>#REF!</v>
      </c>
      <c r="P68" s="148" t="e">
        <f t="shared" si="27"/>
        <v>#REF!</v>
      </c>
      <c r="Q68" s="148" t="e">
        <f t="shared" si="27"/>
        <v>#REF!</v>
      </c>
      <c r="R68" s="148" t="e">
        <f t="shared" si="27"/>
        <v>#REF!</v>
      </c>
      <c r="S68" s="148" t="e">
        <f t="shared" si="27"/>
        <v>#REF!</v>
      </c>
      <c r="T68" s="148" t="e">
        <f t="shared" si="27"/>
        <v>#REF!</v>
      </c>
      <c r="U68" s="148" t="e">
        <f t="shared" si="27"/>
        <v>#REF!</v>
      </c>
      <c r="V68" s="148" t="e">
        <f t="shared" si="27"/>
        <v>#REF!</v>
      </c>
      <c r="W68" s="148" t="e">
        <f t="shared" si="27"/>
        <v>#REF!</v>
      </c>
      <c r="X68" s="148" t="e">
        <f t="shared" si="27"/>
        <v>#REF!</v>
      </c>
      <c r="Y68" s="150" t="e">
        <f t="shared" ref="Y68:Y73" si="28">SUM(E68:X68)</f>
        <v>#REF!</v>
      </c>
      <c r="Z68" s="227"/>
    </row>
    <row r="69" spans="1:26" s="226" customFormat="1" x14ac:dyDescent="0.2">
      <c r="A69" s="222" t="s">
        <v>206</v>
      </c>
      <c r="B69" s="222"/>
      <c r="C69" s="222"/>
      <c r="D69" s="223"/>
      <c r="E69" s="224">
        <f t="shared" ref="E69:X69" si="29">E68/E35</f>
        <v>0</v>
      </c>
      <c r="F69" s="224" t="e">
        <f t="shared" si="29"/>
        <v>#REF!</v>
      </c>
      <c r="G69" s="224" t="e">
        <f t="shared" si="29"/>
        <v>#REF!</v>
      </c>
      <c r="H69" s="224" t="e">
        <f t="shared" si="29"/>
        <v>#REF!</v>
      </c>
      <c r="I69" s="224" t="e">
        <f t="shared" si="29"/>
        <v>#REF!</v>
      </c>
      <c r="J69" s="224" t="e">
        <f t="shared" si="29"/>
        <v>#REF!</v>
      </c>
      <c r="K69" s="224" t="e">
        <f t="shared" si="29"/>
        <v>#REF!</v>
      </c>
      <c r="L69" s="224" t="e">
        <f t="shared" si="29"/>
        <v>#REF!</v>
      </c>
      <c r="M69" s="224" t="e">
        <f t="shared" si="29"/>
        <v>#REF!</v>
      </c>
      <c r="N69" s="224" t="e">
        <f t="shared" si="29"/>
        <v>#REF!</v>
      </c>
      <c r="O69" s="224" t="e">
        <f t="shared" si="29"/>
        <v>#REF!</v>
      </c>
      <c r="P69" s="224" t="e">
        <f t="shared" si="29"/>
        <v>#REF!</v>
      </c>
      <c r="Q69" s="224" t="e">
        <f t="shared" si="29"/>
        <v>#REF!</v>
      </c>
      <c r="R69" s="224" t="e">
        <f t="shared" si="29"/>
        <v>#REF!</v>
      </c>
      <c r="S69" s="224" t="e">
        <f t="shared" si="29"/>
        <v>#REF!</v>
      </c>
      <c r="T69" s="224" t="e">
        <f t="shared" si="29"/>
        <v>#REF!</v>
      </c>
      <c r="U69" s="224" t="e">
        <f t="shared" si="29"/>
        <v>#REF!</v>
      </c>
      <c r="V69" s="224" t="e">
        <f t="shared" si="29"/>
        <v>#REF!</v>
      </c>
      <c r="W69" s="224" t="e">
        <f t="shared" si="29"/>
        <v>#REF!</v>
      </c>
      <c r="X69" s="224" t="e">
        <f t="shared" si="29"/>
        <v>#REF!</v>
      </c>
      <c r="Y69" s="225"/>
    </row>
    <row r="70" spans="1:26" s="151" customFormat="1" x14ac:dyDescent="0.2">
      <c r="A70" s="147" t="s">
        <v>179</v>
      </c>
      <c r="B70" s="147"/>
      <c r="C70" s="147"/>
      <c r="D70" s="176"/>
      <c r="E70" s="148">
        <f t="shared" ref="E70:X70" si="30">E35/12</f>
        <v>337.96411799999998</v>
      </c>
      <c r="F70" s="148">
        <f t="shared" si="30"/>
        <v>354.89612031179996</v>
      </c>
      <c r="G70" s="148">
        <f t="shared" si="30"/>
        <v>372.67641593942113</v>
      </c>
      <c r="H70" s="148">
        <f t="shared" si="30"/>
        <v>391.34750437798613</v>
      </c>
      <c r="I70" s="148">
        <f t="shared" si="30"/>
        <v>410.95401434732327</v>
      </c>
      <c r="J70" s="148">
        <f t="shared" si="30"/>
        <v>431.54281046612419</v>
      </c>
      <c r="K70" s="148">
        <f t="shared" si="30"/>
        <v>453.16310527047705</v>
      </c>
      <c r="L70" s="148">
        <f t="shared" si="30"/>
        <v>475.86657684452797</v>
      </c>
      <c r="M70" s="148">
        <f t="shared" si="30"/>
        <v>499.70749234443883</v>
      </c>
      <c r="N70" s="148">
        <f t="shared" si="30"/>
        <v>524.74283771089529</v>
      </c>
      <c r="O70" s="148">
        <f t="shared" si="30"/>
        <v>551.03245388021116</v>
      </c>
      <c r="P70" s="148">
        <f t="shared" si="30"/>
        <v>578.63917981960969</v>
      </c>
      <c r="Q70" s="148">
        <f t="shared" si="30"/>
        <v>607.62900272857223</v>
      </c>
      <c r="R70" s="148">
        <f t="shared" si="30"/>
        <v>638.07121576527368</v>
      </c>
      <c r="S70" s="148">
        <f t="shared" si="30"/>
        <v>670.03858367511395</v>
      </c>
      <c r="T70" s="148">
        <f t="shared" si="30"/>
        <v>703.6075167172371</v>
      </c>
      <c r="U70" s="148">
        <f t="shared" si="30"/>
        <v>738.85825330477064</v>
      </c>
      <c r="V70" s="148">
        <f t="shared" si="30"/>
        <v>775.87505179533957</v>
      </c>
      <c r="W70" s="148">
        <f t="shared" si="30"/>
        <v>814.74639189028619</v>
      </c>
      <c r="X70" s="148">
        <f t="shared" si="30"/>
        <v>855.56518612398952</v>
      </c>
      <c r="Y70" s="150">
        <f>SUM(E70:X70)</f>
        <v>11186.923831313397</v>
      </c>
    </row>
    <row r="71" spans="1:26" s="151" customFormat="1" x14ac:dyDescent="0.2">
      <c r="A71" s="147" t="s">
        <v>247</v>
      </c>
      <c r="B71" s="147"/>
      <c r="C71" s="147"/>
      <c r="D71" s="148"/>
      <c r="E71" s="148">
        <f>E62/12</f>
        <v>337.96411799999998</v>
      </c>
      <c r="F71" s="148" t="e">
        <f>F62/12</f>
        <v>#REF!</v>
      </c>
      <c r="G71" s="148" t="e">
        <f t="shared" ref="G71:X71" si="31">G62/12</f>
        <v>#REF!</v>
      </c>
      <c r="H71" s="148" t="e">
        <f t="shared" si="31"/>
        <v>#REF!</v>
      </c>
      <c r="I71" s="148" t="e">
        <f t="shared" si="31"/>
        <v>#REF!</v>
      </c>
      <c r="J71" s="148" t="e">
        <f t="shared" si="31"/>
        <v>#REF!</v>
      </c>
      <c r="K71" s="148" t="e">
        <f t="shared" si="31"/>
        <v>#REF!</v>
      </c>
      <c r="L71" s="148" t="e">
        <f t="shared" si="31"/>
        <v>#REF!</v>
      </c>
      <c r="M71" s="148" t="e">
        <f t="shared" si="31"/>
        <v>#REF!</v>
      </c>
      <c r="N71" s="148" t="e">
        <f t="shared" si="31"/>
        <v>#REF!</v>
      </c>
      <c r="O71" s="148" t="e">
        <f t="shared" si="31"/>
        <v>#REF!</v>
      </c>
      <c r="P71" s="148" t="e">
        <f t="shared" si="31"/>
        <v>#REF!</v>
      </c>
      <c r="Q71" s="148" t="e">
        <f t="shared" si="31"/>
        <v>#REF!</v>
      </c>
      <c r="R71" s="148" t="e">
        <f t="shared" si="31"/>
        <v>#REF!</v>
      </c>
      <c r="S71" s="148" t="e">
        <f t="shared" si="31"/>
        <v>#REF!</v>
      </c>
      <c r="T71" s="148" t="e">
        <f t="shared" si="31"/>
        <v>#REF!</v>
      </c>
      <c r="U71" s="148" t="e">
        <f t="shared" si="31"/>
        <v>#REF!</v>
      </c>
      <c r="V71" s="148" t="e">
        <f t="shared" si="31"/>
        <v>#REF!</v>
      </c>
      <c r="W71" s="148" t="e">
        <f t="shared" si="31"/>
        <v>#REF!</v>
      </c>
      <c r="X71" s="148" t="e">
        <f t="shared" si="31"/>
        <v>#REF!</v>
      </c>
      <c r="Y71" s="150" t="e">
        <f t="shared" si="28"/>
        <v>#REF!</v>
      </c>
    </row>
    <row r="72" spans="1:26" s="151" customFormat="1" x14ac:dyDescent="0.2">
      <c r="A72" s="147" t="s">
        <v>248</v>
      </c>
      <c r="B72" s="147"/>
      <c r="C72" s="147"/>
      <c r="D72" s="193"/>
      <c r="E72" s="148">
        <f t="shared" ref="E72:X72" si="32">E70-E71</f>
        <v>0</v>
      </c>
      <c r="F72" s="148" t="e">
        <f t="shared" si="32"/>
        <v>#REF!</v>
      </c>
      <c r="G72" s="148" t="e">
        <f t="shared" si="32"/>
        <v>#REF!</v>
      </c>
      <c r="H72" s="148" t="e">
        <f t="shared" si="32"/>
        <v>#REF!</v>
      </c>
      <c r="I72" s="148" t="e">
        <f t="shared" si="32"/>
        <v>#REF!</v>
      </c>
      <c r="J72" s="148" t="e">
        <f t="shared" si="32"/>
        <v>#REF!</v>
      </c>
      <c r="K72" s="148" t="e">
        <f t="shared" si="32"/>
        <v>#REF!</v>
      </c>
      <c r="L72" s="148" t="e">
        <f t="shared" si="32"/>
        <v>#REF!</v>
      </c>
      <c r="M72" s="148" t="e">
        <f t="shared" si="32"/>
        <v>#REF!</v>
      </c>
      <c r="N72" s="148" t="e">
        <f t="shared" si="32"/>
        <v>#REF!</v>
      </c>
      <c r="O72" s="148" t="e">
        <f t="shared" si="32"/>
        <v>#REF!</v>
      </c>
      <c r="P72" s="148" t="e">
        <f t="shared" si="32"/>
        <v>#REF!</v>
      </c>
      <c r="Q72" s="148" t="e">
        <f t="shared" si="32"/>
        <v>#REF!</v>
      </c>
      <c r="R72" s="148" t="e">
        <f t="shared" si="32"/>
        <v>#REF!</v>
      </c>
      <c r="S72" s="148" t="e">
        <f t="shared" si="32"/>
        <v>#REF!</v>
      </c>
      <c r="T72" s="148" t="e">
        <f t="shared" si="32"/>
        <v>#REF!</v>
      </c>
      <c r="U72" s="148" t="e">
        <f t="shared" si="32"/>
        <v>#REF!</v>
      </c>
      <c r="V72" s="148" t="e">
        <f t="shared" si="32"/>
        <v>#REF!</v>
      </c>
      <c r="W72" s="148" t="e">
        <f t="shared" si="32"/>
        <v>#REF!</v>
      </c>
      <c r="X72" s="148" t="e">
        <f t="shared" si="32"/>
        <v>#REF!</v>
      </c>
      <c r="Y72" s="150" t="e">
        <f t="shared" si="28"/>
        <v>#REF!</v>
      </c>
    </row>
    <row r="73" spans="1:26" s="156" customFormat="1" x14ac:dyDescent="0.2">
      <c r="A73" s="152" t="s">
        <v>207</v>
      </c>
      <c r="B73" s="152"/>
      <c r="C73" s="152"/>
      <c r="D73" s="289"/>
      <c r="E73" s="153">
        <f t="shared" ref="E73:X73" si="33">E36-E63</f>
        <v>0</v>
      </c>
      <c r="F73" s="153">
        <f t="shared" si="33"/>
        <v>0</v>
      </c>
      <c r="G73" s="153">
        <f t="shared" si="33"/>
        <v>0</v>
      </c>
      <c r="H73" s="153">
        <f t="shared" si="33"/>
        <v>0</v>
      </c>
      <c r="I73" s="153">
        <f t="shared" si="33"/>
        <v>0</v>
      </c>
      <c r="J73" s="153">
        <f t="shared" si="33"/>
        <v>0</v>
      </c>
      <c r="K73" s="153">
        <f t="shared" si="33"/>
        <v>0</v>
      </c>
      <c r="L73" s="153">
        <f t="shared" si="33"/>
        <v>0</v>
      </c>
      <c r="M73" s="153">
        <f t="shared" si="33"/>
        <v>0</v>
      </c>
      <c r="N73" s="153">
        <f t="shared" si="33"/>
        <v>0</v>
      </c>
      <c r="O73" s="153">
        <f t="shared" si="33"/>
        <v>0</v>
      </c>
      <c r="P73" s="153">
        <f t="shared" si="33"/>
        <v>0</v>
      </c>
      <c r="Q73" s="153">
        <f t="shared" si="33"/>
        <v>0</v>
      </c>
      <c r="R73" s="153">
        <f t="shared" si="33"/>
        <v>0</v>
      </c>
      <c r="S73" s="153">
        <f t="shared" si="33"/>
        <v>0</v>
      </c>
      <c r="T73" s="153">
        <f t="shared" si="33"/>
        <v>0</v>
      </c>
      <c r="U73" s="153">
        <f t="shared" si="33"/>
        <v>0</v>
      </c>
      <c r="V73" s="153">
        <f t="shared" si="33"/>
        <v>0</v>
      </c>
      <c r="W73" s="153">
        <f t="shared" si="33"/>
        <v>0</v>
      </c>
      <c r="X73" s="153">
        <f t="shared" si="33"/>
        <v>0</v>
      </c>
      <c r="Y73" s="155">
        <f t="shared" si="28"/>
        <v>0</v>
      </c>
    </row>
    <row r="74" spans="1:26" s="221" customFormat="1" x14ac:dyDescent="0.2">
      <c r="A74" s="217" t="s">
        <v>249</v>
      </c>
      <c r="B74" s="217"/>
      <c r="C74" s="217"/>
      <c r="D74" s="218"/>
      <c r="E74" s="219" t="e">
        <f t="shared" ref="E74:X74" si="34">E73/E36</f>
        <v>#DIV/0!</v>
      </c>
      <c r="F74" s="219" t="e">
        <f t="shared" si="34"/>
        <v>#DIV/0!</v>
      </c>
      <c r="G74" s="219" t="e">
        <f t="shared" si="34"/>
        <v>#DIV/0!</v>
      </c>
      <c r="H74" s="219" t="e">
        <f t="shared" si="34"/>
        <v>#DIV/0!</v>
      </c>
      <c r="I74" s="219" t="e">
        <f t="shared" si="34"/>
        <v>#DIV/0!</v>
      </c>
      <c r="J74" s="219" t="e">
        <f t="shared" si="34"/>
        <v>#DIV/0!</v>
      </c>
      <c r="K74" s="219" t="e">
        <f t="shared" si="34"/>
        <v>#DIV/0!</v>
      </c>
      <c r="L74" s="219" t="e">
        <f t="shared" si="34"/>
        <v>#DIV/0!</v>
      </c>
      <c r="M74" s="219" t="e">
        <f t="shared" si="34"/>
        <v>#DIV/0!</v>
      </c>
      <c r="N74" s="219" t="e">
        <f t="shared" si="34"/>
        <v>#DIV/0!</v>
      </c>
      <c r="O74" s="219" t="e">
        <f t="shared" si="34"/>
        <v>#DIV/0!</v>
      </c>
      <c r="P74" s="219" t="e">
        <f t="shared" si="34"/>
        <v>#DIV/0!</v>
      </c>
      <c r="Q74" s="219" t="e">
        <f t="shared" si="34"/>
        <v>#DIV/0!</v>
      </c>
      <c r="R74" s="219" t="e">
        <f t="shared" si="34"/>
        <v>#DIV/0!</v>
      </c>
      <c r="S74" s="219" t="e">
        <f t="shared" si="34"/>
        <v>#DIV/0!</v>
      </c>
      <c r="T74" s="219" t="e">
        <f t="shared" si="34"/>
        <v>#DIV/0!</v>
      </c>
      <c r="U74" s="219" t="e">
        <f t="shared" si="34"/>
        <v>#DIV/0!</v>
      </c>
      <c r="V74" s="219" t="e">
        <f t="shared" si="34"/>
        <v>#DIV/0!</v>
      </c>
      <c r="W74" s="219" t="e">
        <f t="shared" si="34"/>
        <v>#DIV/0!</v>
      </c>
      <c r="X74" s="219" t="e">
        <f t="shared" si="34"/>
        <v>#DIV/0!</v>
      </c>
      <c r="Y74" s="220"/>
    </row>
    <row r="75" spans="1:26" s="156" customFormat="1" x14ac:dyDescent="0.2">
      <c r="A75" s="152" t="s">
        <v>185</v>
      </c>
      <c r="B75" s="152"/>
      <c r="C75" s="152"/>
      <c r="D75" s="175"/>
      <c r="E75" s="153">
        <f t="shared" ref="E75:X75" si="35">E36/12</f>
        <v>0</v>
      </c>
      <c r="F75" s="153">
        <f t="shared" si="35"/>
        <v>0</v>
      </c>
      <c r="G75" s="153">
        <f t="shared" si="35"/>
        <v>0</v>
      </c>
      <c r="H75" s="153">
        <f t="shared" si="35"/>
        <v>0</v>
      </c>
      <c r="I75" s="153">
        <f t="shared" si="35"/>
        <v>0</v>
      </c>
      <c r="J75" s="153">
        <f t="shared" si="35"/>
        <v>0</v>
      </c>
      <c r="K75" s="153">
        <f t="shared" si="35"/>
        <v>0</v>
      </c>
      <c r="L75" s="153">
        <f t="shared" si="35"/>
        <v>0</v>
      </c>
      <c r="M75" s="153">
        <f t="shared" si="35"/>
        <v>0</v>
      </c>
      <c r="N75" s="153">
        <f t="shared" si="35"/>
        <v>0</v>
      </c>
      <c r="O75" s="153">
        <f t="shared" si="35"/>
        <v>0</v>
      </c>
      <c r="P75" s="153">
        <f t="shared" si="35"/>
        <v>0</v>
      </c>
      <c r="Q75" s="153">
        <f t="shared" si="35"/>
        <v>0</v>
      </c>
      <c r="R75" s="153">
        <f t="shared" si="35"/>
        <v>0</v>
      </c>
      <c r="S75" s="153">
        <f t="shared" si="35"/>
        <v>0</v>
      </c>
      <c r="T75" s="153">
        <f t="shared" si="35"/>
        <v>0</v>
      </c>
      <c r="U75" s="153">
        <f t="shared" si="35"/>
        <v>0</v>
      </c>
      <c r="V75" s="153">
        <f t="shared" si="35"/>
        <v>0</v>
      </c>
      <c r="W75" s="153">
        <f t="shared" si="35"/>
        <v>0</v>
      </c>
      <c r="X75" s="153">
        <f t="shared" si="35"/>
        <v>0</v>
      </c>
      <c r="Y75" s="155">
        <f>SUM(E75:X75)</f>
        <v>0</v>
      </c>
    </row>
    <row r="76" spans="1:26" s="156" customFormat="1" x14ac:dyDescent="0.2">
      <c r="A76" s="152" t="s">
        <v>216</v>
      </c>
      <c r="B76" s="152"/>
      <c r="C76" s="152"/>
      <c r="D76" s="153"/>
      <c r="E76" s="153">
        <f>E63/12</f>
        <v>0</v>
      </c>
      <c r="F76" s="153">
        <f>F63/12</f>
        <v>0</v>
      </c>
      <c r="G76" s="153">
        <f t="shared" ref="G76:X76" si="36">G63/12</f>
        <v>0</v>
      </c>
      <c r="H76" s="153">
        <f t="shared" si="36"/>
        <v>0</v>
      </c>
      <c r="I76" s="153">
        <f t="shared" si="36"/>
        <v>0</v>
      </c>
      <c r="J76" s="153">
        <f t="shared" si="36"/>
        <v>0</v>
      </c>
      <c r="K76" s="153">
        <f t="shared" si="36"/>
        <v>0</v>
      </c>
      <c r="L76" s="153">
        <f t="shared" si="36"/>
        <v>0</v>
      </c>
      <c r="M76" s="153">
        <f t="shared" si="36"/>
        <v>0</v>
      </c>
      <c r="N76" s="153">
        <f t="shared" si="36"/>
        <v>0</v>
      </c>
      <c r="O76" s="153">
        <f t="shared" si="36"/>
        <v>0</v>
      </c>
      <c r="P76" s="153">
        <f t="shared" si="36"/>
        <v>0</v>
      </c>
      <c r="Q76" s="153">
        <f t="shared" si="36"/>
        <v>0</v>
      </c>
      <c r="R76" s="153">
        <f t="shared" si="36"/>
        <v>0</v>
      </c>
      <c r="S76" s="153">
        <f t="shared" si="36"/>
        <v>0</v>
      </c>
      <c r="T76" s="153">
        <f t="shared" si="36"/>
        <v>0</v>
      </c>
      <c r="U76" s="153">
        <f t="shared" si="36"/>
        <v>0</v>
      </c>
      <c r="V76" s="153">
        <f t="shared" si="36"/>
        <v>0</v>
      </c>
      <c r="W76" s="153">
        <f t="shared" si="36"/>
        <v>0</v>
      </c>
      <c r="X76" s="153">
        <f t="shared" si="36"/>
        <v>0</v>
      </c>
      <c r="Y76" s="155">
        <f t="shared" ref="Y76:Y78" si="37">SUM(E76:X76)</f>
        <v>0</v>
      </c>
    </row>
    <row r="77" spans="1:26" s="156" customFormat="1" x14ac:dyDescent="0.2">
      <c r="A77" s="152" t="s">
        <v>217</v>
      </c>
      <c r="B77" s="152"/>
      <c r="C77" s="152"/>
      <c r="D77" s="196"/>
      <c r="E77" s="153">
        <f>E75-E76</f>
        <v>0</v>
      </c>
      <c r="F77" s="153">
        <f>F75-F76</f>
        <v>0</v>
      </c>
      <c r="G77" s="153">
        <f t="shared" ref="G77:X77" si="38">G75-G76</f>
        <v>0</v>
      </c>
      <c r="H77" s="153">
        <f t="shared" si="38"/>
        <v>0</v>
      </c>
      <c r="I77" s="153">
        <f t="shared" si="38"/>
        <v>0</v>
      </c>
      <c r="J77" s="153">
        <f t="shared" si="38"/>
        <v>0</v>
      </c>
      <c r="K77" s="153">
        <f t="shared" si="38"/>
        <v>0</v>
      </c>
      <c r="L77" s="153">
        <f t="shared" si="38"/>
        <v>0</v>
      </c>
      <c r="M77" s="153">
        <f t="shared" si="38"/>
        <v>0</v>
      </c>
      <c r="N77" s="153">
        <f t="shared" si="38"/>
        <v>0</v>
      </c>
      <c r="O77" s="153">
        <f t="shared" si="38"/>
        <v>0</v>
      </c>
      <c r="P77" s="153">
        <f t="shared" si="38"/>
        <v>0</v>
      </c>
      <c r="Q77" s="153">
        <f t="shared" si="38"/>
        <v>0</v>
      </c>
      <c r="R77" s="153">
        <f t="shared" si="38"/>
        <v>0</v>
      </c>
      <c r="S77" s="153">
        <f t="shared" si="38"/>
        <v>0</v>
      </c>
      <c r="T77" s="153">
        <f t="shared" si="38"/>
        <v>0</v>
      </c>
      <c r="U77" s="153">
        <f t="shared" si="38"/>
        <v>0</v>
      </c>
      <c r="V77" s="153">
        <f t="shared" si="38"/>
        <v>0</v>
      </c>
      <c r="W77" s="153">
        <f t="shared" si="38"/>
        <v>0</v>
      </c>
      <c r="X77" s="153">
        <f t="shared" si="38"/>
        <v>0</v>
      </c>
      <c r="Y77" s="155">
        <f t="shared" si="37"/>
        <v>0</v>
      </c>
    </row>
    <row r="78" spans="1:26" s="161" customFormat="1" x14ac:dyDescent="0.2">
      <c r="A78" s="157" t="s">
        <v>209</v>
      </c>
      <c r="B78" s="157"/>
      <c r="C78" s="157"/>
      <c r="D78" s="288"/>
      <c r="E78" s="158">
        <f t="shared" ref="E78:X78" si="39">E37-E64</f>
        <v>0</v>
      </c>
      <c r="F78" s="158">
        <f t="shared" si="39"/>
        <v>0</v>
      </c>
      <c r="G78" s="158">
        <f t="shared" si="39"/>
        <v>0</v>
      </c>
      <c r="H78" s="158">
        <f t="shared" si="39"/>
        <v>0</v>
      </c>
      <c r="I78" s="158">
        <f t="shared" si="39"/>
        <v>0</v>
      </c>
      <c r="J78" s="158">
        <f t="shared" si="39"/>
        <v>0</v>
      </c>
      <c r="K78" s="158">
        <f t="shared" si="39"/>
        <v>0</v>
      </c>
      <c r="L78" s="158">
        <f t="shared" si="39"/>
        <v>0</v>
      </c>
      <c r="M78" s="158">
        <f t="shared" si="39"/>
        <v>0</v>
      </c>
      <c r="N78" s="158">
        <f t="shared" si="39"/>
        <v>0</v>
      </c>
      <c r="O78" s="158">
        <f t="shared" si="39"/>
        <v>0</v>
      </c>
      <c r="P78" s="158">
        <f t="shared" si="39"/>
        <v>0</v>
      </c>
      <c r="Q78" s="158">
        <f t="shared" si="39"/>
        <v>0</v>
      </c>
      <c r="R78" s="158">
        <f t="shared" si="39"/>
        <v>0</v>
      </c>
      <c r="S78" s="158">
        <f t="shared" si="39"/>
        <v>0</v>
      </c>
      <c r="T78" s="158">
        <f t="shared" si="39"/>
        <v>0</v>
      </c>
      <c r="U78" s="158">
        <f t="shared" si="39"/>
        <v>0</v>
      </c>
      <c r="V78" s="158">
        <f t="shared" si="39"/>
        <v>0</v>
      </c>
      <c r="W78" s="158">
        <f t="shared" si="39"/>
        <v>0</v>
      </c>
      <c r="X78" s="158">
        <f t="shared" si="39"/>
        <v>0</v>
      </c>
      <c r="Y78" s="160">
        <f t="shared" si="37"/>
        <v>0</v>
      </c>
    </row>
    <row r="79" spans="1:26" s="216" customFormat="1" x14ac:dyDescent="0.2">
      <c r="A79" s="212" t="s">
        <v>210</v>
      </c>
      <c r="B79" s="212"/>
      <c r="C79" s="212"/>
      <c r="D79" s="213"/>
      <c r="E79" s="214" t="e">
        <f t="shared" ref="E79:X79" si="40">E78/E37</f>
        <v>#DIV/0!</v>
      </c>
      <c r="F79" s="214" t="e">
        <f t="shared" si="40"/>
        <v>#DIV/0!</v>
      </c>
      <c r="G79" s="214" t="e">
        <f t="shared" si="40"/>
        <v>#DIV/0!</v>
      </c>
      <c r="H79" s="214" t="e">
        <f t="shared" si="40"/>
        <v>#DIV/0!</v>
      </c>
      <c r="I79" s="214" t="e">
        <f t="shared" si="40"/>
        <v>#DIV/0!</v>
      </c>
      <c r="J79" s="214" t="e">
        <f t="shared" si="40"/>
        <v>#DIV/0!</v>
      </c>
      <c r="K79" s="214" t="e">
        <f t="shared" si="40"/>
        <v>#DIV/0!</v>
      </c>
      <c r="L79" s="214" t="e">
        <f t="shared" si="40"/>
        <v>#DIV/0!</v>
      </c>
      <c r="M79" s="214" t="e">
        <f t="shared" si="40"/>
        <v>#DIV/0!</v>
      </c>
      <c r="N79" s="214" t="e">
        <f t="shared" si="40"/>
        <v>#DIV/0!</v>
      </c>
      <c r="O79" s="214" t="e">
        <f t="shared" si="40"/>
        <v>#DIV/0!</v>
      </c>
      <c r="P79" s="214" t="e">
        <f t="shared" si="40"/>
        <v>#DIV/0!</v>
      </c>
      <c r="Q79" s="214" t="e">
        <f t="shared" si="40"/>
        <v>#DIV/0!</v>
      </c>
      <c r="R79" s="214" t="e">
        <f t="shared" si="40"/>
        <v>#DIV/0!</v>
      </c>
      <c r="S79" s="214" t="e">
        <f t="shared" si="40"/>
        <v>#DIV/0!</v>
      </c>
      <c r="T79" s="214" t="e">
        <f t="shared" si="40"/>
        <v>#DIV/0!</v>
      </c>
      <c r="U79" s="214" t="e">
        <f t="shared" si="40"/>
        <v>#DIV/0!</v>
      </c>
      <c r="V79" s="214" t="e">
        <f t="shared" si="40"/>
        <v>#DIV/0!</v>
      </c>
      <c r="W79" s="214" t="e">
        <f t="shared" si="40"/>
        <v>#DIV/0!</v>
      </c>
      <c r="X79" s="214" t="e">
        <f t="shared" si="40"/>
        <v>#DIV/0!</v>
      </c>
      <c r="Y79" s="215"/>
    </row>
    <row r="80" spans="1:26" s="161" customFormat="1" x14ac:dyDescent="0.2">
      <c r="A80" s="157" t="s">
        <v>186</v>
      </c>
      <c r="B80" s="157"/>
      <c r="C80" s="157"/>
      <c r="D80" s="174"/>
      <c r="E80" s="158">
        <f t="shared" ref="E80:X80" si="41">E37/12</f>
        <v>0</v>
      </c>
      <c r="F80" s="158">
        <f t="shared" si="41"/>
        <v>0</v>
      </c>
      <c r="G80" s="158">
        <f t="shared" si="41"/>
        <v>0</v>
      </c>
      <c r="H80" s="158">
        <f t="shared" si="41"/>
        <v>0</v>
      </c>
      <c r="I80" s="158">
        <f t="shared" si="41"/>
        <v>0</v>
      </c>
      <c r="J80" s="158">
        <f t="shared" si="41"/>
        <v>0</v>
      </c>
      <c r="K80" s="158">
        <f t="shared" si="41"/>
        <v>0</v>
      </c>
      <c r="L80" s="158">
        <f t="shared" si="41"/>
        <v>0</v>
      </c>
      <c r="M80" s="158">
        <f t="shared" si="41"/>
        <v>0</v>
      </c>
      <c r="N80" s="158">
        <f t="shared" si="41"/>
        <v>0</v>
      </c>
      <c r="O80" s="158">
        <f t="shared" si="41"/>
        <v>0</v>
      </c>
      <c r="P80" s="158">
        <f t="shared" si="41"/>
        <v>0</v>
      </c>
      <c r="Q80" s="158">
        <f t="shared" si="41"/>
        <v>0</v>
      </c>
      <c r="R80" s="158">
        <f t="shared" si="41"/>
        <v>0</v>
      </c>
      <c r="S80" s="158">
        <f t="shared" si="41"/>
        <v>0</v>
      </c>
      <c r="T80" s="158">
        <f t="shared" si="41"/>
        <v>0</v>
      </c>
      <c r="U80" s="158">
        <f t="shared" si="41"/>
        <v>0</v>
      </c>
      <c r="V80" s="158">
        <f t="shared" si="41"/>
        <v>0</v>
      </c>
      <c r="W80" s="158">
        <f t="shared" si="41"/>
        <v>0</v>
      </c>
      <c r="X80" s="158">
        <f t="shared" si="41"/>
        <v>0</v>
      </c>
      <c r="Y80" s="160">
        <f>SUM(E80:X80)</f>
        <v>0</v>
      </c>
    </row>
    <row r="81" spans="1:25" s="161" customFormat="1" x14ac:dyDescent="0.2">
      <c r="A81" s="157" t="s">
        <v>218</v>
      </c>
      <c r="B81" s="157"/>
      <c r="C81" s="157"/>
      <c r="D81" s="158"/>
      <c r="E81" s="158">
        <f>E64/12</f>
        <v>0</v>
      </c>
      <c r="F81" s="158">
        <f t="shared" ref="F81:X81" si="42">F64/12</f>
        <v>0</v>
      </c>
      <c r="G81" s="158">
        <f t="shared" si="42"/>
        <v>0</v>
      </c>
      <c r="H81" s="158">
        <f t="shared" si="42"/>
        <v>0</v>
      </c>
      <c r="I81" s="158">
        <f t="shared" si="42"/>
        <v>0</v>
      </c>
      <c r="J81" s="158">
        <f t="shared" si="42"/>
        <v>0</v>
      </c>
      <c r="K81" s="158">
        <f t="shared" si="42"/>
        <v>0</v>
      </c>
      <c r="L81" s="158">
        <f t="shared" si="42"/>
        <v>0</v>
      </c>
      <c r="M81" s="158">
        <f t="shared" si="42"/>
        <v>0</v>
      </c>
      <c r="N81" s="158">
        <f t="shared" si="42"/>
        <v>0</v>
      </c>
      <c r="O81" s="158">
        <f t="shared" si="42"/>
        <v>0</v>
      </c>
      <c r="P81" s="158">
        <f t="shared" si="42"/>
        <v>0</v>
      </c>
      <c r="Q81" s="158">
        <f t="shared" si="42"/>
        <v>0</v>
      </c>
      <c r="R81" s="158">
        <f t="shared" si="42"/>
        <v>0</v>
      </c>
      <c r="S81" s="158">
        <f t="shared" si="42"/>
        <v>0</v>
      </c>
      <c r="T81" s="158">
        <f t="shared" si="42"/>
        <v>0</v>
      </c>
      <c r="U81" s="158">
        <f t="shared" si="42"/>
        <v>0</v>
      </c>
      <c r="V81" s="158">
        <f t="shared" si="42"/>
        <v>0</v>
      </c>
      <c r="W81" s="158">
        <f t="shared" si="42"/>
        <v>0</v>
      </c>
      <c r="X81" s="158">
        <f t="shared" si="42"/>
        <v>0</v>
      </c>
      <c r="Y81" s="160">
        <f t="shared" ref="Y81:Y83" si="43">SUM(E81:X81)</f>
        <v>0</v>
      </c>
    </row>
    <row r="82" spans="1:25" s="161" customFormat="1" x14ac:dyDescent="0.2">
      <c r="A82" s="157" t="s">
        <v>219</v>
      </c>
      <c r="B82" s="157"/>
      <c r="C82" s="157"/>
      <c r="D82" s="195"/>
      <c r="E82" s="158">
        <f>E80-E81</f>
        <v>0</v>
      </c>
      <c r="F82" s="158">
        <f t="shared" ref="F82:X82" si="44">F80-F81</f>
        <v>0</v>
      </c>
      <c r="G82" s="158">
        <f t="shared" si="44"/>
        <v>0</v>
      </c>
      <c r="H82" s="158">
        <f t="shared" si="44"/>
        <v>0</v>
      </c>
      <c r="I82" s="158">
        <f t="shared" si="44"/>
        <v>0</v>
      </c>
      <c r="J82" s="158">
        <f t="shared" si="44"/>
        <v>0</v>
      </c>
      <c r="K82" s="158">
        <f t="shared" si="44"/>
        <v>0</v>
      </c>
      <c r="L82" s="158">
        <f t="shared" si="44"/>
        <v>0</v>
      </c>
      <c r="M82" s="158">
        <f t="shared" si="44"/>
        <v>0</v>
      </c>
      <c r="N82" s="158">
        <f t="shared" si="44"/>
        <v>0</v>
      </c>
      <c r="O82" s="158">
        <f t="shared" si="44"/>
        <v>0</v>
      </c>
      <c r="P82" s="158">
        <f t="shared" si="44"/>
        <v>0</v>
      </c>
      <c r="Q82" s="158">
        <f t="shared" si="44"/>
        <v>0</v>
      </c>
      <c r="R82" s="158">
        <f t="shared" si="44"/>
        <v>0</v>
      </c>
      <c r="S82" s="158">
        <f t="shared" si="44"/>
        <v>0</v>
      </c>
      <c r="T82" s="158">
        <f t="shared" si="44"/>
        <v>0</v>
      </c>
      <c r="U82" s="158">
        <f t="shared" si="44"/>
        <v>0</v>
      </c>
      <c r="V82" s="158">
        <f t="shared" si="44"/>
        <v>0</v>
      </c>
      <c r="W82" s="158">
        <f t="shared" si="44"/>
        <v>0</v>
      </c>
      <c r="X82" s="158">
        <f t="shared" si="44"/>
        <v>0</v>
      </c>
      <c r="Y82" s="160">
        <f t="shared" si="43"/>
        <v>0</v>
      </c>
    </row>
    <row r="83" spans="1:25" s="171" customFormat="1" x14ac:dyDescent="0.2">
      <c r="A83" s="167" t="s">
        <v>211</v>
      </c>
      <c r="B83" s="167"/>
      <c r="C83" s="167"/>
      <c r="D83" s="287"/>
      <c r="E83" s="168">
        <f t="shared" ref="E83:X83" si="45">E38-E65</f>
        <v>0</v>
      </c>
      <c r="F83" s="168">
        <f t="shared" si="45"/>
        <v>0</v>
      </c>
      <c r="G83" s="168">
        <f t="shared" si="45"/>
        <v>0</v>
      </c>
      <c r="H83" s="168">
        <f t="shared" si="45"/>
        <v>0</v>
      </c>
      <c r="I83" s="168">
        <f t="shared" si="45"/>
        <v>0</v>
      </c>
      <c r="J83" s="168">
        <f t="shared" si="45"/>
        <v>0</v>
      </c>
      <c r="K83" s="168">
        <f t="shared" si="45"/>
        <v>0</v>
      </c>
      <c r="L83" s="168">
        <f t="shared" si="45"/>
        <v>0</v>
      </c>
      <c r="M83" s="168">
        <f t="shared" si="45"/>
        <v>0</v>
      </c>
      <c r="N83" s="168">
        <f t="shared" si="45"/>
        <v>0</v>
      </c>
      <c r="O83" s="168">
        <f t="shared" si="45"/>
        <v>0</v>
      </c>
      <c r="P83" s="168">
        <f t="shared" si="45"/>
        <v>0</v>
      </c>
      <c r="Q83" s="168">
        <f t="shared" si="45"/>
        <v>0</v>
      </c>
      <c r="R83" s="168">
        <f t="shared" si="45"/>
        <v>0</v>
      </c>
      <c r="S83" s="168">
        <f t="shared" si="45"/>
        <v>0</v>
      </c>
      <c r="T83" s="168">
        <f t="shared" si="45"/>
        <v>0</v>
      </c>
      <c r="U83" s="168">
        <f t="shared" si="45"/>
        <v>0</v>
      </c>
      <c r="V83" s="168">
        <f t="shared" si="45"/>
        <v>0</v>
      </c>
      <c r="W83" s="168">
        <f t="shared" si="45"/>
        <v>0</v>
      </c>
      <c r="X83" s="168">
        <f t="shared" si="45"/>
        <v>0</v>
      </c>
      <c r="Y83" s="170">
        <f t="shared" si="43"/>
        <v>0</v>
      </c>
    </row>
    <row r="84" spans="1:25" s="211" customFormat="1" x14ac:dyDescent="0.2">
      <c r="A84" s="207" t="s">
        <v>212</v>
      </c>
      <c r="B84" s="207"/>
      <c r="C84" s="207"/>
      <c r="D84" s="208"/>
      <c r="E84" s="209" t="e">
        <f t="shared" ref="E84:X84" si="46">E83/E38</f>
        <v>#DIV/0!</v>
      </c>
      <c r="F84" s="209" t="e">
        <f t="shared" si="46"/>
        <v>#DIV/0!</v>
      </c>
      <c r="G84" s="209" t="e">
        <f t="shared" si="46"/>
        <v>#DIV/0!</v>
      </c>
      <c r="H84" s="209" t="e">
        <f t="shared" si="46"/>
        <v>#DIV/0!</v>
      </c>
      <c r="I84" s="209" t="e">
        <f t="shared" si="46"/>
        <v>#DIV/0!</v>
      </c>
      <c r="J84" s="209" t="e">
        <f t="shared" si="46"/>
        <v>#DIV/0!</v>
      </c>
      <c r="K84" s="209" t="e">
        <f t="shared" si="46"/>
        <v>#DIV/0!</v>
      </c>
      <c r="L84" s="209" t="e">
        <f t="shared" si="46"/>
        <v>#DIV/0!</v>
      </c>
      <c r="M84" s="209" t="e">
        <f t="shared" si="46"/>
        <v>#DIV/0!</v>
      </c>
      <c r="N84" s="209" t="e">
        <f t="shared" si="46"/>
        <v>#DIV/0!</v>
      </c>
      <c r="O84" s="209" t="e">
        <f t="shared" si="46"/>
        <v>#DIV/0!</v>
      </c>
      <c r="P84" s="209" t="e">
        <f t="shared" si="46"/>
        <v>#DIV/0!</v>
      </c>
      <c r="Q84" s="209" t="e">
        <f t="shared" si="46"/>
        <v>#DIV/0!</v>
      </c>
      <c r="R84" s="209" t="e">
        <f t="shared" si="46"/>
        <v>#DIV/0!</v>
      </c>
      <c r="S84" s="209" t="e">
        <f t="shared" si="46"/>
        <v>#DIV/0!</v>
      </c>
      <c r="T84" s="209" t="e">
        <f t="shared" si="46"/>
        <v>#DIV/0!</v>
      </c>
      <c r="U84" s="209" t="e">
        <f t="shared" si="46"/>
        <v>#DIV/0!</v>
      </c>
      <c r="V84" s="209" t="e">
        <f t="shared" si="46"/>
        <v>#DIV/0!</v>
      </c>
      <c r="W84" s="209" t="e">
        <f t="shared" si="46"/>
        <v>#DIV/0!</v>
      </c>
      <c r="X84" s="209" t="e">
        <f t="shared" si="46"/>
        <v>#DIV/0!</v>
      </c>
      <c r="Y84" s="210"/>
    </row>
    <row r="85" spans="1:25" s="171" customFormat="1" x14ac:dyDescent="0.2">
      <c r="A85" s="167" t="s">
        <v>187</v>
      </c>
      <c r="B85" s="167"/>
      <c r="C85" s="167"/>
      <c r="D85" s="177"/>
      <c r="E85" s="168">
        <f t="shared" ref="E85:X85" si="47">E38/12</f>
        <v>0</v>
      </c>
      <c r="F85" s="168">
        <f t="shared" si="47"/>
        <v>0</v>
      </c>
      <c r="G85" s="168">
        <f t="shared" si="47"/>
        <v>0</v>
      </c>
      <c r="H85" s="168">
        <f t="shared" si="47"/>
        <v>0</v>
      </c>
      <c r="I85" s="168">
        <f t="shared" si="47"/>
        <v>0</v>
      </c>
      <c r="J85" s="168">
        <f t="shared" si="47"/>
        <v>0</v>
      </c>
      <c r="K85" s="168">
        <f t="shared" si="47"/>
        <v>0</v>
      </c>
      <c r="L85" s="168">
        <f t="shared" si="47"/>
        <v>0</v>
      </c>
      <c r="M85" s="168">
        <f t="shared" si="47"/>
        <v>0</v>
      </c>
      <c r="N85" s="168">
        <f t="shared" si="47"/>
        <v>0</v>
      </c>
      <c r="O85" s="168">
        <f t="shared" si="47"/>
        <v>0</v>
      </c>
      <c r="P85" s="168">
        <f t="shared" si="47"/>
        <v>0</v>
      </c>
      <c r="Q85" s="168">
        <f t="shared" si="47"/>
        <v>0</v>
      </c>
      <c r="R85" s="168">
        <f t="shared" si="47"/>
        <v>0</v>
      </c>
      <c r="S85" s="168">
        <f t="shared" si="47"/>
        <v>0</v>
      </c>
      <c r="T85" s="168">
        <f t="shared" si="47"/>
        <v>0</v>
      </c>
      <c r="U85" s="168">
        <f t="shared" si="47"/>
        <v>0</v>
      </c>
      <c r="V85" s="168">
        <f t="shared" si="47"/>
        <v>0</v>
      </c>
      <c r="W85" s="168">
        <f t="shared" si="47"/>
        <v>0</v>
      </c>
      <c r="X85" s="168">
        <f t="shared" si="47"/>
        <v>0</v>
      </c>
      <c r="Y85" s="170">
        <f>SUM(E85:X85)</f>
        <v>0</v>
      </c>
    </row>
    <row r="86" spans="1:25" s="171" customFormat="1" x14ac:dyDescent="0.2">
      <c r="A86" s="167" t="s">
        <v>220</v>
      </c>
      <c r="B86" s="167"/>
      <c r="C86" s="167"/>
      <c r="D86" s="168"/>
      <c r="E86" s="168">
        <f>E65/12</f>
        <v>0</v>
      </c>
      <c r="F86" s="168">
        <f t="shared" ref="F86:X86" si="48">F65/12</f>
        <v>0</v>
      </c>
      <c r="G86" s="168">
        <f t="shared" si="48"/>
        <v>0</v>
      </c>
      <c r="H86" s="168">
        <f t="shared" si="48"/>
        <v>0</v>
      </c>
      <c r="I86" s="168">
        <f t="shared" si="48"/>
        <v>0</v>
      </c>
      <c r="J86" s="168">
        <f t="shared" si="48"/>
        <v>0</v>
      </c>
      <c r="K86" s="168">
        <f t="shared" si="48"/>
        <v>0</v>
      </c>
      <c r="L86" s="168">
        <f t="shared" si="48"/>
        <v>0</v>
      </c>
      <c r="M86" s="168">
        <f t="shared" si="48"/>
        <v>0</v>
      </c>
      <c r="N86" s="168">
        <f t="shared" si="48"/>
        <v>0</v>
      </c>
      <c r="O86" s="168">
        <f t="shared" si="48"/>
        <v>0</v>
      </c>
      <c r="P86" s="168">
        <f t="shared" si="48"/>
        <v>0</v>
      </c>
      <c r="Q86" s="168">
        <f t="shared" si="48"/>
        <v>0</v>
      </c>
      <c r="R86" s="168">
        <f t="shared" si="48"/>
        <v>0</v>
      </c>
      <c r="S86" s="168">
        <f t="shared" si="48"/>
        <v>0</v>
      </c>
      <c r="T86" s="168">
        <f t="shared" si="48"/>
        <v>0</v>
      </c>
      <c r="U86" s="168">
        <f t="shared" si="48"/>
        <v>0</v>
      </c>
      <c r="V86" s="168">
        <f t="shared" si="48"/>
        <v>0</v>
      </c>
      <c r="W86" s="168">
        <f t="shared" si="48"/>
        <v>0</v>
      </c>
      <c r="X86" s="168">
        <f t="shared" si="48"/>
        <v>0</v>
      </c>
      <c r="Y86" s="170">
        <f t="shared" ref="Y86:Y88" si="49">SUM(E86:X86)</f>
        <v>0</v>
      </c>
    </row>
    <row r="87" spans="1:25" s="171" customFormat="1" x14ac:dyDescent="0.2">
      <c r="A87" s="167" t="s">
        <v>221</v>
      </c>
      <c r="B87" s="167"/>
      <c r="C87" s="167"/>
      <c r="D87" s="194"/>
      <c r="E87" s="168">
        <f>E85-E86</f>
        <v>0</v>
      </c>
      <c r="F87" s="168">
        <f t="shared" ref="F87:X87" si="50">F85-F86</f>
        <v>0</v>
      </c>
      <c r="G87" s="168">
        <f t="shared" si="50"/>
        <v>0</v>
      </c>
      <c r="H87" s="168">
        <f t="shared" si="50"/>
        <v>0</v>
      </c>
      <c r="I87" s="168">
        <f t="shared" si="50"/>
        <v>0</v>
      </c>
      <c r="J87" s="168">
        <f t="shared" si="50"/>
        <v>0</v>
      </c>
      <c r="K87" s="168">
        <f t="shared" si="50"/>
        <v>0</v>
      </c>
      <c r="L87" s="168">
        <f t="shared" si="50"/>
        <v>0</v>
      </c>
      <c r="M87" s="168">
        <f t="shared" si="50"/>
        <v>0</v>
      </c>
      <c r="N87" s="168">
        <f t="shared" si="50"/>
        <v>0</v>
      </c>
      <c r="O87" s="168">
        <f t="shared" si="50"/>
        <v>0</v>
      </c>
      <c r="P87" s="168">
        <f t="shared" si="50"/>
        <v>0</v>
      </c>
      <c r="Q87" s="168">
        <f t="shared" si="50"/>
        <v>0</v>
      </c>
      <c r="R87" s="168">
        <f t="shared" si="50"/>
        <v>0</v>
      </c>
      <c r="S87" s="168">
        <f t="shared" si="50"/>
        <v>0</v>
      </c>
      <c r="T87" s="168">
        <f t="shared" si="50"/>
        <v>0</v>
      </c>
      <c r="U87" s="168">
        <f t="shared" si="50"/>
        <v>0</v>
      </c>
      <c r="V87" s="168">
        <f t="shared" si="50"/>
        <v>0</v>
      </c>
      <c r="W87" s="168">
        <f t="shared" si="50"/>
        <v>0</v>
      </c>
      <c r="X87" s="168">
        <f t="shared" si="50"/>
        <v>0</v>
      </c>
      <c r="Y87" s="170">
        <f t="shared" si="49"/>
        <v>0</v>
      </c>
    </row>
    <row r="88" spans="1:25" s="166" customFormat="1" x14ac:dyDescent="0.2">
      <c r="A88" s="162" t="s">
        <v>213</v>
      </c>
      <c r="B88" s="162"/>
      <c r="C88" s="162"/>
      <c r="D88" s="286"/>
      <c r="E88" s="163">
        <f t="shared" ref="E88:X88" si="51">E39-E66</f>
        <v>0</v>
      </c>
      <c r="F88" s="163">
        <f t="shared" si="51"/>
        <v>0</v>
      </c>
      <c r="G88" s="163">
        <f t="shared" si="51"/>
        <v>0</v>
      </c>
      <c r="H88" s="163">
        <f t="shared" si="51"/>
        <v>0</v>
      </c>
      <c r="I88" s="163">
        <f t="shared" si="51"/>
        <v>0</v>
      </c>
      <c r="J88" s="163">
        <f t="shared" si="51"/>
        <v>0</v>
      </c>
      <c r="K88" s="163">
        <f t="shared" si="51"/>
        <v>0</v>
      </c>
      <c r="L88" s="163">
        <f t="shared" si="51"/>
        <v>0</v>
      </c>
      <c r="M88" s="163">
        <f t="shared" si="51"/>
        <v>0</v>
      </c>
      <c r="N88" s="163">
        <f t="shared" si="51"/>
        <v>0</v>
      </c>
      <c r="O88" s="163">
        <f t="shared" si="51"/>
        <v>0</v>
      </c>
      <c r="P88" s="163">
        <f t="shared" si="51"/>
        <v>0</v>
      </c>
      <c r="Q88" s="163">
        <f t="shared" si="51"/>
        <v>0</v>
      </c>
      <c r="R88" s="163">
        <f t="shared" si="51"/>
        <v>0</v>
      </c>
      <c r="S88" s="163">
        <f t="shared" si="51"/>
        <v>0</v>
      </c>
      <c r="T88" s="163">
        <f t="shared" si="51"/>
        <v>0</v>
      </c>
      <c r="U88" s="163">
        <f t="shared" si="51"/>
        <v>0</v>
      </c>
      <c r="V88" s="163">
        <f t="shared" si="51"/>
        <v>0</v>
      </c>
      <c r="W88" s="163">
        <f t="shared" si="51"/>
        <v>0</v>
      </c>
      <c r="X88" s="163">
        <f t="shared" si="51"/>
        <v>0</v>
      </c>
      <c r="Y88" s="165">
        <f t="shared" si="49"/>
        <v>0</v>
      </c>
    </row>
    <row r="89" spans="1:25" s="206" customFormat="1" x14ac:dyDescent="0.2">
      <c r="A89" s="202" t="s">
        <v>214</v>
      </c>
      <c r="B89" s="202"/>
      <c r="C89" s="202"/>
      <c r="D89" s="203"/>
      <c r="E89" s="204" t="e">
        <f t="shared" ref="E89:X89" si="52">E88/E39</f>
        <v>#DIV/0!</v>
      </c>
      <c r="F89" s="204" t="e">
        <f t="shared" si="52"/>
        <v>#DIV/0!</v>
      </c>
      <c r="G89" s="204" t="e">
        <f t="shared" si="52"/>
        <v>#DIV/0!</v>
      </c>
      <c r="H89" s="204" t="e">
        <f t="shared" si="52"/>
        <v>#DIV/0!</v>
      </c>
      <c r="I89" s="204" t="e">
        <f t="shared" si="52"/>
        <v>#DIV/0!</v>
      </c>
      <c r="J89" s="204" t="e">
        <f t="shared" si="52"/>
        <v>#DIV/0!</v>
      </c>
      <c r="K89" s="204" t="e">
        <f t="shared" si="52"/>
        <v>#DIV/0!</v>
      </c>
      <c r="L89" s="204" t="e">
        <f t="shared" si="52"/>
        <v>#DIV/0!</v>
      </c>
      <c r="M89" s="204" t="e">
        <f t="shared" si="52"/>
        <v>#DIV/0!</v>
      </c>
      <c r="N89" s="204" t="e">
        <f t="shared" si="52"/>
        <v>#DIV/0!</v>
      </c>
      <c r="O89" s="204" t="e">
        <f t="shared" si="52"/>
        <v>#DIV/0!</v>
      </c>
      <c r="P89" s="204" t="e">
        <f t="shared" si="52"/>
        <v>#DIV/0!</v>
      </c>
      <c r="Q89" s="204" t="e">
        <f t="shared" si="52"/>
        <v>#DIV/0!</v>
      </c>
      <c r="R89" s="204" t="e">
        <f t="shared" si="52"/>
        <v>#DIV/0!</v>
      </c>
      <c r="S89" s="204" t="e">
        <f t="shared" si="52"/>
        <v>#DIV/0!</v>
      </c>
      <c r="T89" s="204" t="e">
        <f t="shared" si="52"/>
        <v>#DIV/0!</v>
      </c>
      <c r="U89" s="204" t="e">
        <f t="shared" si="52"/>
        <v>#DIV/0!</v>
      </c>
      <c r="V89" s="204" t="e">
        <f t="shared" si="52"/>
        <v>#DIV/0!</v>
      </c>
      <c r="W89" s="204" t="e">
        <f t="shared" si="52"/>
        <v>#DIV/0!</v>
      </c>
      <c r="X89" s="204" t="e">
        <f t="shared" si="52"/>
        <v>#DIV/0!</v>
      </c>
      <c r="Y89" s="205"/>
    </row>
    <row r="90" spans="1:25" s="166" customFormat="1" x14ac:dyDescent="0.2">
      <c r="A90" s="162" t="s">
        <v>188</v>
      </c>
      <c r="B90" s="162"/>
      <c r="C90" s="162"/>
      <c r="D90" s="173"/>
      <c r="E90" s="163">
        <f t="shared" ref="E90:X90" si="53">E39/12</f>
        <v>0</v>
      </c>
      <c r="F90" s="163">
        <f t="shared" si="53"/>
        <v>0</v>
      </c>
      <c r="G90" s="163">
        <f t="shared" si="53"/>
        <v>0</v>
      </c>
      <c r="H90" s="163">
        <f t="shared" si="53"/>
        <v>0</v>
      </c>
      <c r="I90" s="163">
        <f t="shared" si="53"/>
        <v>0</v>
      </c>
      <c r="J90" s="163">
        <f t="shared" si="53"/>
        <v>0</v>
      </c>
      <c r="K90" s="163">
        <f t="shared" si="53"/>
        <v>0</v>
      </c>
      <c r="L90" s="163">
        <f t="shared" si="53"/>
        <v>0</v>
      </c>
      <c r="M90" s="163">
        <f t="shared" si="53"/>
        <v>0</v>
      </c>
      <c r="N90" s="163">
        <f t="shared" si="53"/>
        <v>0</v>
      </c>
      <c r="O90" s="163">
        <f t="shared" si="53"/>
        <v>0</v>
      </c>
      <c r="P90" s="163">
        <f t="shared" si="53"/>
        <v>0</v>
      </c>
      <c r="Q90" s="163">
        <f t="shared" si="53"/>
        <v>0</v>
      </c>
      <c r="R90" s="163">
        <f t="shared" si="53"/>
        <v>0</v>
      </c>
      <c r="S90" s="163">
        <f t="shared" si="53"/>
        <v>0</v>
      </c>
      <c r="T90" s="163">
        <f t="shared" si="53"/>
        <v>0</v>
      </c>
      <c r="U90" s="163">
        <f t="shared" si="53"/>
        <v>0</v>
      </c>
      <c r="V90" s="163">
        <f t="shared" si="53"/>
        <v>0</v>
      </c>
      <c r="W90" s="163">
        <f t="shared" si="53"/>
        <v>0</v>
      </c>
      <c r="X90" s="163">
        <f t="shared" si="53"/>
        <v>0</v>
      </c>
      <c r="Y90" s="165">
        <f>SUM(E90:X90)</f>
        <v>0</v>
      </c>
    </row>
    <row r="91" spans="1:25" s="166" customFormat="1" x14ac:dyDescent="0.2">
      <c r="A91" s="162" t="s">
        <v>222</v>
      </c>
      <c r="B91" s="162"/>
      <c r="C91" s="162"/>
      <c r="D91" s="163"/>
      <c r="E91" s="163">
        <f>E66/12</f>
        <v>0</v>
      </c>
      <c r="F91" s="163">
        <f t="shared" ref="F91:X91" si="54">F66/12</f>
        <v>0</v>
      </c>
      <c r="G91" s="163">
        <f t="shared" si="54"/>
        <v>0</v>
      </c>
      <c r="H91" s="163">
        <f t="shared" si="54"/>
        <v>0</v>
      </c>
      <c r="I91" s="163">
        <f t="shared" si="54"/>
        <v>0</v>
      </c>
      <c r="J91" s="163">
        <f t="shared" si="54"/>
        <v>0</v>
      </c>
      <c r="K91" s="163">
        <f t="shared" si="54"/>
        <v>0</v>
      </c>
      <c r="L91" s="163">
        <f t="shared" si="54"/>
        <v>0</v>
      </c>
      <c r="M91" s="163">
        <f t="shared" si="54"/>
        <v>0</v>
      </c>
      <c r="N91" s="163">
        <f t="shared" si="54"/>
        <v>0</v>
      </c>
      <c r="O91" s="163">
        <f t="shared" si="54"/>
        <v>0</v>
      </c>
      <c r="P91" s="163">
        <f t="shared" si="54"/>
        <v>0</v>
      </c>
      <c r="Q91" s="163">
        <f t="shared" si="54"/>
        <v>0</v>
      </c>
      <c r="R91" s="163">
        <f t="shared" si="54"/>
        <v>0</v>
      </c>
      <c r="S91" s="163">
        <f t="shared" si="54"/>
        <v>0</v>
      </c>
      <c r="T91" s="163">
        <f t="shared" si="54"/>
        <v>0</v>
      </c>
      <c r="U91" s="163">
        <f t="shared" si="54"/>
        <v>0</v>
      </c>
      <c r="V91" s="163">
        <f t="shared" si="54"/>
        <v>0</v>
      </c>
      <c r="W91" s="163">
        <f t="shared" si="54"/>
        <v>0</v>
      </c>
      <c r="X91" s="163">
        <f t="shared" si="54"/>
        <v>0</v>
      </c>
      <c r="Y91" s="165">
        <f t="shared" ref="Y91:Y92" si="55">SUM(E91:X91)</f>
        <v>0</v>
      </c>
    </row>
    <row r="92" spans="1:25" s="166" customFormat="1" x14ac:dyDescent="0.2">
      <c r="A92" s="162" t="s">
        <v>223</v>
      </c>
      <c r="B92" s="162"/>
      <c r="C92" s="162"/>
      <c r="D92" s="192"/>
      <c r="E92" s="163">
        <f>E90-E91</f>
        <v>0</v>
      </c>
      <c r="F92" s="163">
        <f t="shared" ref="F92:X92" si="56">F90-F91</f>
        <v>0</v>
      </c>
      <c r="G92" s="163">
        <f t="shared" si="56"/>
        <v>0</v>
      </c>
      <c r="H92" s="163">
        <f t="shared" si="56"/>
        <v>0</v>
      </c>
      <c r="I92" s="163">
        <f t="shared" si="56"/>
        <v>0</v>
      </c>
      <c r="J92" s="163">
        <f t="shared" si="56"/>
        <v>0</v>
      </c>
      <c r="K92" s="163">
        <f t="shared" si="56"/>
        <v>0</v>
      </c>
      <c r="L92" s="163">
        <f t="shared" si="56"/>
        <v>0</v>
      </c>
      <c r="M92" s="163">
        <f t="shared" si="56"/>
        <v>0</v>
      </c>
      <c r="N92" s="163">
        <f t="shared" si="56"/>
        <v>0</v>
      </c>
      <c r="O92" s="163">
        <f t="shared" si="56"/>
        <v>0</v>
      </c>
      <c r="P92" s="163">
        <f t="shared" si="56"/>
        <v>0</v>
      </c>
      <c r="Q92" s="163">
        <f t="shared" si="56"/>
        <v>0</v>
      </c>
      <c r="R92" s="163">
        <f t="shared" si="56"/>
        <v>0</v>
      </c>
      <c r="S92" s="163">
        <f t="shared" si="56"/>
        <v>0</v>
      </c>
      <c r="T92" s="163">
        <f t="shared" si="56"/>
        <v>0</v>
      </c>
      <c r="U92" s="163">
        <f t="shared" si="56"/>
        <v>0</v>
      </c>
      <c r="V92" s="163">
        <f t="shared" si="56"/>
        <v>0</v>
      </c>
      <c r="W92" s="163">
        <f t="shared" si="56"/>
        <v>0</v>
      </c>
      <c r="X92" s="163">
        <f t="shared" si="56"/>
        <v>0</v>
      </c>
      <c r="Y92" s="165">
        <f t="shared" si="55"/>
        <v>0</v>
      </c>
    </row>
    <row r="93" spans="1:25" s="14" customFormat="1" ht="13" x14ac:dyDescent="0.15">
      <c r="K93" s="40"/>
    </row>
    <row r="94" spans="1:25" s="14" customFormat="1" ht="13" x14ac:dyDescent="0.15">
      <c r="K94" s="40"/>
    </row>
    <row r="95" spans="1:25" s="65" customFormat="1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</row>
    <row r="96" spans="1:25" s="24" customFormat="1" x14ac:dyDescent="0.2">
      <c r="A96" s="272"/>
      <c r="F96" s="280"/>
      <c r="H96" s="282"/>
      <c r="J96" s="40"/>
      <c r="K96" s="40"/>
    </row>
    <row r="97" spans="1:25" s="24" customFormat="1" ht="13" x14ac:dyDescent="0.15">
      <c r="A97" s="272"/>
      <c r="J97" s="40"/>
      <c r="K97" s="40"/>
    </row>
    <row r="98" spans="1:25" s="24" customFormat="1" x14ac:dyDescent="0.2">
      <c r="A98" s="272"/>
      <c r="F98" s="275"/>
      <c r="H98" s="276"/>
      <c r="J98" s="40"/>
      <c r="K98" s="40"/>
    </row>
    <row r="99" spans="1:25" s="24" customFormat="1" ht="13" x14ac:dyDescent="0.15">
      <c r="J99" s="40"/>
      <c r="K99" s="40"/>
    </row>
    <row r="100" spans="1:25" s="24" customFormat="1" x14ac:dyDescent="0.2">
      <c r="A100" s="272"/>
      <c r="H100" s="230"/>
      <c r="I100" s="283"/>
      <c r="J100" s="40"/>
      <c r="K100" s="40"/>
    </row>
    <row r="101" spans="1:25" s="24" customFormat="1" ht="13" x14ac:dyDescent="0.15">
      <c r="A101" s="272"/>
      <c r="H101" s="230"/>
      <c r="J101" s="40"/>
      <c r="K101" s="40"/>
    </row>
    <row r="102" spans="1:25" s="65" customFormat="1" x14ac:dyDescent="0.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</row>
  </sheetData>
  <sheetProtection algorithmName="SHA-512" hashValue="0pvIg8SZYvSqF3LtmBQFqZyhGRqYWp8lZVd3Dv/7GCc4xIWxzYfSbmHQZa170sGUN2WoPCprqDVpI5E4aDBWpw==" saltValue="zCCozIH7SpYSq3XglCTSsg==" spinCount="100000" sheet="1" objects="1" scenarios="1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1"/>
  <sheetViews>
    <sheetView topLeftCell="A7" workbookViewId="0">
      <selection activeCell="D36" sqref="D36"/>
    </sheetView>
  </sheetViews>
  <sheetFormatPr baseColWidth="10" defaultColWidth="8.83203125" defaultRowHeight="15" x14ac:dyDescent="0.2"/>
  <cols>
    <col min="1" max="1" width="17.1640625" style="44" customWidth="1"/>
    <col min="2" max="2" width="10.5" style="44" customWidth="1"/>
    <col min="3" max="3" width="10.83203125" style="44" customWidth="1"/>
    <col min="4" max="4" width="16.5" style="44" customWidth="1"/>
    <col min="5" max="5" width="12.5" style="44" bestFit="1" customWidth="1"/>
    <col min="6" max="6" width="15.83203125" style="44" customWidth="1"/>
    <col min="7" max="7" width="12.5" style="44" bestFit="1" customWidth="1"/>
    <col min="8" max="8" width="14.1640625" style="44" bestFit="1" customWidth="1"/>
    <col min="9" max="9" width="12.5" style="44" bestFit="1" customWidth="1"/>
    <col min="10" max="10" width="14.5" style="44" customWidth="1"/>
    <col min="11" max="11" width="14.1640625" style="44" bestFit="1" customWidth="1"/>
    <col min="12" max="23" width="12.5" style="44" bestFit="1" customWidth="1"/>
    <col min="24" max="24" width="14.1640625" style="44" bestFit="1" customWidth="1"/>
    <col min="25" max="25" width="15.1640625" style="44" bestFit="1" customWidth="1"/>
    <col min="26" max="27" width="11.1640625" bestFit="1" customWidth="1"/>
  </cols>
  <sheetData>
    <row r="1" spans="1:25" x14ac:dyDescent="0.2">
      <c r="A1" s="121" t="s">
        <v>250</v>
      </c>
      <c r="F1" s="21" t="s">
        <v>84</v>
      </c>
      <c r="G1" s="21"/>
      <c r="H1" s="116">
        <f>Eligibility!N73</f>
        <v>2100</v>
      </c>
    </row>
    <row r="2" spans="1:25" x14ac:dyDescent="0.2">
      <c r="A2" s="21" t="s">
        <v>111</v>
      </c>
      <c r="D2" s="21" t="str">
        <f>Eligibility!D23</f>
        <v>Mickey Mouse</v>
      </c>
      <c r="E2" s="21"/>
      <c r="F2" s="21" t="s">
        <v>85</v>
      </c>
      <c r="G2" s="21"/>
      <c r="H2" s="142" t="e">
        <f>Eligibility!N77</f>
        <v>#DIV/0!</v>
      </c>
      <c r="M2" s="310" t="s">
        <v>262</v>
      </c>
    </row>
    <row r="3" spans="1:25" x14ac:dyDescent="0.2">
      <c r="A3" s="21" t="s">
        <v>119</v>
      </c>
      <c r="D3" s="21" t="str">
        <f>Eligibility!D11</f>
        <v>Olani Street</v>
      </c>
      <c r="E3" s="21"/>
      <c r="F3" s="240" t="s">
        <v>224</v>
      </c>
      <c r="G3" s="240"/>
      <c r="H3" s="149">
        <f>Y67</f>
        <v>0</v>
      </c>
      <c r="I3" s="240"/>
      <c r="J3" s="231" t="s">
        <v>229</v>
      </c>
      <c r="K3" s="246" t="e">
        <f>IF(Eligibility!$J$12="HECO",$H$1+$H$2+H3,0)</f>
        <v>#DIV/0!</v>
      </c>
      <c r="M3" s="305" t="e">
        <f>IF(Eligibility!$J$12="HECO",(Y67+H1+H2)/Y34,"")</f>
        <v>#DIV/0!</v>
      </c>
    </row>
    <row r="4" spans="1:25" x14ac:dyDescent="0.2">
      <c r="A4" s="21"/>
      <c r="D4" s="21" t="str">
        <f>Eligibility!D12</f>
        <v>Kapolei, HI 96707</v>
      </c>
      <c r="E4" s="21"/>
      <c r="F4" s="241" t="s">
        <v>225</v>
      </c>
      <c r="G4" s="241"/>
      <c r="H4" s="235">
        <f>Y72</f>
        <v>0</v>
      </c>
      <c r="I4" s="241"/>
      <c r="J4" s="234" t="s">
        <v>230</v>
      </c>
      <c r="K4" s="247">
        <f>IF(Eligibility!$J$12="HELCO",$H$1+$H$2+H4,0)</f>
        <v>0</v>
      </c>
      <c r="M4" s="309" t="str">
        <f>IF(Eligibility!$J$12="HELCO",(Y72+H1+H2)/Y35,"")</f>
        <v/>
      </c>
    </row>
    <row r="5" spans="1:25" x14ac:dyDescent="0.2">
      <c r="A5" s="21" t="s">
        <v>80</v>
      </c>
      <c r="D5" s="122">
        <f>Eligibility!J59</f>
        <v>7000</v>
      </c>
      <c r="E5" s="21"/>
      <c r="F5" s="242" t="s">
        <v>226</v>
      </c>
      <c r="G5" s="242"/>
      <c r="H5" s="233">
        <f>Y77</f>
        <v>0</v>
      </c>
      <c r="I5" s="242"/>
      <c r="J5" s="236" t="s">
        <v>231</v>
      </c>
      <c r="K5" s="248">
        <f>IF(Eligibility!$J$12="MECO - Maui",$H$1+$H$2+H5,0)</f>
        <v>0</v>
      </c>
      <c r="L5" s="290"/>
      <c r="M5" s="308" t="str">
        <f>IF(Eligibility!$J$12="MECO - Maui",(Y77+H1+H2)/Y36,"")</f>
        <v/>
      </c>
    </row>
    <row r="6" spans="1:25" x14ac:dyDescent="0.2">
      <c r="A6" s="21" t="s">
        <v>112</v>
      </c>
      <c r="D6" s="255">
        <f>Eligibility!N78</f>
        <v>0</v>
      </c>
      <c r="E6" s="21"/>
      <c r="F6" s="237" t="s">
        <v>227</v>
      </c>
      <c r="G6" s="243"/>
      <c r="H6" s="232">
        <f>Y82</f>
        <v>0</v>
      </c>
      <c r="I6" s="243"/>
      <c r="J6" s="238" t="s">
        <v>232</v>
      </c>
      <c r="K6" s="249">
        <f>IF(Eligibility!$J$12="MECO - Lanai",$H$1+$H$2+H6,0)</f>
        <v>0</v>
      </c>
      <c r="M6" s="307" t="str">
        <f>IF(Eligibility!$J$12="MECO - Lanai",(Y82+H1+H2)/Y37,"")</f>
        <v/>
      </c>
    </row>
    <row r="7" spans="1:25" x14ac:dyDescent="0.2">
      <c r="A7" s="28" t="s">
        <v>115</v>
      </c>
      <c r="D7" s="52" t="e">
        <f>Eligibility!N81</f>
        <v>#DIV/0!</v>
      </c>
      <c r="E7" s="21"/>
      <c r="F7" s="244" t="s">
        <v>228</v>
      </c>
      <c r="G7" s="244"/>
      <c r="H7" s="245">
        <f>Y87</f>
        <v>0</v>
      </c>
      <c r="I7" s="244"/>
      <c r="J7" s="239" t="s">
        <v>233</v>
      </c>
      <c r="K7" s="250">
        <f>IF(Eligibility!$J$12="H=MECO - Molokai",$H$1+$H$2+H7,0)</f>
        <v>0</v>
      </c>
      <c r="M7" s="306" t="str">
        <f>IF(Eligibility!$J$12="MECO - Molokai",(Y87+H1+H2)/Y38,"")</f>
        <v/>
      </c>
      <c r="O7" s="386"/>
    </row>
    <row r="8" spans="1:25" x14ac:dyDescent="0.2">
      <c r="A8" s="28" t="s">
        <v>118</v>
      </c>
      <c r="D8" s="255">
        <f>Eligibility!N79</f>
        <v>0</v>
      </c>
      <c r="E8" s="21"/>
      <c r="O8" s="386"/>
    </row>
    <row r="9" spans="1:25" x14ac:dyDescent="0.2">
      <c r="A9" s="21" t="s">
        <v>114</v>
      </c>
      <c r="D9" s="122">
        <f>Eligibility!J66</f>
        <v>9300</v>
      </c>
      <c r="E9" s="21"/>
      <c r="F9" s="47" t="s">
        <v>156</v>
      </c>
      <c r="G9" s="143">
        <f>Eligibility!Q56</f>
        <v>0.44999999999999996</v>
      </c>
    </row>
    <row r="10" spans="1:25" x14ac:dyDescent="0.2">
      <c r="A10" s="418" t="s">
        <v>62</v>
      </c>
      <c r="B10" s="419"/>
      <c r="C10" s="419"/>
      <c r="D10" s="420">
        <f>Eligibility!J67</f>
        <v>5.5E-2</v>
      </c>
      <c r="E10" s="21"/>
      <c r="F10" s="229" t="s">
        <v>253</v>
      </c>
      <c r="G10" s="291">
        <f>1-G9</f>
        <v>0.55000000000000004</v>
      </c>
      <c r="H10" s="50"/>
      <c r="J10" s="53"/>
    </row>
    <row r="11" spans="1:25" x14ac:dyDescent="0.2">
      <c r="A11" s="21" t="s">
        <v>394</v>
      </c>
      <c r="D11" s="124">
        <f>Eligibility!V62</f>
        <v>0</v>
      </c>
      <c r="E11" s="21"/>
      <c r="F11" s="229" t="s">
        <v>252</v>
      </c>
      <c r="G11" s="44">
        <f>D19*G9</f>
        <v>6367.95</v>
      </c>
      <c r="H11" s="50"/>
    </row>
    <row r="12" spans="1:25" x14ac:dyDescent="0.2">
      <c r="A12" s="121"/>
      <c r="F12" s="47" t="s">
        <v>251</v>
      </c>
      <c r="G12" s="44">
        <f>E14-G11</f>
        <v>-6367.95</v>
      </c>
    </row>
    <row r="13" spans="1:25" x14ac:dyDescent="0.2">
      <c r="A13" s="44" t="s">
        <v>103</v>
      </c>
      <c r="E13" s="138">
        <v>1</v>
      </c>
      <c r="F13" s="125">
        <v>2</v>
      </c>
      <c r="G13" s="126">
        <v>3</v>
      </c>
      <c r="H13" s="126">
        <v>4</v>
      </c>
      <c r="I13" s="126">
        <v>5</v>
      </c>
      <c r="J13" s="126">
        <v>6</v>
      </c>
      <c r="K13" s="125">
        <v>7</v>
      </c>
      <c r="L13" s="125">
        <v>8</v>
      </c>
      <c r="M13" s="125">
        <v>9</v>
      </c>
      <c r="N13" s="125">
        <v>10</v>
      </c>
      <c r="O13" s="125">
        <v>11</v>
      </c>
      <c r="P13" s="125">
        <v>12</v>
      </c>
      <c r="Q13" s="125">
        <v>13</v>
      </c>
      <c r="R13" s="125">
        <v>14</v>
      </c>
      <c r="S13" s="125">
        <v>15</v>
      </c>
      <c r="T13" s="125">
        <v>16</v>
      </c>
      <c r="U13" s="125">
        <v>17</v>
      </c>
      <c r="V13" s="125">
        <v>18</v>
      </c>
      <c r="W13" s="125">
        <v>19</v>
      </c>
      <c r="X13" s="125">
        <v>20</v>
      </c>
      <c r="Y13" s="53"/>
    </row>
    <row r="14" spans="1:25" x14ac:dyDescent="0.2">
      <c r="A14" s="44" t="s">
        <v>108</v>
      </c>
      <c r="D14" s="44" t="s">
        <v>104</v>
      </c>
      <c r="E14" s="292">
        <f>Eligibility!N79</f>
        <v>0</v>
      </c>
      <c r="F14" s="51">
        <f>E14*0.995</f>
        <v>0</v>
      </c>
      <c r="G14" s="51">
        <f t="shared" ref="G14:X14" si="0">F14*0.995</f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51">
        <f t="shared" si="0"/>
        <v>0</v>
      </c>
      <c r="P14" s="51">
        <f t="shared" si="0"/>
        <v>0</v>
      </c>
      <c r="Q14" s="51">
        <f t="shared" si="0"/>
        <v>0</v>
      </c>
      <c r="R14" s="51">
        <f t="shared" si="0"/>
        <v>0</v>
      </c>
      <c r="S14" s="51">
        <f t="shared" si="0"/>
        <v>0</v>
      </c>
      <c r="T14" s="51">
        <f t="shared" si="0"/>
        <v>0</v>
      </c>
      <c r="U14" s="51">
        <f t="shared" si="0"/>
        <v>0</v>
      </c>
      <c r="V14" s="51">
        <f t="shared" si="0"/>
        <v>0</v>
      </c>
      <c r="W14" s="51">
        <f t="shared" si="0"/>
        <v>0</v>
      </c>
      <c r="X14" s="51">
        <f t="shared" si="0"/>
        <v>0</v>
      </c>
      <c r="Y14" s="117">
        <f>SUM(E14:X14)</f>
        <v>0</v>
      </c>
    </row>
    <row r="15" spans="1:25" x14ac:dyDescent="0.2">
      <c r="A15" s="44" t="s">
        <v>254</v>
      </c>
      <c r="E15" s="292">
        <f>G11</f>
        <v>6367.95</v>
      </c>
      <c r="F15" s="51">
        <f>E15</f>
        <v>6367.95</v>
      </c>
      <c r="G15" s="51">
        <f t="shared" ref="G15:X15" si="1">F15</f>
        <v>6367.95</v>
      </c>
      <c r="H15" s="51">
        <f t="shared" si="1"/>
        <v>6367.95</v>
      </c>
      <c r="I15" s="51">
        <f t="shared" si="1"/>
        <v>6367.95</v>
      </c>
      <c r="J15" s="51">
        <f t="shared" si="1"/>
        <v>6367.95</v>
      </c>
      <c r="K15" s="51">
        <f t="shared" si="1"/>
        <v>6367.95</v>
      </c>
      <c r="L15" s="51">
        <f t="shared" si="1"/>
        <v>6367.95</v>
      </c>
      <c r="M15" s="51">
        <f t="shared" si="1"/>
        <v>6367.95</v>
      </c>
      <c r="N15" s="51">
        <f t="shared" si="1"/>
        <v>6367.95</v>
      </c>
      <c r="O15" s="51">
        <f t="shared" si="1"/>
        <v>6367.95</v>
      </c>
      <c r="P15" s="51">
        <f t="shared" si="1"/>
        <v>6367.95</v>
      </c>
      <c r="Q15" s="51">
        <f t="shared" si="1"/>
        <v>6367.95</v>
      </c>
      <c r="R15" s="51">
        <f t="shared" si="1"/>
        <v>6367.95</v>
      </c>
      <c r="S15" s="51">
        <f t="shared" si="1"/>
        <v>6367.95</v>
      </c>
      <c r="T15" s="51">
        <f t="shared" si="1"/>
        <v>6367.95</v>
      </c>
      <c r="U15" s="51">
        <f t="shared" si="1"/>
        <v>6367.95</v>
      </c>
      <c r="V15" s="51">
        <f t="shared" si="1"/>
        <v>6367.95</v>
      </c>
      <c r="W15" s="51">
        <f t="shared" si="1"/>
        <v>6367.95</v>
      </c>
      <c r="X15" s="51">
        <f t="shared" si="1"/>
        <v>6367.95</v>
      </c>
      <c r="Y15" s="117"/>
    </row>
    <row r="16" spans="1:25" x14ac:dyDescent="0.2">
      <c r="A16" s="44" t="s">
        <v>400</v>
      </c>
      <c r="D16" s="44" t="s">
        <v>393</v>
      </c>
      <c r="E16" s="292">
        <f>Eligibility!S70*Eligibility!S74</f>
        <v>0</v>
      </c>
      <c r="F16" s="51">
        <f>E16*0.961</f>
        <v>0</v>
      </c>
      <c r="G16" s="51">
        <f t="shared" ref="G16:X16" si="2">F16*0.961</f>
        <v>0</v>
      </c>
      <c r="H16" s="51">
        <f t="shared" si="2"/>
        <v>0</v>
      </c>
      <c r="I16" s="51">
        <f t="shared" si="2"/>
        <v>0</v>
      </c>
      <c r="J16" s="51">
        <f t="shared" si="2"/>
        <v>0</v>
      </c>
      <c r="K16" s="51">
        <f t="shared" si="2"/>
        <v>0</v>
      </c>
      <c r="L16" s="51">
        <f t="shared" si="2"/>
        <v>0</v>
      </c>
      <c r="M16" s="51">
        <f t="shared" si="2"/>
        <v>0</v>
      </c>
      <c r="N16" s="51">
        <f t="shared" si="2"/>
        <v>0</v>
      </c>
      <c r="O16" s="51">
        <f>E16</f>
        <v>0</v>
      </c>
      <c r="P16" s="51">
        <f t="shared" si="2"/>
        <v>0</v>
      </c>
      <c r="Q16" s="51">
        <f t="shared" si="2"/>
        <v>0</v>
      </c>
      <c r="R16" s="51">
        <f t="shared" si="2"/>
        <v>0</v>
      </c>
      <c r="S16" s="51">
        <f t="shared" si="2"/>
        <v>0</v>
      </c>
      <c r="T16" s="51">
        <f t="shared" si="2"/>
        <v>0</v>
      </c>
      <c r="U16" s="51">
        <f t="shared" si="2"/>
        <v>0</v>
      </c>
      <c r="V16" s="51">
        <f t="shared" si="2"/>
        <v>0</v>
      </c>
      <c r="W16" s="51">
        <f t="shared" si="2"/>
        <v>0</v>
      </c>
      <c r="X16" s="51">
        <f t="shared" si="2"/>
        <v>0</v>
      </c>
      <c r="Y16" s="117"/>
    </row>
    <row r="17" spans="1:25" x14ac:dyDescent="0.2">
      <c r="A17" s="44" t="s">
        <v>401</v>
      </c>
      <c r="E17" s="292">
        <f>E16*(1-Eligibility!$T$68)</f>
        <v>0</v>
      </c>
      <c r="F17" s="292">
        <f>F16*(1-Eligibility!$T$68)</f>
        <v>0</v>
      </c>
      <c r="G17" s="292">
        <f>G16*(1-Eligibility!$T$68)</f>
        <v>0</v>
      </c>
      <c r="H17" s="292">
        <f>H16*(1-Eligibility!$T$68)</f>
        <v>0</v>
      </c>
      <c r="I17" s="292">
        <f>I16*(1-Eligibility!$T$68)</f>
        <v>0</v>
      </c>
      <c r="J17" s="292">
        <f>J16*(1-Eligibility!$T$68)</f>
        <v>0</v>
      </c>
      <c r="K17" s="292">
        <f>K16*(1-Eligibility!$T$68)</f>
        <v>0</v>
      </c>
      <c r="L17" s="292">
        <f>L16*(1-Eligibility!$T$68)</f>
        <v>0</v>
      </c>
      <c r="M17" s="292">
        <f>M16*(1-Eligibility!$T$68)</f>
        <v>0</v>
      </c>
      <c r="N17" s="292">
        <f>N16*(1-Eligibility!$T$68)</f>
        <v>0</v>
      </c>
      <c r="O17" s="292">
        <f>O16*(1-Eligibility!$T$68)</f>
        <v>0</v>
      </c>
      <c r="P17" s="292">
        <f>P16*(1-Eligibility!$T$68)</f>
        <v>0</v>
      </c>
      <c r="Q17" s="292">
        <f>Q16*(1-Eligibility!$T$68)</f>
        <v>0</v>
      </c>
      <c r="R17" s="292">
        <f>R16*(1-Eligibility!$T$68)</f>
        <v>0</v>
      </c>
      <c r="S17" s="292">
        <f>S16*(1-Eligibility!$T$68)</f>
        <v>0</v>
      </c>
      <c r="T17" s="292">
        <f>T16*(1-Eligibility!$T$68)</f>
        <v>0</v>
      </c>
      <c r="U17" s="292">
        <f>U16*(1-Eligibility!$T$68)</f>
        <v>0</v>
      </c>
      <c r="V17" s="292">
        <f>V16*(1-Eligibility!$T$68)</f>
        <v>0</v>
      </c>
      <c r="W17" s="292">
        <f>W16*(1-Eligibility!$T$68)</f>
        <v>0</v>
      </c>
      <c r="X17" s="292">
        <f>X16*(1-Eligibility!$T$68)</f>
        <v>0</v>
      </c>
      <c r="Y17" s="117"/>
    </row>
    <row r="18" spans="1:25" x14ac:dyDescent="0.2">
      <c r="E18" s="88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17"/>
    </row>
    <row r="19" spans="1:25" x14ac:dyDescent="0.2">
      <c r="A19" s="44" t="s">
        <v>109</v>
      </c>
      <c r="D19" s="140">
        <f>Eligibility!D66</f>
        <v>14151</v>
      </c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17"/>
    </row>
    <row r="20" spans="1:25" x14ac:dyDescent="0.2">
      <c r="A20" s="44" t="s">
        <v>398</v>
      </c>
      <c r="E20" s="257">
        <f>E14-$D$19</f>
        <v>-14151</v>
      </c>
      <c r="F20" s="257">
        <f t="shared" ref="F20:X20" si="3">F14-$D$19</f>
        <v>-14151</v>
      </c>
      <c r="G20" s="257">
        <f t="shared" si="3"/>
        <v>-14151</v>
      </c>
      <c r="H20" s="257">
        <f t="shared" si="3"/>
        <v>-14151</v>
      </c>
      <c r="I20" s="257">
        <f t="shared" si="3"/>
        <v>-14151</v>
      </c>
      <c r="J20" s="257">
        <f t="shared" si="3"/>
        <v>-14151</v>
      </c>
      <c r="K20" s="257">
        <f t="shared" si="3"/>
        <v>-14151</v>
      </c>
      <c r="L20" s="257">
        <f t="shared" si="3"/>
        <v>-14151</v>
      </c>
      <c r="M20" s="257">
        <f t="shared" si="3"/>
        <v>-14151</v>
      </c>
      <c r="N20" s="257">
        <f t="shared" si="3"/>
        <v>-14151</v>
      </c>
      <c r="O20" s="257">
        <f t="shared" si="3"/>
        <v>-14151</v>
      </c>
      <c r="P20" s="257">
        <f t="shared" si="3"/>
        <v>-14151</v>
      </c>
      <c r="Q20" s="257">
        <f t="shared" si="3"/>
        <v>-14151</v>
      </c>
      <c r="R20" s="257">
        <f t="shared" si="3"/>
        <v>-14151</v>
      </c>
      <c r="S20" s="257">
        <f t="shared" si="3"/>
        <v>-14151</v>
      </c>
      <c r="T20" s="257">
        <f t="shared" si="3"/>
        <v>-14151</v>
      </c>
      <c r="U20" s="257">
        <f t="shared" si="3"/>
        <v>-14151</v>
      </c>
      <c r="V20" s="257">
        <f t="shared" si="3"/>
        <v>-14151</v>
      </c>
      <c r="W20" s="257">
        <f t="shared" si="3"/>
        <v>-14151</v>
      </c>
      <c r="X20" s="257">
        <f t="shared" si="3"/>
        <v>-14151</v>
      </c>
      <c r="Y20" s="117"/>
    </row>
    <row r="21" spans="1:25" x14ac:dyDescent="0.2">
      <c r="A21" s="44" t="s">
        <v>399</v>
      </c>
      <c r="E21" s="292">
        <f>IF((E14-E15)&gt;E16,E17,(E14-E15)*(1-Eligibility!$T$68))</f>
        <v>-6367.95</v>
      </c>
      <c r="F21" s="292">
        <f>IF((F14-F15)&gt;F16,F17,(F14-F15)*(1-Eligibility!$T$68))</f>
        <v>-6367.95</v>
      </c>
      <c r="G21" s="292">
        <f>IF((G14-G15)&gt;G16,G17,(G14-G15)*(1-Eligibility!$T$68))</f>
        <v>-6367.95</v>
      </c>
      <c r="H21" s="292">
        <f>IF((H14-H15)&gt;H16,H17,(H14-H15)*(1-Eligibility!$T$68))</f>
        <v>-6367.95</v>
      </c>
      <c r="I21" s="292">
        <f>IF((I14-I15)&gt;I16,I17,(I14-I15)*(1-Eligibility!$T$68))</f>
        <v>-6367.95</v>
      </c>
      <c r="J21" s="292">
        <f>IF((J14-J15)&gt;J16,J17,(J14-J15)*(1-Eligibility!$T$68))</f>
        <v>-6367.95</v>
      </c>
      <c r="K21" s="292">
        <f>IF((K14-K15)&gt;K16,K17,(K14-K15)*(1-Eligibility!$T$68))</f>
        <v>-6367.95</v>
      </c>
      <c r="L21" s="292">
        <f>IF((L14-L15)&gt;L16,L17,(L14-L15)*(1-Eligibility!$T$68))</f>
        <v>-6367.95</v>
      </c>
      <c r="M21" s="292">
        <f>IF((M14-M15)&gt;M16,M17,(M14-M15)*(1-Eligibility!$T$68))</f>
        <v>-6367.95</v>
      </c>
      <c r="N21" s="292">
        <f>IF((N14-N15)&gt;N16,N17,(N14-N15)*(1-Eligibility!$T$68))</f>
        <v>-6367.95</v>
      </c>
      <c r="O21" s="292">
        <f>IF((O14-O15)&gt;O16,O17,(O14-O15)*(1-Eligibility!$T$68))</f>
        <v>-6367.95</v>
      </c>
      <c r="P21" s="292">
        <f>IF((P14-P15)&gt;P16,P17,(P14-P15)*(1-Eligibility!$T$68))</f>
        <v>-6367.95</v>
      </c>
      <c r="Q21" s="292">
        <f>IF((Q14-Q15)&gt;Q16,Q17,(Q14-Q15)*(1-Eligibility!$T$68))</f>
        <v>-6367.95</v>
      </c>
      <c r="R21" s="292">
        <f>IF((R14-R15)&gt;R16,R17,(R14-R15)*(1-Eligibility!$T$68))</f>
        <v>-6367.95</v>
      </c>
      <c r="S21" s="292">
        <f>IF((S14-S15)&gt;S16,S17,(S14-S15)*(1-Eligibility!$T$68))</f>
        <v>-6367.95</v>
      </c>
      <c r="T21" s="292">
        <f>IF((T14-T15)&gt;T16,T17,(T14-T15)*(1-Eligibility!$T$68))</f>
        <v>-6367.95</v>
      </c>
      <c r="U21" s="292">
        <f>IF((U14-U15)&gt;U16,U17,(U14-U15)*(1-Eligibility!$T$68))</f>
        <v>-6367.95</v>
      </c>
      <c r="V21" s="292">
        <f>IF((V14-V15)&gt;V16,V17,(V14-V15)*(1-Eligibility!$T$68))</f>
        <v>-6367.95</v>
      </c>
      <c r="W21" s="292">
        <f>IF((W14-W15)&gt;W16,W17,(W14-W15)*(1-Eligibility!$T$68))</f>
        <v>-6367.95</v>
      </c>
      <c r="X21" s="292">
        <f>IF((X14-X15)&gt;X16,X17,(X14-X15)*(1-Eligibility!$T$68))</f>
        <v>-6367.95</v>
      </c>
      <c r="Y21" s="117"/>
    </row>
    <row r="22" spans="1:25" x14ac:dyDescent="0.2">
      <c r="A22" s="44" t="s">
        <v>256</v>
      </c>
      <c r="E22" s="423">
        <f>$D$19-$G$11-E21</f>
        <v>14151</v>
      </c>
      <c r="F22" s="423">
        <f t="shared" ref="F22:X22" si="4">$D$19-$G$11-F21</f>
        <v>14151</v>
      </c>
      <c r="G22" s="423">
        <f t="shared" si="4"/>
        <v>14151</v>
      </c>
      <c r="H22" s="423">
        <f t="shared" si="4"/>
        <v>14151</v>
      </c>
      <c r="I22" s="423">
        <f t="shared" si="4"/>
        <v>14151</v>
      </c>
      <c r="J22" s="423">
        <f t="shared" si="4"/>
        <v>14151</v>
      </c>
      <c r="K22" s="423">
        <f t="shared" si="4"/>
        <v>14151</v>
      </c>
      <c r="L22" s="423">
        <f t="shared" si="4"/>
        <v>14151</v>
      </c>
      <c r="M22" s="423">
        <f t="shared" si="4"/>
        <v>14151</v>
      </c>
      <c r="N22" s="423">
        <f t="shared" si="4"/>
        <v>14151</v>
      </c>
      <c r="O22" s="423">
        <f t="shared" si="4"/>
        <v>14151</v>
      </c>
      <c r="P22" s="423">
        <f t="shared" si="4"/>
        <v>14151</v>
      </c>
      <c r="Q22" s="423">
        <f t="shared" si="4"/>
        <v>14151</v>
      </c>
      <c r="R22" s="423">
        <f t="shared" si="4"/>
        <v>14151</v>
      </c>
      <c r="S22" s="423">
        <f t="shared" si="4"/>
        <v>14151</v>
      </c>
      <c r="T22" s="423">
        <f t="shared" si="4"/>
        <v>14151</v>
      </c>
      <c r="U22" s="423">
        <f t="shared" si="4"/>
        <v>14151</v>
      </c>
      <c r="V22" s="423">
        <f t="shared" si="4"/>
        <v>14151</v>
      </c>
      <c r="W22" s="423">
        <f t="shared" si="4"/>
        <v>14151</v>
      </c>
      <c r="X22" s="423">
        <f t="shared" si="4"/>
        <v>14151</v>
      </c>
      <c r="Y22" s="117"/>
    </row>
    <row r="23" spans="1:25" x14ac:dyDescent="0.2">
      <c r="E23" s="25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</row>
    <row r="24" spans="1:25" x14ac:dyDescent="0.2">
      <c r="A24" s="44" t="s">
        <v>117</v>
      </c>
      <c r="D24" s="128">
        <f>D19/12</f>
        <v>1179.25</v>
      </c>
      <c r="E24" s="128">
        <f>IF(E22&lt;=0,0,E22/12)</f>
        <v>1179.25</v>
      </c>
      <c r="F24" s="128">
        <f t="shared" ref="F24:X24" si="5">IF(F22&lt;=0,0,F22/12)</f>
        <v>1179.25</v>
      </c>
      <c r="G24" s="128">
        <f t="shared" si="5"/>
        <v>1179.25</v>
      </c>
      <c r="H24" s="128">
        <f t="shared" si="5"/>
        <v>1179.25</v>
      </c>
      <c r="I24" s="128">
        <f t="shared" si="5"/>
        <v>1179.25</v>
      </c>
      <c r="J24" s="128">
        <f t="shared" si="5"/>
        <v>1179.25</v>
      </c>
      <c r="K24" s="128">
        <f t="shared" si="5"/>
        <v>1179.25</v>
      </c>
      <c r="L24" s="128">
        <f t="shared" si="5"/>
        <v>1179.25</v>
      </c>
      <c r="M24" s="128">
        <f t="shared" si="5"/>
        <v>1179.25</v>
      </c>
      <c r="N24" s="128">
        <f t="shared" si="5"/>
        <v>1179.25</v>
      </c>
      <c r="O24" s="128">
        <f t="shared" si="5"/>
        <v>1179.25</v>
      </c>
      <c r="P24" s="128">
        <f t="shared" si="5"/>
        <v>1179.25</v>
      </c>
      <c r="Q24" s="128">
        <f t="shared" si="5"/>
        <v>1179.25</v>
      </c>
      <c r="R24" s="128">
        <f t="shared" si="5"/>
        <v>1179.25</v>
      </c>
      <c r="S24" s="128">
        <f t="shared" si="5"/>
        <v>1179.25</v>
      </c>
      <c r="T24" s="128">
        <f t="shared" si="5"/>
        <v>1179.25</v>
      </c>
      <c r="U24" s="128">
        <f t="shared" si="5"/>
        <v>1179.25</v>
      </c>
      <c r="V24" s="128">
        <f t="shared" si="5"/>
        <v>1179.25</v>
      </c>
      <c r="W24" s="128">
        <f t="shared" si="5"/>
        <v>1179.25</v>
      </c>
      <c r="X24" s="128">
        <f t="shared" si="5"/>
        <v>1179.25</v>
      </c>
      <c r="Y24" s="117"/>
    </row>
    <row r="25" spans="1:25" x14ac:dyDescent="0.2">
      <c r="B25" s="87" t="s">
        <v>29</v>
      </c>
      <c r="C25" s="87" t="s">
        <v>139</v>
      </c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17"/>
    </row>
    <row r="26" spans="1:25" x14ac:dyDescent="0.2">
      <c r="D26" s="128"/>
      <c r="E26" s="128"/>
      <c r="F26" s="388">
        <f>IF(Eligibility!$J$12="HECO",$D$34*C29,IF(Eligibility!$J$12="HELCO",$D$35*C29,IF(Eligibility!$J$12="MECO - Maui",$D$36*C29,IF(Eligibility!$J$12="MECO - Lanai",$D$367*C29,IF(Eligibility!$J$12="MECO -Molokai",$D$38*$C29,0)))))</f>
        <v>0.2924328981</v>
      </c>
      <c r="G26" s="388">
        <f>IF(Eligibility!$J$12="HECO",$D$34*F26,IF(Eligibility!$J$12="HELCO",$D$35*F26,IF(Eligibility!$J$12="MECO - Maui",$D$36*F26,IF(Eligibility!$J$12="MECO - Lanai",$D$37*F26,IF(Eligibility!$J$12="MECO -Molokai",$D$38*F26,0)))))</f>
        <v>0.30708378629481003</v>
      </c>
      <c r="H26" s="388">
        <f>IF(Eligibility!$J$12="HECO",$D$34*G26,IF(Eligibility!$J$12="HELCO",$D$35*G26,IF(Eligibility!$J$12="MECO - Maui",$D$36*G26,IF(Eligibility!$J$12="MECO - Lanai",$D$37*G26,IF(Eligibility!$J$12="MECO -Molokai",$D$38*G26,0)))))</f>
        <v>0.32246868398818002</v>
      </c>
      <c r="I26" s="388">
        <f>IF(Eligibility!$J$12="HECO",$D$34*H26,IF(Eligibility!$J$12="HELCO",$D$35*H26,IF(Eligibility!$J$12="MECO - Maui",$D$36*H26,IF(Eligibility!$J$12="MECO - Lanai",$D$37*H26,IF(Eligibility!$J$12="MECO -Molokai",$D$38*H26,0)))))</f>
        <v>0.33862436505598786</v>
      </c>
      <c r="J26" s="388">
        <f>IF(Eligibility!$J$12="HECO",$D$34*I26,IF(Eligibility!$J$12="HELCO",$D$35*I26,IF(Eligibility!$J$12="MECO - Maui",$D$36*I26,IF(Eligibility!$J$12="MECO - Lanai",$D$37*I26,IF(Eligibility!$J$12="MECO -Molokai",$D$38*I26,0)))))</f>
        <v>0.35558944574529289</v>
      </c>
      <c r="K26" s="388">
        <f>IF(Eligibility!$J$12="HECO",$D$34*J26,IF(Eligibility!$J$12="HELCO",$D$35*J26,IF(Eligibility!$J$12="MECO - Maui",$D$36*J26,IF(Eligibility!$J$12="MECO - Lanai",$D$37*J26,IF(Eligibility!$J$12="MECO -Molokai",$D$38*J26,0)))))</f>
        <v>0.37340447697713208</v>
      </c>
      <c r="L26" s="388">
        <f>IF(Eligibility!$J$12="HECO",$D$34*K26,IF(Eligibility!$J$12="HELCO",$D$35*K26,IF(Eligibility!$J$12="MECO - Maui",$D$36*K26,IF(Eligibility!$J$12="MECO - Lanai",$D$37*K26,IF(Eligibility!$J$12="MECO -Molokai",$D$38*K26,0)))))</f>
        <v>0.39211204127368643</v>
      </c>
      <c r="M26" s="388">
        <f>IF(Eligibility!$J$12="HECO",$D$34*L26,IF(Eligibility!$J$12="HELCO",$D$35*L26,IF(Eligibility!$J$12="MECO - Maui",$D$36*L26,IF(Eligibility!$J$12="MECO - Lanai",$D$37*L26,IF(Eligibility!$J$12="MECO -Molokai",$D$38*L26,0)))))</f>
        <v>0.41175685454149813</v>
      </c>
      <c r="N26" s="388">
        <f>IF(Eligibility!$J$12="HECO",$D$34*M26,IF(Eligibility!$J$12="HELCO",$D$35*M26,IF(Eligibility!$J$12="MECO - Maui",$D$36*M26,IF(Eligibility!$J$12="MECO - Lanai",$D$37*M26,IF(Eligibility!$J$12="MECO -Molokai",$D$38*M26,0)))))</f>
        <v>0.4323858729540272</v>
      </c>
      <c r="O26" s="388">
        <f>IF(Eligibility!$J$12="HECO",$D$34*N26,IF(Eligibility!$J$12="HELCO",$D$35*N26,IF(Eligibility!$J$12="MECO - Maui",$D$36*N26,IF(Eligibility!$J$12="MECO - Lanai",$D$37*N26,IF(Eligibility!$J$12="MECO -Molokai",$D$38*N26,0)))))</f>
        <v>0.45404840518902395</v>
      </c>
      <c r="P26" s="388">
        <f>IF(Eligibility!$J$12="HECO",$D$34*O26,IF(Eligibility!$J$12="HELCO",$D$35*O26,IF(Eligibility!$J$12="MECO - Maui",$D$36*O26,IF(Eligibility!$J$12="MECO - Lanai",$D$37*O26,IF(Eligibility!$J$12="MECO -Molokai",$D$38*O26,0)))))</f>
        <v>0.47679623028899409</v>
      </c>
      <c r="Q26" s="388">
        <f>IF(Eligibility!$J$12="HECO",$D$34*P26,IF(Eligibility!$J$12="HELCO",$D$35*P26,IF(Eligibility!$J$12="MECO - Maui",$D$36*P26,IF(Eligibility!$J$12="MECO - Lanai",$D$37*P26,IF(Eligibility!$J$12="MECO -Molokai",$D$38*P26,0)))))</f>
        <v>0.50068372142647266</v>
      </c>
      <c r="R26" s="388">
        <f>IF(Eligibility!$J$12="HECO",$D$34*Q26,IF(Eligibility!$J$12="HELCO",$D$35*Q26,IF(Eligibility!$J$12="MECO - Maui",$D$36*Q26,IF(Eligibility!$J$12="MECO - Lanai",$D$37*Q26,IF(Eligibility!$J$12="MECO -Molokai",$D$38*Q26,0)))))</f>
        <v>0.52576797586993895</v>
      </c>
      <c r="S26" s="388">
        <f>IF(Eligibility!$J$12="HECO",$D$34*R26,IF(Eligibility!$J$12="HELCO",$D$35*R26,IF(Eligibility!$J$12="MECO - Maui",$D$36*R26,IF(Eligibility!$J$12="MECO - Lanai",$D$37*R26,IF(Eligibility!$J$12="MECO -Molokai",$D$38*R26,0)))))</f>
        <v>0.5521089514610229</v>
      </c>
      <c r="T26" s="388">
        <f>IF(Eligibility!$J$12="HECO",$D$34*S26,IF(Eligibility!$J$12="HELCO",$D$35*S26,IF(Eligibility!$J$12="MECO - Maui",$D$36*S26,IF(Eligibility!$J$12="MECO - Lanai",$D$37*S26,IF(Eligibility!$J$12="MECO -Molokai",$D$38*S26,0)))))</f>
        <v>0.57976960992922022</v>
      </c>
      <c r="U26" s="388">
        <f>IF(Eligibility!$J$12="HECO",$D$34*T26,IF(Eligibility!$J$12="HELCO",$D$35*T26,IF(Eligibility!$J$12="MECO - Maui",$D$36*T26,IF(Eligibility!$J$12="MECO - Lanai",$D$37*T26,IF(Eligibility!$J$12="MECO -Molokai",$D$38*T26,0)))))</f>
        <v>0.60881606738667415</v>
      </c>
      <c r="V26" s="388">
        <f>IF(Eligibility!$J$12="HECO",$D$34*U26,IF(Eligibility!$J$12="HELCO",$D$35*U26,IF(Eligibility!$J$12="MECO - Maui",$D$36*U26,IF(Eligibility!$J$12="MECO - Lanai",$D$37*U26,IF(Eligibility!$J$12="MECO -Molokai",$D$38*U26,0)))))</f>
        <v>0.63931775236274657</v>
      </c>
      <c r="W26" s="388">
        <f>IF(Eligibility!$J$12="HECO",$D$34*V26,IF(Eligibility!$J$12="HELCO",$D$35*V26,IF(Eligibility!$J$12="MECO - Maui",$D$36*V26,IF(Eligibility!$J$12="MECO - Lanai",$D$37*V26,IF(Eligibility!$J$12="MECO -Molokai",$D$38*V26,0)))))</f>
        <v>0.67134757175612014</v>
      </c>
      <c r="X26" s="388">
        <f>IF(Eligibility!$J$12="HECO",$D$34*W26,IF(Eligibility!$J$12="HELCO",$D$35*W26,IF(Eligibility!$J$12="MECO - Maui",$D$36*W26,IF(Eligibility!$J$12="MECO - Lanai",$D$37*W26,IF(Eligibility!$J$12="MECO -Molokai",$D$38*W26,0)))))</f>
        <v>0.70498208510110183</v>
      </c>
      <c r="Y26" s="117"/>
    </row>
    <row r="27" spans="1:25" x14ac:dyDescent="0.2">
      <c r="D27" s="128"/>
      <c r="E27" s="128"/>
      <c r="F27" s="388">
        <f>IF(Eligibility!$J$12="HECO",$D$34*C30,IF(Eligibility!$J$12="HELCO",$D$35*C30,IF(Eligibility!$J$12="MECO - Maui",$D$36*C30,IF(Eligibility!$J$12="MECO - Lanai",$D$367*C30,IF(Eligibility!$J$12="MECO -Molokai",$D$38*$C30,0)))))</f>
        <v>0.3045458016</v>
      </c>
      <c r="G27" s="388">
        <f>IF(Eligibility!$J$12="HECO",$D$34*F27,IF(Eligibility!$J$12="HELCO",$D$35*F27,IF(Eligibility!$J$12="MECO - Maui",$D$36*F27,IF(Eligibility!$J$12="MECO - Lanai",$D$37*F27,IF(Eligibility!$J$12="MECO -Molokai",$D$38*F27,0)))))</f>
        <v>0.31980354626016</v>
      </c>
      <c r="H27" s="388">
        <f>IF(Eligibility!$J$12="HECO",$D$34*G27,IF(Eligibility!$J$12="HELCO",$D$35*G27,IF(Eligibility!$J$12="MECO - Maui",$D$36*G27,IF(Eligibility!$J$12="MECO - Lanai",$D$37*G27,IF(Eligibility!$J$12="MECO -Molokai",$D$38*G27,0)))))</f>
        <v>0.33582570392779404</v>
      </c>
      <c r="I27" s="388">
        <f>IF(Eligibility!$J$12="HECO",$D$34*H27,IF(Eligibility!$J$12="HELCO",$D$35*H27,IF(Eligibility!$J$12="MECO - Maui",$D$36*H27,IF(Eligibility!$J$12="MECO - Lanai",$D$37*H27,IF(Eligibility!$J$12="MECO -Molokai",$D$38*H27,0)))))</f>
        <v>0.35265057169457653</v>
      </c>
      <c r="J27" s="388">
        <f>IF(Eligibility!$J$12="HECO",$D$34*I27,IF(Eligibility!$J$12="HELCO",$D$35*I27,IF(Eligibility!$J$12="MECO - Maui",$D$36*I27,IF(Eligibility!$J$12="MECO - Lanai",$D$37*I27,IF(Eligibility!$J$12="MECO -Molokai",$D$38*I27,0)))))</f>
        <v>0.37031836533647483</v>
      </c>
      <c r="K27" s="388">
        <f>IF(Eligibility!$J$12="HECO",$D$34*J27,IF(Eligibility!$J$12="HELCO",$D$35*J27,IF(Eligibility!$J$12="MECO - Maui",$D$36*J27,IF(Eligibility!$J$12="MECO - Lanai",$D$37*J27,IF(Eligibility!$J$12="MECO -Molokai",$D$38*J27,0)))))</f>
        <v>0.38887131543983222</v>
      </c>
      <c r="L27" s="388">
        <f>IF(Eligibility!$J$12="HECO",$D$34*K27,IF(Eligibility!$J$12="HELCO",$D$35*K27,IF(Eligibility!$J$12="MECO - Maui",$D$36*K27,IF(Eligibility!$J$12="MECO - Lanai",$D$37*K27,IF(Eligibility!$J$12="MECO -Molokai",$D$38*K27,0)))))</f>
        <v>0.40835376834336784</v>
      </c>
      <c r="M27" s="388">
        <f>IF(Eligibility!$J$12="HECO",$D$34*L27,IF(Eligibility!$J$12="HELCO",$D$35*L27,IF(Eligibility!$J$12="MECO - Maui",$D$36*L27,IF(Eligibility!$J$12="MECO - Lanai",$D$37*L27,IF(Eligibility!$J$12="MECO -Molokai",$D$38*L27,0)))))</f>
        <v>0.4288122921373706</v>
      </c>
      <c r="N27" s="388">
        <f>IF(Eligibility!$J$12="HECO",$D$34*M27,IF(Eligibility!$J$12="HELCO",$D$35*M27,IF(Eligibility!$J$12="MECO - Maui",$D$36*M27,IF(Eligibility!$J$12="MECO - Lanai",$D$37*M27,IF(Eligibility!$J$12="MECO -Molokai",$D$38*M27,0)))))</f>
        <v>0.45029578797345288</v>
      </c>
      <c r="O27" s="388">
        <f>IF(Eligibility!$J$12="HECO",$D$34*N27,IF(Eligibility!$J$12="HELCO",$D$35*N27,IF(Eligibility!$J$12="MECO - Maui",$D$36*N27,IF(Eligibility!$J$12="MECO - Lanai",$D$37*N27,IF(Eligibility!$J$12="MECO -Molokai",$D$38*N27,0)))))</f>
        <v>0.47285560695092288</v>
      </c>
      <c r="P27" s="388">
        <f>IF(Eligibility!$J$12="HECO",$D$34*O27,IF(Eligibility!$J$12="HELCO",$D$35*O27,IF(Eligibility!$J$12="MECO - Maui",$D$36*O27,IF(Eligibility!$J$12="MECO - Lanai",$D$37*O27,IF(Eligibility!$J$12="MECO -Molokai",$D$38*O27,0)))))</f>
        <v>0.49654567285916412</v>
      </c>
      <c r="Q27" s="388">
        <f>IF(Eligibility!$J$12="HECO",$D$34*P27,IF(Eligibility!$J$12="HELCO",$D$35*P27,IF(Eligibility!$J$12="MECO - Maui",$D$36*P27,IF(Eligibility!$J$12="MECO - Lanai",$D$37*P27,IF(Eligibility!$J$12="MECO -Molokai",$D$38*P27,0)))))</f>
        <v>0.52142261106940824</v>
      </c>
      <c r="R27" s="388">
        <f>IF(Eligibility!$J$12="HECO",$D$34*Q27,IF(Eligibility!$J$12="HELCO",$D$35*Q27,IF(Eligibility!$J$12="MECO - Maui",$D$36*Q27,IF(Eligibility!$J$12="MECO - Lanai",$D$37*Q27,IF(Eligibility!$J$12="MECO -Molokai",$D$38*Q27,0)))))</f>
        <v>0.54754588388398562</v>
      </c>
      <c r="S27" s="388">
        <f>IF(Eligibility!$J$12="HECO",$D$34*R27,IF(Eligibility!$J$12="HELCO",$D$35*R27,IF(Eligibility!$J$12="MECO - Maui",$D$36*R27,IF(Eligibility!$J$12="MECO - Lanai",$D$37*R27,IF(Eligibility!$J$12="MECO -Molokai",$D$38*R27,0)))))</f>
        <v>0.57497793266657327</v>
      </c>
      <c r="T27" s="388">
        <f>IF(Eligibility!$J$12="HECO",$D$34*S27,IF(Eligibility!$J$12="HELCO",$D$35*S27,IF(Eligibility!$J$12="MECO - Maui",$D$36*S27,IF(Eligibility!$J$12="MECO - Lanai",$D$37*S27,IF(Eligibility!$J$12="MECO -Molokai",$D$38*S27,0)))))</f>
        <v>0.60378432709316865</v>
      </c>
      <c r="U27" s="388">
        <f>IF(Eligibility!$J$12="HECO",$D$34*T27,IF(Eligibility!$J$12="HELCO",$D$35*T27,IF(Eligibility!$J$12="MECO - Maui",$D$36*T27,IF(Eligibility!$J$12="MECO - Lanai",$D$37*T27,IF(Eligibility!$J$12="MECO -Molokai",$D$38*T27,0)))))</f>
        <v>0.63403392188053642</v>
      </c>
      <c r="V27" s="388">
        <f>IF(Eligibility!$J$12="HECO",$D$34*U27,IF(Eligibility!$J$12="HELCO",$D$35*U27,IF(Eligibility!$J$12="MECO - Maui",$D$36*U27,IF(Eligibility!$J$12="MECO - Lanai",$D$37*U27,IF(Eligibility!$J$12="MECO -Molokai",$D$38*U27,0)))))</f>
        <v>0.66579902136675129</v>
      </c>
      <c r="W27" s="388">
        <f>IF(Eligibility!$J$12="HECO",$D$34*V27,IF(Eligibility!$J$12="HELCO",$D$35*V27,IF(Eligibility!$J$12="MECO - Maui",$D$36*V27,IF(Eligibility!$J$12="MECO - Lanai",$D$37*V27,IF(Eligibility!$J$12="MECO -Molokai",$D$38*V27,0)))))</f>
        <v>0.69915555233722559</v>
      </c>
      <c r="X27" s="388">
        <f>IF(Eligibility!$J$12="HECO",$D$34*W27,IF(Eligibility!$J$12="HELCO",$D$35*W27,IF(Eligibility!$J$12="MECO - Maui",$D$36*W27,IF(Eligibility!$J$12="MECO - Lanai",$D$37*W27,IF(Eligibility!$J$12="MECO -Molokai",$D$38*W27,0)))))</f>
        <v>0.73418324550932057</v>
      </c>
      <c r="Y27" s="117"/>
    </row>
    <row r="28" spans="1:25" x14ac:dyDescent="0.2">
      <c r="A28" s="14"/>
      <c r="B28" s="87"/>
      <c r="C28" s="87"/>
      <c r="D28" s="90"/>
      <c r="E28" s="387"/>
      <c r="F28" s="388">
        <f>IF(Eligibility!$J$12="HECO",$D$34*C31,IF(Eligibility!$J$12="HELCO",$D$35*C31,IF(Eligibility!$J$12="MECO - Maui",$D$36*C31,IF(Eligibility!$J$12="MECO - Lanai",$D$367*C31,IF(Eligibility!$J$12="MECO -Molokai",$D$38*$C31,0)))))</f>
        <v>0.32426037900000004</v>
      </c>
      <c r="G28" s="388">
        <f>IF(Eligibility!$J$12="HECO",$D$34*F28,IF(Eligibility!$J$12="HELCO",$D$35*F28,IF(Eligibility!$J$12="MECO - Maui",$D$36*F28,IF(Eligibility!$J$12="MECO - Lanai",$D$37*F28,IF(Eligibility!$J$12="MECO -Molokai",$D$38*F28,0)))))</f>
        <v>0.34050582398790008</v>
      </c>
      <c r="H28" s="388">
        <f>IF(Eligibility!$J$12="HECO",$D$34*G28,IF(Eligibility!$J$12="HELCO",$D$35*G28,IF(Eligibility!$J$12="MECO - Maui",$D$36*G28,IF(Eligibility!$J$12="MECO - Lanai",$D$37*G28,IF(Eligibility!$J$12="MECO -Molokai",$D$38*G28,0)))))</f>
        <v>0.35756516576969388</v>
      </c>
      <c r="I28" s="388">
        <f>IF(Eligibility!$J$12="HECO",$D$34*H28,IF(Eligibility!$J$12="HELCO",$D$35*H28,IF(Eligibility!$J$12="MECO - Maui",$D$36*H28,IF(Eligibility!$J$12="MECO - Lanai",$D$37*H28,IF(Eligibility!$J$12="MECO -Molokai",$D$38*H28,0)))))</f>
        <v>0.37547918057475554</v>
      </c>
      <c r="J28" s="388">
        <f>IF(Eligibility!$J$12="HECO",$D$34*I28,IF(Eligibility!$J$12="HELCO",$D$35*I28,IF(Eligibility!$J$12="MECO - Maui",$D$36*I28,IF(Eligibility!$J$12="MECO - Lanai",$D$37*I28,IF(Eligibility!$J$12="MECO -Molokai",$D$38*I28,0)))))</f>
        <v>0.39429068752155083</v>
      </c>
      <c r="K28" s="388">
        <f>IF(Eligibility!$J$12="HECO",$D$34*J28,IF(Eligibility!$J$12="HELCO",$D$35*J28,IF(Eligibility!$J$12="MECO - Maui",$D$36*J28,IF(Eligibility!$J$12="MECO - Lanai",$D$37*J28,IF(Eligibility!$J$12="MECO -Molokai",$D$38*J28,0)))))</f>
        <v>0.41404465096638055</v>
      </c>
      <c r="L28" s="388">
        <f>IF(Eligibility!$J$12="HECO",$D$34*K28,IF(Eligibility!$J$12="HELCO",$D$35*K28,IF(Eligibility!$J$12="MECO - Maui",$D$36*K28,IF(Eligibility!$J$12="MECO - Lanai",$D$37*K28,IF(Eligibility!$J$12="MECO -Molokai",$D$38*K28,0)))))</f>
        <v>0.43478828797979624</v>
      </c>
      <c r="M28" s="388">
        <f>IF(Eligibility!$J$12="HECO",$D$34*L28,IF(Eligibility!$J$12="HELCO",$D$35*L28,IF(Eligibility!$J$12="MECO - Maui",$D$36*L28,IF(Eligibility!$J$12="MECO - Lanai",$D$37*L28,IF(Eligibility!$J$12="MECO -Molokai",$D$38*L28,0)))))</f>
        <v>0.45657118120758405</v>
      </c>
      <c r="N28" s="388">
        <f>IF(Eligibility!$J$12="HECO",$D$34*M28,IF(Eligibility!$J$12="HELCO",$D$35*M28,IF(Eligibility!$J$12="MECO - Maui",$D$36*M28,IF(Eligibility!$J$12="MECO - Lanai",$D$37*M28,IF(Eligibility!$J$12="MECO -Molokai",$D$38*M28,0)))))</f>
        <v>0.47944539738608405</v>
      </c>
      <c r="O28" s="388">
        <f>IF(Eligibility!$J$12="HECO",$D$34*N28,IF(Eligibility!$J$12="HELCO",$D$35*N28,IF(Eligibility!$J$12="MECO - Maui",$D$36*N28,IF(Eligibility!$J$12="MECO - Lanai",$D$37*N28,IF(Eligibility!$J$12="MECO -Molokai",$D$38*N28,0)))))</f>
        <v>0.50346561179512683</v>
      </c>
      <c r="P28" s="388">
        <f>IF(Eligibility!$J$12="HECO",$D$34*O28,IF(Eligibility!$J$12="HELCO",$D$35*O28,IF(Eligibility!$J$12="MECO - Maui",$D$36*O28,IF(Eligibility!$J$12="MECO - Lanai",$D$37*O28,IF(Eligibility!$J$12="MECO -Molokai",$D$38*O28,0)))))</f>
        <v>0.52868923894606268</v>
      </c>
      <c r="Q28" s="388">
        <f>IF(Eligibility!$J$12="HECO",$D$34*P28,IF(Eligibility!$J$12="HELCO",$D$35*P28,IF(Eligibility!$J$12="MECO - Maui",$D$36*P28,IF(Eligibility!$J$12="MECO - Lanai",$D$37*P28,IF(Eligibility!$J$12="MECO -Molokai",$D$38*P28,0)))))</f>
        <v>0.55517656981726049</v>
      </c>
      <c r="R28" s="388">
        <f>IF(Eligibility!$J$12="HECO",$D$34*Q28,IF(Eligibility!$J$12="HELCO",$D$35*Q28,IF(Eligibility!$J$12="MECO - Maui",$D$36*Q28,IF(Eligibility!$J$12="MECO - Lanai",$D$37*Q28,IF(Eligibility!$J$12="MECO -Molokai",$D$38*Q28,0)))))</f>
        <v>0.58299091596510522</v>
      </c>
      <c r="S28" s="388">
        <f>IF(Eligibility!$J$12="HECO",$D$34*R28,IF(Eligibility!$J$12="HELCO",$D$35*R28,IF(Eligibility!$J$12="MECO - Maui",$D$36*R28,IF(Eligibility!$J$12="MECO - Lanai",$D$37*R28,IF(Eligibility!$J$12="MECO -Molokai",$D$38*R28,0)))))</f>
        <v>0.61219876085495706</v>
      </c>
      <c r="T28" s="388">
        <f>IF(Eligibility!$J$12="HECO",$D$34*S28,IF(Eligibility!$J$12="HELCO",$D$35*S28,IF(Eligibility!$J$12="MECO - Maui",$D$36*S28,IF(Eligibility!$J$12="MECO - Lanai",$D$37*S28,IF(Eligibility!$J$12="MECO -Molokai",$D$38*S28,0)))))</f>
        <v>0.64286991877379041</v>
      </c>
      <c r="U28" s="388">
        <f>IF(Eligibility!$J$12="HECO",$D$34*T28,IF(Eligibility!$J$12="HELCO",$D$35*T28,IF(Eligibility!$J$12="MECO - Maui",$D$36*T28,IF(Eligibility!$J$12="MECO - Lanai",$D$37*T28,IF(Eligibility!$J$12="MECO -Molokai",$D$38*T28,0)))))</f>
        <v>0.67507770170435732</v>
      </c>
      <c r="V28" s="388">
        <f>IF(Eligibility!$J$12="HECO",$D$34*U28,IF(Eligibility!$J$12="HELCO",$D$35*U28,IF(Eligibility!$J$12="MECO - Maui",$D$36*U28,IF(Eligibility!$J$12="MECO - Lanai",$D$37*U28,IF(Eligibility!$J$12="MECO -Molokai",$D$38*U28,0)))))</f>
        <v>0.70889909455974565</v>
      </c>
      <c r="W28" s="388">
        <f>IF(Eligibility!$J$12="HECO",$D$34*V28,IF(Eligibility!$J$12="HELCO",$D$35*V28,IF(Eligibility!$J$12="MECO - Maui",$D$36*V28,IF(Eligibility!$J$12="MECO - Lanai",$D$37*V28,IF(Eligibility!$J$12="MECO -Molokai",$D$38*V28,0)))))</f>
        <v>0.74441493919718893</v>
      </c>
      <c r="X28" s="388">
        <f>IF(Eligibility!$J$12="HECO",$D$34*W28,IF(Eligibility!$J$12="HELCO",$D$35*W28,IF(Eligibility!$J$12="MECO - Maui",$D$36*W28,IF(Eligibility!$J$12="MECO - Lanai",$D$37*W28,IF(Eligibility!$J$12="MECO -Molokai",$D$38*W28,0)))))</f>
        <v>0.78171012765096815</v>
      </c>
      <c r="Y28" s="117"/>
    </row>
    <row r="29" spans="1:25" x14ac:dyDescent="0.2">
      <c r="A29" s="86" t="s">
        <v>136</v>
      </c>
      <c r="B29" s="89">
        <f>IF(Eligibility!$J$12="HECO",Eligibility!O14,IF(Eligibility!$J$12="HELCO",Eligibility!S14,IF(Eligibility!$J$12="MECO - Maui",Eligibility!W14,IF(Eligibility!$J$12="MECO - Lanai",Eligibility!AA14,IF(Eligibility!$J$12="MECO - Molokai",Eligibility!AE14,0)))))</f>
        <v>350</v>
      </c>
      <c r="C29" s="89">
        <f>IF(Eligibility!$J$12="HECO",Eligibility!P14,IF(Eligibility!$J$12="HELCO",Eligibility!T14,IF(Eligibility!$J$12="MECO - Maui",Eligibility!X14,IF(Eligibility!$J$12="MECO - Lanai",Eligibility!AB14,IF(Eligibility!$J$12="MECO - Molokai",Eligibility!AF14,0)))))</f>
        <v>0.27848099999999998</v>
      </c>
      <c r="D29" s="137">
        <f>IF(D24&lt;=$B$29,D24*$C$29,$B$29*$C$29)</f>
        <v>97.468349999999987</v>
      </c>
      <c r="E29" s="137">
        <f>IF(E24&lt;=$B$29,E24*$C$29,$B$29*$C$29)</f>
        <v>97.468349999999987</v>
      </c>
      <c r="F29" s="137">
        <f t="shared" ref="F29:X29" si="6">IF(F24&lt;=$B$29,F24*F26,$B$29*F26)</f>
        <v>102.351514335</v>
      </c>
      <c r="G29" s="137">
        <f t="shared" si="6"/>
        <v>107.47932520318351</v>
      </c>
      <c r="H29" s="137">
        <f t="shared" si="6"/>
        <v>112.864039395863</v>
      </c>
      <c r="I29" s="137">
        <f t="shared" si="6"/>
        <v>118.51852776959575</v>
      </c>
      <c r="J29" s="137">
        <f t="shared" si="6"/>
        <v>124.45630601085251</v>
      </c>
      <c r="K29" s="137">
        <f t="shared" si="6"/>
        <v>130.69156694199623</v>
      </c>
      <c r="L29" s="137">
        <f t="shared" si="6"/>
        <v>137.23921444579025</v>
      </c>
      <c r="M29" s="137">
        <f t="shared" si="6"/>
        <v>144.11489908952436</v>
      </c>
      <c r="N29" s="137">
        <f t="shared" si="6"/>
        <v>151.33505553390953</v>
      </c>
      <c r="O29" s="137">
        <f t="shared" si="6"/>
        <v>158.91694181615838</v>
      </c>
      <c r="P29" s="137">
        <f t="shared" si="6"/>
        <v>166.87868060114792</v>
      </c>
      <c r="Q29" s="137">
        <f t="shared" si="6"/>
        <v>175.23930249926542</v>
      </c>
      <c r="R29" s="137">
        <f t="shared" si="6"/>
        <v>184.01879155447864</v>
      </c>
      <c r="S29" s="137">
        <f t="shared" si="6"/>
        <v>193.238133011358</v>
      </c>
      <c r="T29" s="137">
        <f t="shared" si="6"/>
        <v>202.91936347522707</v>
      </c>
      <c r="U29" s="137">
        <f t="shared" si="6"/>
        <v>213.08562358533595</v>
      </c>
      <c r="V29" s="137">
        <f t="shared" si="6"/>
        <v>223.7612133269613</v>
      </c>
      <c r="W29" s="137">
        <f t="shared" si="6"/>
        <v>234.97165011464205</v>
      </c>
      <c r="X29" s="137">
        <f t="shared" si="6"/>
        <v>246.74372978538565</v>
      </c>
      <c r="Y29" s="117"/>
    </row>
    <row r="30" spans="1:25" x14ac:dyDescent="0.2">
      <c r="A30" s="86" t="s">
        <v>137</v>
      </c>
      <c r="B30" s="89">
        <f>IF(Eligibility!$J$12="HECO",Eligibility!O15,IF(Eligibility!$J$12="HELCO",Eligibility!S15,IF(Eligibility!$J$12="MECO - Maui",Eligibility!W15,IF(Eligibility!$J$12="MECO - Lanai",Eligibility!AA15,IF(Eligibility!$J$12="MECO - Molokai",Eligibility!AE15,0)))))</f>
        <v>850</v>
      </c>
      <c r="C30" s="89">
        <f>IF(Eligibility!$J$12="HECO",Eligibility!P15,IF(Eligibility!$J$12="HELCO",Eligibility!T15,IF(Eligibility!$J$12="MECO - Maui",Eligibility!X15,IF(Eligibility!$J$12="MECO - Lanai",Eligibility!AB15,IF(Eligibility!$J$12="MECO - Molokai",Eligibility!AF15,0)))))</f>
        <v>0.290016</v>
      </c>
      <c r="D30" s="137">
        <f>IF(AND(D24&gt;$B$29,D24&lt;$B$31),(D24-$B$29)*$C$30,IF(D24&lt;$B$29,0,$B$30*$C$30))</f>
        <v>240.495768</v>
      </c>
      <c r="E30" s="137">
        <f>IF(AND(E24&gt;$B$29,E24&lt;$B$31),(E24-$B$29)*$C$30,IF(E24&lt;$B$29,0,$B$30*$C$30))</f>
        <v>240.495768</v>
      </c>
      <c r="F30" s="137">
        <f>IF(AND(F24&gt;$B$29,F24&lt;$B$31),(F24-$B$29)*(F27),IF(F24&lt;$B$29,0,$B$30*(F27)))</f>
        <v>252.5446059768</v>
      </c>
      <c r="G30" s="137">
        <f t="shared" ref="G30:X30" si="7">IF(AND(G24&gt;$B$29,G24&lt;$B$31),(G24-$B$29)*(G27),IF(G24&lt;$B$29,0,$B$30*(G27)))</f>
        <v>265.19709073623767</v>
      </c>
      <c r="H30" s="137">
        <f t="shared" si="7"/>
        <v>278.48346498212322</v>
      </c>
      <c r="I30" s="137">
        <f t="shared" si="7"/>
        <v>292.4354865777276</v>
      </c>
      <c r="J30" s="137">
        <f t="shared" si="7"/>
        <v>307.08650445527178</v>
      </c>
      <c r="K30" s="137">
        <f t="shared" si="7"/>
        <v>322.47153832848085</v>
      </c>
      <c r="L30" s="137">
        <f t="shared" si="7"/>
        <v>338.62736239873777</v>
      </c>
      <c r="M30" s="137">
        <f t="shared" si="7"/>
        <v>355.59259325491456</v>
      </c>
      <c r="N30" s="137">
        <f t="shared" si="7"/>
        <v>373.40778217698579</v>
      </c>
      <c r="O30" s="137">
        <f t="shared" si="7"/>
        <v>392.11551206405278</v>
      </c>
      <c r="P30" s="137">
        <f t="shared" si="7"/>
        <v>411.76049921846186</v>
      </c>
      <c r="Q30" s="137">
        <f t="shared" si="7"/>
        <v>432.38970022930675</v>
      </c>
      <c r="R30" s="137">
        <f t="shared" si="7"/>
        <v>454.0524242107951</v>
      </c>
      <c r="S30" s="137">
        <f t="shared" si="7"/>
        <v>476.8004506637559</v>
      </c>
      <c r="T30" s="137">
        <f t="shared" si="7"/>
        <v>500.68815324201012</v>
      </c>
      <c r="U30" s="137">
        <f t="shared" si="7"/>
        <v>525.7726297194348</v>
      </c>
      <c r="V30" s="137">
        <f t="shared" si="7"/>
        <v>552.1138384683785</v>
      </c>
      <c r="W30" s="137">
        <f t="shared" si="7"/>
        <v>579.77474177564432</v>
      </c>
      <c r="X30" s="137">
        <f t="shared" si="7"/>
        <v>608.82145633860409</v>
      </c>
      <c r="Y30" s="117"/>
    </row>
    <row r="31" spans="1:25" x14ac:dyDescent="0.2">
      <c r="A31" s="86" t="s">
        <v>138</v>
      </c>
      <c r="B31" s="89">
        <f>IF(Eligibility!$J$12="HECO",Eligibility!O16,IF(Eligibility!$J$12="HELCO",Eligibility!S16,IF(Eligibility!$J$12="MECO - Maui",Eligibility!W16,IF(Eligibility!$J$12="MECO - Lanai",Eligibility!AA16,IF(Eligibility!$J$12="MECO - Molokai",Eligibility!AE16,0)))))</f>
        <v>1200</v>
      </c>
      <c r="C31" s="89">
        <f>IF(Eligibility!$J$12="HECO",Eligibility!P16,IF(Eligibility!$J$12="HELCO",Eligibility!T16,IF(Eligibility!$J$12="MECO - Maui",Eligibility!X16,IF(Eligibility!$J$12="MECO - Lanai",Eligibility!AB16,IF(Eligibility!$J$12="MECO - Molokai",Eligibility!AF16,0)))))</f>
        <v>0.30879000000000001</v>
      </c>
      <c r="D31" s="137">
        <f>IF(D24&gt;=$B$31,(D24-$B$31)*$C$31,0)</f>
        <v>0</v>
      </c>
      <c r="E31" s="137">
        <f>IF(E24&gt;=$B$31,(E24-$B$31)*$C$31,0)</f>
        <v>0</v>
      </c>
      <c r="F31" s="137">
        <f>IF(F24&gt;=$B$31,(F24-$B$31)*F28,0)</f>
        <v>0</v>
      </c>
      <c r="G31" s="137">
        <f t="shared" ref="G31:X31" si="8">IF(G24&gt;=$B$31,(G24-$B$31)*G28,0)</f>
        <v>0</v>
      </c>
      <c r="H31" s="137">
        <f t="shared" si="8"/>
        <v>0</v>
      </c>
      <c r="I31" s="137">
        <f t="shared" si="8"/>
        <v>0</v>
      </c>
      <c r="J31" s="137">
        <f t="shared" si="8"/>
        <v>0</v>
      </c>
      <c r="K31" s="137">
        <f t="shared" si="8"/>
        <v>0</v>
      </c>
      <c r="L31" s="137">
        <f t="shared" si="8"/>
        <v>0</v>
      </c>
      <c r="M31" s="137">
        <f t="shared" si="8"/>
        <v>0</v>
      </c>
      <c r="N31" s="137">
        <f t="shared" si="8"/>
        <v>0</v>
      </c>
      <c r="O31" s="137">
        <f t="shared" si="8"/>
        <v>0</v>
      </c>
      <c r="P31" s="137">
        <f t="shared" si="8"/>
        <v>0</v>
      </c>
      <c r="Q31" s="137">
        <f t="shared" si="8"/>
        <v>0</v>
      </c>
      <c r="R31" s="137">
        <f t="shared" si="8"/>
        <v>0</v>
      </c>
      <c r="S31" s="137">
        <f t="shared" si="8"/>
        <v>0</v>
      </c>
      <c r="T31" s="137">
        <f t="shared" si="8"/>
        <v>0</v>
      </c>
      <c r="U31" s="137">
        <f t="shared" si="8"/>
        <v>0</v>
      </c>
      <c r="V31" s="137">
        <f t="shared" si="8"/>
        <v>0</v>
      </c>
      <c r="W31" s="137">
        <f t="shared" si="8"/>
        <v>0</v>
      </c>
      <c r="X31" s="137">
        <f t="shared" si="8"/>
        <v>0</v>
      </c>
      <c r="Y31" s="117"/>
    </row>
    <row r="32" spans="1:25" x14ac:dyDescent="0.2">
      <c r="D32" s="285">
        <f>SUM(D29:D31)</f>
        <v>337.96411799999998</v>
      </c>
      <c r="E32" s="285">
        <f>SUM(E29:E31)</f>
        <v>337.96411799999998</v>
      </c>
      <c r="F32" s="285">
        <f t="shared" ref="F32:X32" si="9">SUM(F29:F31)</f>
        <v>354.89612031180002</v>
      </c>
      <c r="G32" s="285">
        <f t="shared" si="9"/>
        <v>372.67641593942119</v>
      </c>
      <c r="H32" s="285">
        <f t="shared" si="9"/>
        <v>391.34750437798624</v>
      </c>
      <c r="I32" s="285">
        <f t="shared" si="9"/>
        <v>410.95401434732332</v>
      </c>
      <c r="J32" s="285">
        <f t="shared" si="9"/>
        <v>431.54281046612431</v>
      </c>
      <c r="K32" s="285">
        <f t="shared" si="9"/>
        <v>453.1631052704771</v>
      </c>
      <c r="L32" s="285">
        <f t="shared" si="9"/>
        <v>475.86657684452803</v>
      </c>
      <c r="M32" s="285">
        <f t="shared" si="9"/>
        <v>499.70749234443895</v>
      </c>
      <c r="N32" s="285">
        <f t="shared" si="9"/>
        <v>524.74283771089529</v>
      </c>
      <c r="O32" s="285">
        <f t="shared" si="9"/>
        <v>551.03245388021116</v>
      </c>
      <c r="P32" s="285">
        <f t="shared" si="9"/>
        <v>578.63917981960981</v>
      </c>
      <c r="Q32" s="285">
        <f t="shared" si="9"/>
        <v>607.62900272857223</v>
      </c>
      <c r="R32" s="285">
        <f t="shared" si="9"/>
        <v>638.07121576527379</v>
      </c>
      <c r="S32" s="285">
        <f t="shared" si="9"/>
        <v>670.03858367511384</v>
      </c>
      <c r="T32" s="285">
        <f t="shared" si="9"/>
        <v>703.60751671723722</v>
      </c>
      <c r="U32" s="285">
        <f t="shared" si="9"/>
        <v>738.85825330477076</v>
      </c>
      <c r="V32" s="285">
        <f t="shared" si="9"/>
        <v>775.8750517953398</v>
      </c>
      <c r="W32" s="285">
        <f t="shared" si="9"/>
        <v>814.7463918902863</v>
      </c>
      <c r="X32" s="285">
        <f t="shared" si="9"/>
        <v>855.56518612398975</v>
      </c>
      <c r="Y32" s="117"/>
    </row>
    <row r="33" spans="1:25" x14ac:dyDescent="0.2">
      <c r="D33" s="380" t="s">
        <v>361</v>
      </c>
      <c r="E33" s="136"/>
      <c r="F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117"/>
    </row>
    <row r="34" spans="1:25" s="151" customFormat="1" x14ac:dyDescent="0.2">
      <c r="A34" s="147" t="s">
        <v>267</v>
      </c>
      <c r="B34" s="147"/>
      <c r="C34" s="147"/>
      <c r="D34" s="375">
        <v>1.0501</v>
      </c>
      <c r="E34" s="148">
        <f>IF(Eligibility!$J$12="HECO",$D$32*12,0)</f>
        <v>4055.5694159999998</v>
      </c>
      <c r="F34" s="149">
        <f>E34*$D$34</f>
        <v>4258.7534437415998</v>
      </c>
      <c r="G34" s="149">
        <f t="shared" ref="G34:X34" si="10">F34*$D$34</f>
        <v>4472.1169912730538</v>
      </c>
      <c r="H34" s="149">
        <f t="shared" si="10"/>
        <v>4696.1700525358337</v>
      </c>
      <c r="I34" s="149">
        <f t="shared" si="10"/>
        <v>4931.4481721678794</v>
      </c>
      <c r="J34" s="149">
        <f t="shared" si="10"/>
        <v>5178.5137255934906</v>
      </c>
      <c r="K34" s="149">
        <f t="shared" si="10"/>
        <v>5437.9572632457248</v>
      </c>
      <c r="L34" s="149">
        <f t="shared" si="10"/>
        <v>5710.3989221343354</v>
      </c>
      <c r="M34" s="149">
        <f t="shared" si="10"/>
        <v>5996.489908133266</v>
      </c>
      <c r="N34" s="149">
        <f t="shared" si="10"/>
        <v>6296.914052530743</v>
      </c>
      <c r="O34" s="149">
        <f t="shared" si="10"/>
        <v>6612.3894465625335</v>
      </c>
      <c r="P34" s="149">
        <f t="shared" si="10"/>
        <v>6943.6701578353168</v>
      </c>
      <c r="Q34" s="149">
        <f t="shared" si="10"/>
        <v>7291.5480327428668</v>
      </c>
      <c r="R34" s="149">
        <f t="shared" si="10"/>
        <v>7656.8545891832846</v>
      </c>
      <c r="S34" s="149">
        <f t="shared" si="10"/>
        <v>8040.463004101367</v>
      </c>
      <c r="T34" s="149">
        <f t="shared" si="10"/>
        <v>8443.2902006068452</v>
      </c>
      <c r="U34" s="149">
        <f t="shared" si="10"/>
        <v>8866.2990396572477</v>
      </c>
      <c r="V34" s="149">
        <f t="shared" si="10"/>
        <v>9310.5006215440753</v>
      </c>
      <c r="W34" s="149">
        <f t="shared" si="10"/>
        <v>9776.9567026834338</v>
      </c>
      <c r="X34" s="149">
        <f t="shared" si="10"/>
        <v>10266.782233487875</v>
      </c>
      <c r="Y34" s="150">
        <f>SUM(E34:X34)</f>
        <v>134243.08597576077</v>
      </c>
    </row>
    <row r="35" spans="1:25" s="156" customFormat="1" x14ac:dyDescent="0.2">
      <c r="A35" s="152" t="s">
        <v>174</v>
      </c>
      <c r="B35" s="152"/>
      <c r="C35" s="152"/>
      <c r="D35" s="376">
        <v>1.0133000000000001</v>
      </c>
      <c r="E35" s="153">
        <f>IF(Eligibility!$J$12="HELCO",$D$32*12,0)</f>
        <v>0</v>
      </c>
      <c r="F35" s="154">
        <f>E35*$D$35</f>
        <v>0</v>
      </c>
      <c r="G35" s="154">
        <f t="shared" ref="G35:X35" si="11">F35*$D$35</f>
        <v>0</v>
      </c>
      <c r="H35" s="154">
        <f t="shared" si="11"/>
        <v>0</v>
      </c>
      <c r="I35" s="154">
        <f t="shared" si="11"/>
        <v>0</v>
      </c>
      <c r="J35" s="154">
        <f t="shared" si="11"/>
        <v>0</v>
      </c>
      <c r="K35" s="154">
        <f t="shared" si="11"/>
        <v>0</v>
      </c>
      <c r="L35" s="154">
        <f t="shared" si="11"/>
        <v>0</v>
      </c>
      <c r="M35" s="154">
        <f t="shared" si="11"/>
        <v>0</v>
      </c>
      <c r="N35" s="154">
        <f t="shared" si="11"/>
        <v>0</v>
      </c>
      <c r="O35" s="154">
        <f t="shared" si="11"/>
        <v>0</v>
      </c>
      <c r="P35" s="154">
        <f t="shared" si="11"/>
        <v>0</v>
      </c>
      <c r="Q35" s="154">
        <f t="shared" si="11"/>
        <v>0</v>
      </c>
      <c r="R35" s="154">
        <f t="shared" si="11"/>
        <v>0</v>
      </c>
      <c r="S35" s="154">
        <f t="shared" si="11"/>
        <v>0</v>
      </c>
      <c r="T35" s="154">
        <f t="shared" si="11"/>
        <v>0</v>
      </c>
      <c r="U35" s="154">
        <f t="shared" si="11"/>
        <v>0</v>
      </c>
      <c r="V35" s="154">
        <f t="shared" si="11"/>
        <v>0</v>
      </c>
      <c r="W35" s="154">
        <f t="shared" si="11"/>
        <v>0</v>
      </c>
      <c r="X35" s="154">
        <f t="shared" si="11"/>
        <v>0</v>
      </c>
      <c r="Y35" s="155">
        <f t="shared" ref="Y35:Y59" si="12">SUM(E35:X35)</f>
        <v>0</v>
      </c>
    </row>
    <row r="36" spans="1:25" s="161" customFormat="1" x14ac:dyDescent="0.2">
      <c r="A36" s="157" t="s">
        <v>175</v>
      </c>
      <c r="B36" s="157"/>
      <c r="C36" s="157"/>
      <c r="D36" s="377">
        <v>1.0239</v>
      </c>
      <c r="E36" s="158">
        <f>IF(Eligibility!$J$12="MECO - Maui",$D$32*12,0)</f>
        <v>0</v>
      </c>
      <c r="F36" s="159">
        <f>E36*$D$36</f>
        <v>0</v>
      </c>
      <c r="G36" s="159">
        <f t="shared" ref="G36:X36" si="13">F36*$D$36</f>
        <v>0</v>
      </c>
      <c r="H36" s="159">
        <f t="shared" si="13"/>
        <v>0</v>
      </c>
      <c r="I36" s="159">
        <f t="shared" si="13"/>
        <v>0</v>
      </c>
      <c r="J36" s="159">
        <f t="shared" si="13"/>
        <v>0</v>
      </c>
      <c r="K36" s="159">
        <f t="shared" si="13"/>
        <v>0</v>
      </c>
      <c r="L36" s="159">
        <f t="shared" si="13"/>
        <v>0</v>
      </c>
      <c r="M36" s="159">
        <f t="shared" si="13"/>
        <v>0</v>
      </c>
      <c r="N36" s="159">
        <f t="shared" si="13"/>
        <v>0</v>
      </c>
      <c r="O36" s="159">
        <f t="shared" si="13"/>
        <v>0</v>
      </c>
      <c r="P36" s="159">
        <f t="shared" si="13"/>
        <v>0</v>
      </c>
      <c r="Q36" s="159">
        <f t="shared" si="13"/>
        <v>0</v>
      </c>
      <c r="R36" s="159">
        <f t="shared" si="13"/>
        <v>0</v>
      </c>
      <c r="S36" s="159">
        <f t="shared" si="13"/>
        <v>0</v>
      </c>
      <c r="T36" s="159">
        <f t="shared" si="13"/>
        <v>0</v>
      </c>
      <c r="U36" s="159">
        <f t="shared" si="13"/>
        <v>0</v>
      </c>
      <c r="V36" s="159">
        <f t="shared" si="13"/>
        <v>0</v>
      </c>
      <c r="W36" s="159">
        <f t="shared" si="13"/>
        <v>0</v>
      </c>
      <c r="X36" s="159">
        <f t="shared" si="13"/>
        <v>0</v>
      </c>
      <c r="Y36" s="160">
        <f t="shared" si="12"/>
        <v>0</v>
      </c>
    </row>
    <row r="37" spans="1:25" s="171" customFormat="1" x14ac:dyDescent="0.2">
      <c r="A37" s="167" t="s">
        <v>176</v>
      </c>
      <c r="B37" s="167"/>
      <c r="C37" s="167"/>
      <c r="D37" s="378">
        <v>1.0228999999999999</v>
      </c>
      <c r="E37" s="168">
        <f>IF(Eligibility!$J$12="MECO - Lanai",$D$32*12,0)</f>
        <v>0</v>
      </c>
      <c r="F37" s="169">
        <f>E37*$D$37</f>
        <v>0</v>
      </c>
      <c r="G37" s="169">
        <f t="shared" ref="G37:X37" si="14">F37*$D$37</f>
        <v>0</v>
      </c>
      <c r="H37" s="169">
        <f t="shared" si="14"/>
        <v>0</v>
      </c>
      <c r="I37" s="169">
        <f t="shared" si="14"/>
        <v>0</v>
      </c>
      <c r="J37" s="169">
        <f t="shared" si="14"/>
        <v>0</v>
      </c>
      <c r="K37" s="169">
        <f t="shared" si="14"/>
        <v>0</v>
      </c>
      <c r="L37" s="169">
        <f t="shared" si="14"/>
        <v>0</v>
      </c>
      <c r="M37" s="169">
        <f t="shared" si="14"/>
        <v>0</v>
      </c>
      <c r="N37" s="169">
        <f t="shared" si="14"/>
        <v>0</v>
      </c>
      <c r="O37" s="169">
        <f t="shared" si="14"/>
        <v>0</v>
      </c>
      <c r="P37" s="169">
        <f t="shared" si="14"/>
        <v>0</v>
      </c>
      <c r="Q37" s="169">
        <f t="shared" si="14"/>
        <v>0</v>
      </c>
      <c r="R37" s="169">
        <f t="shared" si="14"/>
        <v>0</v>
      </c>
      <c r="S37" s="169">
        <f t="shared" si="14"/>
        <v>0</v>
      </c>
      <c r="T37" s="169">
        <f t="shared" si="14"/>
        <v>0</v>
      </c>
      <c r="U37" s="169">
        <f t="shared" si="14"/>
        <v>0</v>
      </c>
      <c r="V37" s="169">
        <f t="shared" si="14"/>
        <v>0</v>
      </c>
      <c r="W37" s="169">
        <f t="shared" si="14"/>
        <v>0</v>
      </c>
      <c r="X37" s="169">
        <f t="shared" si="14"/>
        <v>0</v>
      </c>
      <c r="Y37" s="170">
        <f t="shared" si="12"/>
        <v>0</v>
      </c>
    </row>
    <row r="38" spans="1:25" s="166" customFormat="1" x14ac:dyDescent="0.2">
      <c r="A38" s="162" t="s">
        <v>177</v>
      </c>
      <c r="B38" s="162"/>
      <c r="C38" s="162"/>
      <c r="D38" s="379">
        <v>1.0172000000000001</v>
      </c>
      <c r="E38" s="163">
        <f>IF(Eligibility!$J$12="MECO - Molokai",$D$32*12,0)</f>
        <v>0</v>
      </c>
      <c r="F38" s="164">
        <f>E38*$D$38</f>
        <v>0</v>
      </c>
      <c r="G38" s="164">
        <f t="shared" ref="G38:X38" si="15">F38*$D$38</f>
        <v>0</v>
      </c>
      <c r="H38" s="164">
        <f t="shared" si="15"/>
        <v>0</v>
      </c>
      <c r="I38" s="164">
        <f t="shared" si="15"/>
        <v>0</v>
      </c>
      <c r="J38" s="164">
        <f t="shared" si="15"/>
        <v>0</v>
      </c>
      <c r="K38" s="164">
        <f t="shared" si="15"/>
        <v>0</v>
      </c>
      <c r="L38" s="164">
        <f t="shared" si="15"/>
        <v>0</v>
      </c>
      <c r="M38" s="164">
        <f t="shared" si="15"/>
        <v>0</v>
      </c>
      <c r="N38" s="164">
        <f t="shared" si="15"/>
        <v>0</v>
      </c>
      <c r="O38" s="164">
        <f t="shared" si="15"/>
        <v>0</v>
      </c>
      <c r="P38" s="164">
        <f t="shared" si="15"/>
        <v>0</v>
      </c>
      <c r="Q38" s="164">
        <f t="shared" si="15"/>
        <v>0</v>
      </c>
      <c r="R38" s="164">
        <f t="shared" si="15"/>
        <v>0</v>
      </c>
      <c r="S38" s="164">
        <f t="shared" si="15"/>
        <v>0</v>
      </c>
      <c r="T38" s="164">
        <f t="shared" si="15"/>
        <v>0</v>
      </c>
      <c r="U38" s="164">
        <f t="shared" si="15"/>
        <v>0</v>
      </c>
      <c r="V38" s="164">
        <f t="shared" si="15"/>
        <v>0</v>
      </c>
      <c r="W38" s="164">
        <f t="shared" si="15"/>
        <v>0</v>
      </c>
      <c r="X38" s="164">
        <f t="shared" si="15"/>
        <v>0</v>
      </c>
      <c r="Y38" s="165">
        <f t="shared" si="12"/>
        <v>0</v>
      </c>
    </row>
    <row r="39" spans="1:25" s="414" customFormat="1" hidden="1" x14ac:dyDescent="0.2">
      <c r="A39" s="411"/>
      <c r="B39" s="411"/>
      <c r="C39" s="411"/>
      <c r="D39" s="410"/>
      <c r="E39" s="415">
        <f>IF((E14/12)&lt;$B$29,(E14/12)*C29,$B$29*C29)</f>
        <v>0</v>
      </c>
      <c r="F39" s="412">
        <f>IF((F14/12)&lt;=$B$29,(F14/12)*F$26,$B$29*F$26)</f>
        <v>0</v>
      </c>
      <c r="G39" s="412">
        <f t="shared" ref="G39:X39" si="16">IF((G14/12)&lt;=$B$29,(G14/12)*G$26,$B$29*G$26)</f>
        <v>0</v>
      </c>
      <c r="H39" s="412">
        <f t="shared" si="16"/>
        <v>0</v>
      </c>
      <c r="I39" s="412">
        <f t="shared" si="16"/>
        <v>0</v>
      </c>
      <c r="J39" s="412">
        <f t="shared" si="16"/>
        <v>0</v>
      </c>
      <c r="K39" s="412">
        <f t="shared" si="16"/>
        <v>0</v>
      </c>
      <c r="L39" s="412">
        <f t="shared" si="16"/>
        <v>0</v>
      </c>
      <c r="M39" s="412">
        <f t="shared" si="16"/>
        <v>0</v>
      </c>
      <c r="N39" s="412">
        <f t="shared" si="16"/>
        <v>0</v>
      </c>
      <c r="O39" s="412">
        <f t="shared" si="16"/>
        <v>0</v>
      </c>
      <c r="P39" s="412">
        <f t="shared" si="16"/>
        <v>0</v>
      </c>
      <c r="Q39" s="412">
        <f t="shared" si="16"/>
        <v>0</v>
      </c>
      <c r="R39" s="412">
        <f t="shared" si="16"/>
        <v>0</v>
      </c>
      <c r="S39" s="412">
        <f t="shared" si="16"/>
        <v>0</v>
      </c>
      <c r="T39" s="412">
        <f t="shared" si="16"/>
        <v>0</v>
      </c>
      <c r="U39" s="412">
        <f t="shared" si="16"/>
        <v>0</v>
      </c>
      <c r="V39" s="412">
        <f t="shared" si="16"/>
        <v>0</v>
      </c>
      <c r="W39" s="412">
        <f t="shared" si="16"/>
        <v>0</v>
      </c>
      <c r="X39" s="412">
        <f t="shared" si="16"/>
        <v>0</v>
      </c>
      <c r="Y39" s="172"/>
    </row>
    <row r="40" spans="1:25" s="414" customFormat="1" hidden="1" x14ac:dyDescent="0.2">
      <c r="A40" s="411"/>
      <c r="B40" s="411"/>
      <c r="C40" s="411"/>
      <c r="D40" s="410"/>
      <c r="E40" s="416">
        <f>IF(AND((E14/12)&gt;$B$29,(E14/12)&lt;$B$31),((E14/12)-$B$29)*$C$30,IF((E14/12)&lt;$B$29,0,$B$30*$C$30))</f>
        <v>0</v>
      </c>
      <c r="F40" s="416">
        <f>IF(AND((F14/12)&gt;$B$29,(F14/12)&lt;$B$31),((F14/12)-$B$29)*(F$27),IF((F14/12)&lt;$B$29,0,$B$30*(F$27)))</f>
        <v>0</v>
      </c>
      <c r="G40" s="416">
        <f t="shared" ref="G40:X40" si="17">IF(AND((G14/12)&gt;$B$29,(G14/12)&lt;$B$31),((G14/12)-$B$29)*(G$27),IF((G14/12)&lt;$B$29,0,$B$30*(G$27)))</f>
        <v>0</v>
      </c>
      <c r="H40" s="416">
        <f t="shared" si="17"/>
        <v>0</v>
      </c>
      <c r="I40" s="416">
        <f t="shared" si="17"/>
        <v>0</v>
      </c>
      <c r="J40" s="416">
        <f t="shared" si="17"/>
        <v>0</v>
      </c>
      <c r="K40" s="416">
        <f t="shared" si="17"/>
        <v>0</v>
      </c>
      <c r="L40" s="416">
        <f t="shared" si="17"/>
        <v>0</v>
      </c>
      <c r="M40" s="416">
        <f t="shared" si="17"/>
        <v>0</v>
      </c>
      <c r="N40" s="416">
        <f t="shared" si="17"/>
        <v>0</v>
      </c>
      <c r="O40" s="416">
        <f t="shared" si="17"/>
        <v>0</v>
      </c>
      <c r="P40" s="416">
        <f t="shared" si="17"/>
        <v>0</v>
      </c>
      <c r="Q40" s="416">
        <f t="shared" si="17"/>
        <v>0</v>
      </c>
      <c r="R40" s="416">
        <f t="shared" si="17"/>
        <v>0</v>
      </c>
      <c r="S40" s="416">
        <f t="shared" si="17"/>
        <v>0</v>
      </c>
      <c r="T40" s="416">
        <f t="shared" si="17"/>
        <v>0</v>
      </c>
      <c r="U40" s="416">
        <f t="shared" si="17"/>
        <v>0</v>
      </c>
      <c r="V40" s="416">
        <f t="shared" si="17"/>
        <v>0</v>
      </c>
      <c r="W40" s="416">
        <f t="shared" si="17"/>
        <v>0</v>
      </c>
      <c r="X40" s="416">
        <f t="shared" si="17"/>
        <v>0</v>
      </c>
      <c r="Y40" s="172"/>
    </row>
    <row r="41" spans="1:25" s="414" customFormat="1" hidden="1" x14ac:dyDescent="0.2">
      <c r="A41" s="411"/>
      <c r="B41" s="411"/>
      <c r="C41" s="411"/>
      <c r="D41" s="410"/>
      <c r="E41" s="415">
        <f>IF((E14/12)&gt;=$B$31,((E14/12)-$B$31)*$C$31,0)</f>
        <v>0</v>
      </c>
      <c r="F41" s="417">
        <f>IF((F14/12)&gt;=$B$31,((F14/12)-$B$31)*F$28,0)</f>
        <v>0</v>
      </c>
      <c r="G41" s="417">
        <f t="shared" ref="G41:X41" si="18">IF((G14/12)&gt;=$B$31,((G14/12)-$B$31)*G$28,0)</f>
        <v>0</v>
      </c>
      <c r="H41" s="417">
        <f t="shared" si="18"/>
        <v>0</v>
      </c>
      <c r="I41" s="417">
        <f t="shared" si="18"/>
        <v>0</v>
      </c>
      <c r="J41" s="417">
        <f t="shared" si="18"/>
        <v>0</v>
      </c>
      <c r="K41" s="417">
        <f t="shared" si="18"/>
        <v>0</v>
      </c>
      <c r="L41" s="417">
        <f t="shared" si="18"/>
        <v>0</v>
      </c>
      <c r="M41" s="417">
        <f t="shared" si="18"/>
        <v>0</v>
      </c>
      <c r="N41" s="417">
        <f t="shared" si="18"/>
        <v>0</v>
      </c>
      <c r="O41" s="417">
        <f t="shared" si="18"/>
        <v>0</v>
      </c>
      <c r="P41" s="417">
        <f t="shared" si="18"/>
        <v>0</v>
      </c>
      <c r="Q41" s="417">
        <f t="shared" si="18"/>
        <v>0</v>
      </c>
      <c r="R41" s="417">
        <f t="shared" si="18"/>
        <v>0</v>
      </c>
      <c r="S41" s="417">
        <f t="shared" si="18"/>
        <v>0</v>
      </c>
      <c r="T41" s="417">
        <f t="shared" si="18"/>
        <v>0</v>
      </c>
      <c r="U41" s="417">
        <f t="shared" si="18"/>
        <v>0</v>
      </c>
      <c r="V41" s="417">
        <f t="shared" si="18"/>
        <v>0</v>
      </c>
      <c r="W41" s="417">
        <f t="shared" si="18"/>
        <v>0</v>
      </c>
      <c r="X41" s="417">
        <f t="shared" si="18"/>
        <v>0</v>
      </c>
      <c r="Y41" s="413"/>
    </row>
    <row r="42" spans="1:25" s="66" customFormat="1" x14ac:dyDescent="0.2">
      <c r="A42" s="129" t="s">
        <v>391</v>
      </c>
      <c r="B42" s="129"/>
      <c r="C42" s="129"/>
      <c r="D42" s="129"/>
      <c r="E42" s="141">
        <f>SUM(E39:E41)*12</f>
        <v>0</v>
      </c>
      <c r="F42" s="141">
        <f t="shared" ref="F42:X42" si="19">SUM(F39:F41)*12</f>
        <v>0</v>
      </c>
      <c r="G42" s="141">
        <f t="shared" si="19"/>
        <v>0</v>
      </c>
      <c r="H42" s="141">
        <f t="shared" si="19"/>
        <v>0</v>
      </c>
      <c r="I42" s="141">
        <f t="shared" si="19"/>
        <v>0</v>
      </c>
      <c r="J42" s="141">
        <f t="shared" si="19"/>
        <v>0</v>
      </c>
      <c r="K42" s="141">
        <f t="shared" si="19"/>
        <v>0</v>
      </c>
      <c r="L42" s="141">
        <f t="shared" si="19"/>
        <v>0</v>
      </c>
      <c r="M42" s="141">
        <f t="shared" si="19"/>
        <v>0</v>
      </c>
      <c r="N42" s="141">
        <f t="shared" si="19"/>
        <v>0</v>
      </c>
      <c r="O42" s="141">
        <f t="shared" si="19"/>
        <v>0</v>
      </c>
      <c r="P42" s="141">
        <f t="shared" si="19"/>
        <v>0</v>
      </c>
      <c r="Q42" s="141">
        <f t="shared" si="19"/>
        <v>0</v>
      </c>
      <c r="R42" s="141">
        <f t="shared" si="19"/>
        <v>0</v>
      </c>
      <c r="S42" s="141">
        <f t="shared" si="19"/>
        <v>0</v>
      </c>
      <c r="T42" s="141">
        <f t="shared" si="19"/>
        <v>0</v>
      </c>
      <c r="U42" s="141">
        <f t="shared" si="19"/>
        <v>0</v>
      </c>
      <c r="V42" s="141">
        <f t="shared" si="19"/>
        <v>0</v>
      </c>
      <c r="W42" s="141">
        <f t="shared" si="19"/>
        <v>0</v>
      </c>
      <c r="X42" s="141">
        <f t="shared" si="19"/>
        <v>0</v>
      </c>
      <c r="Y42" s="131">
        <f>SUM(E42:X42)</f>
        <v>0</v>
      </c>
    </row>
    <row r="43" spans="1:25" s="66" customFormat="1" x14ac:dyDescent="0.2">
      <c r="A43" s="129" t="s">
        <v>110</v>
      </c>
      <c r="B43" s="129"/>
      <c r="C43" s="129"/>
      <c r="D43" s="132"/>
      <c r="E43" s="141">
        <f>D11*12</f>
        <v>0</v>
      </c>
      <c r="F43" s="130">
        <f>E43</f>
        <v>0</v>
      </c>
      <c r="G43" s="130">
        <f t="shared" ref="G43:X43" si="20">F43</f>
        <v>0</v>
      </c>
      <c r="H43" s="130">
        <f t="shared" si="20"/>
        <v>0</v>
      </c>
      <c r="I43" s="130">
        <f t="shared" si="20"/>
        <v>0</v>
      </c>
      <c r="J43" s="130">
        <f t="shared" si="20"/>
        <v>0</v>
      </c>
      <c r="K43" s="130">
        <f t="shared" si="20"/>
        <v>0</v>
      </c>
      <c r="L43" s="130">
        <f t="shared" si="20"/>
        <v>0</v>
      </c>
      <c r="M43" s="130">
        <f t="shared" si="20"/>
        <v>0</v>
      </c>
      <c r="N43" s="130">
        <f t="shared" si="20"/>
        <v>0</v>
      </c>
      <c r="O43" s="130">
        <f t="shared" si="20"/>
        <v>0</v>
      </c>
      <c r="P43" s="130">
        <f t="shared" si="20"/>
        <v>0</v>
      </c>
      <c r="Q43" s="130">
        <f t="shared" si="20"/>
        <v>0</v>
      </c>
      <c r="R43" s="130">
        <f t="shared" si="20"/>
        <v>0</v>
      </c>
      <c r="S43" s="130">
        <f t="shared" si="20"/>
        <v>0</v>
      </c>
      <c r="T43" s="130">
        <f t="shared" si="20"/>
        <v>0</v>
      </c>
      <c r="U43" s="130">
        <f t="shared" si="20"/>
        <v>0</v>
      </c>
      <c r="V43" s="130">
        <f t="shared" si="20"/>
        <v>0</v>
      </c>
      <c r="W43" s="130">
        <f t="shared" si="20"/>
        <v>0</v>
      </c>
      <c r="X43" s="130">
        <f t="shared" si="20"/>
        <v>0</v>
      </c>
      <c r="Y43" s="131">
        <f t="shared" si="12"/>
        <v>0</v>
      </c>
    </row>
    <row r="44" spans="1:25" s="66" customFormat="1" x14ac:dyDescent="0.2">
      <c r="A44" s="129"/>
      <c r="B44" s="129"/>
      <c r="C44" s="129"/>
      <c r="D44" s="132"/>
      <c r="E44" s="141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1"/>
    </row>
    <row r="45" spans="1:25" s="151" customFormat="1" x14ac:dyDescent="0.2">
      <c r="A45" s="147" t="s">
        <v>246</v>
      </c>
      <c r="B45" s="147"/>
      <c r="C45" s="147"/>
      <c r="D45" s="178"/>
      <c r="E45" s="179">
        <f>IF(Eligibility!$J$12="HECO",SUM(E29:E31)*12,0)</f>
        <v>4055.5694159999998</v>
      </c>
      <c r="F45" s="179">
        <f>IF(Eligibility!$J$12="HECO",SUM(F29:F31)*12,0)</f>
        <v>4258.7534437415998</v>
      </c>
      <c r="G45" s="179">
        <f>IF(Eligibility!$J$12="HECO",SUM(G29:G31)*12,0)</f>
        <v>4472.1169912730547</v>
      </c>
      <c r="H45" s="179">
        <f>IF(Eligibility!$J$12="HECO",SUM(H29:H31)*12,0)</f>
        <v>4696.1700525358347</v>
      </c>
      <c r="I45" s="179">
        <f>IF(Eligibility!$J$12="HECO",SUM(I29:I31)*12,0)</f>
        <v>4931.4481721678803</v>
      </c>
      <c r="J45" s="179">
        <f>IF(Eligibility!$J$12="HECO",SUM(J29:J31)*12,0)</f>
        <v>5178.5137255934915</v>
      </c>
      <c r="K45" s="179">
        <f>IF(Eligibility!$J$12="HECO",SUM(K29:K31)*12,0)</f>
        <v>5437.9572632457257</v>
      </c>
      <c r="L45" s="179">
        <f>IF(Eligibility!$J$12="HECO",SUM(L29:L31)*12,0)</f>
        <v>5710.3989221343363</v>
      </c>
      <c r="M45" s="179">
        <f>IF(Eligibility!$J$12="HECO",SUM(M29:M31)*12,0)</f>
        <v>5996.4899081332678</v>
      </c>
      <c r="N45" s="179">
        <f>IF(Eligibility!$J$12="HECO",SUM(N29:N31)*12,0)</f>
        <v>6296.914052530743</v>
      </c>
      <c r="O45" s="179">
        <f>IF(Eligibility!$J$12="HECO",SUM(O29:O31)*12,0)</f>
        <v>6612.3894465625344</v>
      </c>
      <c r="P45" s="179">
        <f>IF(Eligibility!$J$12="HECO",SUM(P29:P31)*12,0)</f>
        <v>6943.6701578353177</v>
      </c>
      <c r="Q45" s="179">
        <f>IF(Eligibility!$J$12="HECO",SUM(Q29:Q31)*12,0)</f>
        <v>7291.5480327428668</v>
      </c>
      <c r="R45" s="179">
        <f>IF(Eligibility!$J$12="HECO",SUM(R29:R31)*12,0)</f>
        <v>7656.8545891832855</v>
      </c>
      <c r="S45" s="179">
        <f>IF(Eligibility!$J$12="HECO",SUM(S29:S31)*12,0)</f>
        <v>8040.4630041013661</v>
      </c>
      <c r="T45" s="179">
        <f>IF(Eligibility!$J$12="HECO",SUM(T29:T31)*12,0)</f>
        <v>8443.2902006068471</v>
      </c>
      <c r="U45" s="179">
        <f>IF(Eligibility!$J$12="HECO",SUM(U29:U31)*12,0)</f>
        <v>8866.2990396572495</v>
      </c>
      <c r="V45" s="179">
        <f>IF(Eligibility!$J$12="HECO",SUM(V29:V31)*12,0)</f>
        <v>9310.5006215440771</v>
      </c>
      <c r="W45" s="179">
        <f>IF(Eligibility!$J$12="HECO",SUM(W29:W31)*12,0)</f>
        <v>9776.9567026834357</v>
      </c>
      <c r="X45" s="179">
        <f>IF(Eligibility!$J$12="HECO",SUM(X29:X31)*12,0)</f>
        <v>10266.782233487877</v>
      </c>
      <c r="Y45" s="150">
        <f t="shared" si="12"/>
        <v>134243.0859757608</v>
      </c>
    </row>
    <row r="46" spans="1:25" s="151" customFormat="1" ht="17" x14ac:dyDescent="0.3">
      <c r="A46" s="147" t="s">
        <v>395</v>
      </c>
      <c r="B46" s="147"/>
      <c r="C46" s="147"/>
      <c r="D46" s="381">
        <v>0</v>
      </c>
      <c r="E46" s="293">
        <f>IF(Eligibility!$J$12="HECO",(IF((AND(Eligibility!$J$12="HECO",E22&lt;=$G$12,E22&lt;=E16)),0,-(E22-E16)*$D$46)),0)</f>
        <v>0</v>
      </c>
      <c r="F46" s="293">
        <f>IF(Eligibility!$J$12="HECO",(IF((AND(Eligibility!$J$12="HECO",F22&lt;=$G$12,F22&lt;=F16)),0,-(F22-F16)*$D$46)),0)</f>
        <v>0</v>
      </c>
      <c r="G46" s="293">
        <f>IF(Eligibility!$J$12="HECO",(IF((AND(Eligibility!$J$12="HECO",G22&lt;=$G$12,G22&lt;=G16)),0,-(G22-G16)*$D$46)),0)</f>
        <v>0</v>
      </c>
      <c r="H46" s="293">
        <f>IF(Eligibility!$J$12="HECO",(IF((AND(Eligibility!$J$12="HECO",H22&lt;=$G$12,H22&lt;=H16)),0,-(H22-H16)*$D$46)),0)</f>
        <v>0</v>
      </c>
      <c r="I46" s="293">
        <f>IF(Eligibility!$J$12="HECO",(IF((AND(Eligibility!$J$12="HECO",I22&lt;=$G$12,I22&lt;=I16)),0,-(I22-I16)*$D$46)),0)</f>
        <v>0</v>
      </c>
      <c r="J46" s="293">
        <f>IF(Eligibility!$J$12="HECO",(IF((AND(Eligibility!$J$12="HECO",J22&lt;=$G$12,J22&lt;=J16)),0,-(J22-J16)*$D$46)),0)</f>
        <v>0</v>
      </c>
      <c r="K46" s="293">
        <f>IF(Eligibility!$J$12="HECO",(IF((AND(Eligibility!$J$12="HECO",K22&lt;=$G$12,K22&lt;=K16)),0,-(K22-K16)*$D$46)),0)</f>
        <v>0</v>
      </c>
      <c r="L46" s="293">
        <f>IF(Eligibility!$J$12="HECO",(IF((AND(Eligibility!$J$12="HECO",L22&lt;=$G$12,L22&lt;=L16)),0,-(L22-L16)*$D$46)),0)</f>
        <v>0</v>
      </c>
      <c r="M46" s="293">
        <f>IF(Eligibility!$J$12="HECO",(IF((AND(Eligibility!$J$12="HECO",M22&lt;=$G$12,M22&lt;=M16)),0,-(M22-M16)*$D$46)),0)</f>
        <v>0</v>
      </c>
      <c r="N46" s="293">
        <f>IF(Eligibility!$J$12="HECO",(IF((AND(Eligibility!$J$12="HECO",N22&lt;=$G$12,N22&lt;=N16)),0,-(N22-N16)*$D$46)),0)</f>
        <v>0</v>
      </c>
      <c r="O46" s="293">
        <f>IF(Eligibility!$J$12="HECO",(IF((AND(Eligibility!$J$12="HECO",O22&lt;=$G$12,O22&lt;=O16)),0,-(O22-O16)*$D$46)),0)</f>
        <v>0</v>
      </c>
      <c r="P46" s="293">
        <f>IF(Eligibility!$J$12="HECO",(IF((AND(Eligibility!$J$12="HECO",P22&lt;=$G$12,P22&lt;=P16)),0,-(P22-P16)*$D$46)),0)</f>
        <v>0</v>
      </c>
      <c r="Q46" s="293">
        <f>IF(Eligibility!$J$12="HECO",(IF((AND(Eligibility!$J$12="HECO",Q22&lt;=$G$12,Q22&lt;=Q16)),0,-(Q22-Q16)*$D$46)),0)</f>
        <v>0</v>
      </c>
      <c r="R46" s="293">
        <f>IF(Eligibility!$J$12="HECO",(IF((AND(Eligibility!$J$12="HECO",R22&lt;=$G$12,R22&lt;=R16)),0,-(R22-R16)*$D$46)),0)</f>
        <v>0</v>
      </c>
      <c r="S46" s="293">
        <f>IF(Eligibility!$J$12="HECO",(IF((AND(Eligibility!$J$12="HECO",S22&lt;=$G$12,S22&lt;=S16)),0,-(S22-S16)*$D$46)),0)</f>
        <v>0</v>
      </c>
      <c r="T46" s="293">
        <f>IF(Eligibility!$J$12="HECO",(IF((AND(Eligibility!$J$12="HECO",T22&lt;=$G$12,T22&lt;=T16)),0,-(T22-T16)*$D$46)),0)</f>
        <v>0</v>
      </c>
      <c r="U46" s="293">
        <f>IF(Eligibility!$J$12="HECO",(IF((AND(Eligibility!$J$12="HECO",U22&lt;=$G$12,U22&lt;=U16)),0,-(U22-U16)*$D$46)),0)</f>
        <v>0</v>
      </c>
      <c r="V46" s="293">
        <f>IF(Eligibility!$J$12="HECO",(IF((AND(Eligibility!$J$12="HECO",V22&lt;=$G$12,V22&lt;=V16)),0,-(V22-V16)*$D$46)),0)</f>
        <v>0</v>
      </c>
      <c r="W46" s="293">
        <f>IF(Eligibility!$J$12="HECO",(IF((AND(Eligibility!$J$12="HECO",W22&lt;=$G$12,W22&lt;=W16)),0,-(W22-W16)*$D$46)),0)</f>
        <v>0</v>
      </c>
      <c r="X46" s="293">
        <f>IF(Eligibility!$J$12="HECO",(IF((AND(Eligibility!$J$12="HECO",X22&lt;=$G$12,X22&lt;=X16)),0,-(X22-X16)*$D$46)),0)</f>
        <v>0</v>
      </c>
      <c r="Y46" s="294">
        <f t="shared" si="12"/>
        <v>0</v>
      </c>
    </row>
    <row r="47" spans="1:25" s="151" customFormat="1" x14ac:dyDescent="0.2">
      <c r="A47" s="147" t="s">
        <v>257</v>
      </c>
      <c r="B47" s="147"/>
      <c r="C47" s="147"/>
      <c r="D47" s="178"/>
      <c r="E47" s="179">
        <f>SUM(E45:E46)</f>
        <v>4055.5694159999998</v>
      </c>
      <c r="F47" s="179">
        <f t="shared" ref="F47:X47" si="21">SUM(F45:F46)</f>
        <v>4258.7534437415998</v>
      </c>
      <c r="G47" s="179">
        <f t="shared" si="21"/>
        <v>4472.1169912730547</v>
      </c>
      <c r="H47" s="179">
        <f t="shared" si="21"/>
        <v>4696.1700525358347</v>
      </c>
      <c r="I47" s="179">
        <f t="shared" si="21"/>
        <v>4931.4481721678803</v>
      </c>
      <c r="J47" s="179">
        <f t="shared" si="21"/>
        <v>5178.5137255934915</v>
      </c>
      <c r="K47" s="179">
        <f t="shared" si="21"/>
        <v>5437.9572632457257</v>
      </c>
      <c r="L47" s="179">
        <f t="shared" si="21"/>
        <v>5710.3989221343363</v>
      </c>
      <c r="M47" s="179">
        <f t="shared" si="21"/>
        <v>5996.4899081332678</v>
      </c>
      <c r="N47" s="179">
        <f t="shared" si="21"/>
        <v>6296.914052530743</v>
      </c>
      <c r="O47" s="179">
        <f t="shared" si="21"/>
        <v>6612.3894465625344</v>
      </c>
      <c r="P47" s="179">
        <f t="shared" si="21"/>
        <v>6943.6701578353177</v>
      </c>
      <c r="Q47" s="179">
        <f t="shared" si="21"/>
        <v>7291.5480327428668</v>
      </c>
      <c r="R47" s="179">
        <f t="shared" si="21"/>
        <v>7656.8545891832855</v>
      </c>
      <c r="S47" s="179">
        <f t="shared" si="21"/>
        <v>8040.4630041013661</v>
      </c>
      <c r="T47" s="179">
        <f t="shared" si="21"/>
        <v>8443.2902006068471</v>
      </c>
      <c r="U47" s="179">
        <f t="shared" si="21"/>
        <v>8866.2990396572495</v>
      </c>
      <c r="V47" s="179">
        <f t="shared" si="21"/>
        <v>9310.5006215440771</v>
      </c>
      <c r="W47" s="179">
        <f t="shared" si="21"/>
        <v>9776.9567026834357</v>
      </c>
      <c r="X47" s="179">
        <f t="shared" si="21"/>
        <v>10266.782233487877</v>
      </c>
      <c r="Y47" s="150">
        <f t="shared" si="12"/>
        <v>134243.0859757608</v>
      </c>
    </row>
    <row r="48" spans="1:25" s="156" customFormat="1" x14ac:dyDescent="0.2">
      <c r="A48" s="152" t="s">
        <v>189</v>
      </c>
      <c r="B48" s="152"/>
      <c r="C48" s="152"/>
      <c r="D48" s="183"/>
      <c r="E48" s="184">
        <f>IF(Eligibility!$J$12="HELCO",SUM(E29:E31)*12,0)</f>
        <v>0</v>
      </c>
      <c r="F48" s="184">
        <f>IF(Eligibility!$J$12="HELCO",SUM(F29:F31)*12,0)</f>
        <v>0</v>
      </c>
      <c r="G48" s="184">
        <f>IF(Eligibility!$J$12="HELCO",SUM(G29:G31)*12,0)</f>
        <v>0</v>
      </c>
      <c r="H48" s="184">
        <f>IF(Eligibility!$J$12="HELCO",SUM(H29:H31)*12,0)</f>
        <v>0</v>
      </c>
      <c r="I48" s="184">
        <f>IF(Eligibility!$J$12="HELCO",SUM(I29:I31)*12,0)</f>
        <v>0</v>
      </c>
      <c r="J48" s="184">
        <f>IF(Eligibility!$J$12="HELCO",SUM(J29:J31)*12,0)</f>
        <v>0</v>
      </c>
      <c r="K48" s="184">
        <f>IF(Eligibility!$J$12="HELCO",SUM(K29:K31)*12,0)</f>
        <v>0</v>
      </c>
      <c r="L48" s="184">
        <f>IF(Eligibility!$J$12="HELCO",SUM(L29:L31)*12,0)</f>
        <v>0</v>
      </c>
      <c r="M48" s="184">
        <f>IF(Eligibility!$J$12="HELCO",SUM(M29:M31)*12,0)</f>
        <v>0</v>
      </c>
      <c r="N48" s="184">
        <f>IF(Eligibility!$J$12="HELCO",SUM(N29:N31)*12,0)</f>
        <v>0</v>
      </c>
      <c r="O48" s="184">
        <f>IF(Eligibility!$J$12="HELCO",SUM(O29:O31)*12,0)</f>
        <v>0</v>
      </c>
      <c r="P48" s="184">
        <f>IF(Eligibility!$J$12="HELCO",SUM(P29:P31)*12,0)</f>
        <v>0</v>
      </c>
      <c r="Q48" s="184">
        <f>IF(Eligibility!$J$12="HELCO",SUM(Q29:Q31)*12,0)</f>
        <v>0</v>
      </c>
      <c r="R48" s="184">
        <f>IF(Eligibility!$J$12="HELCO",SUM(R29:R31)*12,0)</f>
        <v>0</v>
      </c>
      <c r="S48" s="184">
        <f>IF(Eligibility!$J$12="HELCO",SUM(S29:S31)*12,0)</f>
        <v>0</v>
      </c>
      <c r="T48" s="184">
        <f>IF(Eligibility!$J$12="HELCO",SUM(T29:T31)*12,0)</f>
        <v>0</v>
      </c>
      <c r="U48" s="184">
        <f>IF(Eligibility!$J$12="HELCO",SUM(U29:U31)*12,0)</f>
        <v>0</v>
      </c>
      <c r="V48" s="184">
        <f>IF(Eligibility!$J$12="HELCO",SUM(V29:V31)*12,0)</f>
        <v>0</v>
      </c>
      <c r="W48" s="184">
        <f>IF(Eligibility!$J$12="HELCO",SUM(W29:W31)*12,0)</f>
        <v>0</v>
      </c>
      <c r="X48" s="184">
        <f>IF(Eligibility!$J$12="HELCO",SUM(X29:X31)*12,0)</f>
        <v>0</v>
      </c>
      <c r="Y48" s="155">
        <f t="shared" si="12"/>
        <v>0</v>
      </c>
    </row>
    <row r="49" spans="1:27" s="156" customFormat="1" ht="17" x14ac:dyDescent="0.3">
      <c r="A49" s="152" t="s">
        <v>395</v>
      </c>
      <c r="B49" s="152"/>
      <c r="C49" s="152"/>
      <c r="D49" s="382">
        <v>0</v>
      </c>
      <c r="E49" s="295">
        <f>IF(Eligibility!$J$12="HELCO",-(E$21*$D$49),0)</f>
        <v>0</v>
      </c>
      <c r="F49" s="295">
        <f>IF(Eligibility!$J$12="HELCO",-(F$21*$D$49),0)</f>
        <v>0</v>
      </c>
      <c r="G49" s="295">
        <f>IF(Eligibility!$J$12="HELCO",-(G$21*$D$49),0)</f>
        <v>0</v>
      </c>
      <c r="H49" s="295">
        <f>IF(Eligibility!$J$12="HELCO",-(H$21*$D$49),0)</f>
        <v>0</v>
      </c>
      <c r="I49" s="295">
        <f>IF(Eligibility!$J$12="HELCO",-(I$21*$D$49),0)</f>
        <v>0</v>
      </c>
      <c r="J49" s="295">
        <f>IF(Eligibility!$J$12="HELCO",-(J$21*$D$49),0)</f>
        <v>0</v>
      </c>
      <c r="K49" s="295">
        <f>IF(Eligibility!$J$12="HELCO",-(K$21*$D$49),0)</f>
        <v>0</v>
      </c>
      <c r="L49" s="295">
        <f>IF(Eligibility!$J$12="HELCO",-(L$21*$D$49),0)</f>
        <v>0</v>
      </c>
      <c r="M49" s="295">
        <f>IF(Eligibility!$J$12="HELCO",-(M$21*$D$49),0)</f>
        <v>0</v>
      </c>
      <c r="N49" s="295">
        <f>IF(Eligibility!$J$12="HELCO",-(N$21*$D$49),0)</f>
        <v>0</v>
      </c>
      <c r="O49" s="295">
        <f>IF(Eligibility!$J$12="HELCO",-(O$21*$D$49),0)</f>
        <v>0</v>
      </c>
      <c r="P49" s="295">
        <f>IF(Eligibility!$J$12="HELCO",-(P$21*$D$49),0)</f>
        <v>0</v>
      </c>
      <c r="Q49" s="295">
        <f>IF(Eligibility!$J$12="HELCO",-(Q$21*$D$49),0)</f>
        <v>0</v>
      </c>
      <c r="R49" s="295">
        <f>IF(Eligibility!$J$12="HELCO",-(R$21*$D$49),0)</f>
        <v>0</v>
      </c>
      <c r="S49" s="295">
        <f>IF(Eligibility!$J$12="HELCO",-(S$21*$D$49),0)</f>
        <v>0</v>
      </c>
      <c r="T49" s="295">
        <f>IF(Eligibility!$J$12="HELCO",-(T$21*$D$49),0)</f>
        <v>0</v>
      </c>
      <c r="U49" s="295">
        <f>IF(Eligibility!$J$12="HELCO",-(U$21*$D$49),0)</f>
        <v>0</v>
      </c>
      <c r="V49" s="295">
        <f>IF(Eligibility!$J$12="HELCO",-(V$21*$D$49),0)</f>
        <v>0</v>
      </c>
      <c r="W49" s="295">
        <f>IF(Eligibility!$J$12="HELCO",-(W$21*$D$49),0)</f>
        <v>0</v>
      </c>
      <c r="X49" s="295">
        <f>IF(Eligibility!$J$12="HELCO",-(X$21*$D$49),0)</f>
        <v>0</v>
      </c>
      <c r="Y49" s="296">
        <f t="shared" si="12"/>
        <v>0</v>
      </c>
    </row>
    <row r="50" spans="1:27" s="156" customFormat="1" x14ac:dyDescent="0.2">
      <c r="A50" s="152" t="s">
        <v>259</v>
      </c>
      <c r="B50" s="152"/>
      <c r="C50" s="152"/>
      <c r="D50" s="183"/>
      <c r="E50" s="184">
        <f>SUM(E48:E49)</f>
        <v>0</v>
      </c>
      <c r="F50" s="184">
        <f t="shared" ref="F50:X50" si="22">SUM(F48:F49)</f>
        <v>0</v>
      </c>
      <c r="G50" s="184">
        <f t="shared" si="22"/>
        <v>0</v>
      </c>
      <c r="H50" s="184">
        <f t="shared" si="22"/>
        <v>0</v>
      </c>
      <c r="I50" s="184">
        <f t="shared" si="22"/>
        <v>0</v>
      </c>
      <c r="J50" s="184">
        <f t="shared" si="22"/>
        <v>0</v>
      </c>
      <c r="K50" s="184">
        <f t="shared" si="22"/>
        <v>0</v>
      </c>
      <c r="L50" s="184">
        <f t="shared" si="22"/>
        <v>0</v>
      </c>
      <c r="M50" s="184">
        <f t="shared" si="22"/>
        <v>0</v>
      </c>
      <c r="N50" s="184">
        <f t="shared" si="22"/>
        <v>0</v>
      </c>
      <c r="O50" s="184">
        <f t="shared" si="22"/>
        <v>0</v>
      </c>
      <c r="P50" s="184">
        <f t="shared" si="22"/>
        <v>0</v>
      </c>
      <c r="Q50" s="184">
        <f t="shared" si="22"/>
        <v>0</v>
      </c>
      <c r="R50" s="184">
        <f t="shared" si="22"/>
        <v>0</v>
      </c>
      <c r="S50" s="184">
        <f t="shared" si="22"/>
        <v>0</v>
      </c>
      <c r="T50" s="184">
        <f t="shared" si="22"/>
        <v>0</v>
      </c>
      <c r="U50" s="184">
        <f t="shared" si="22"/>
        <v>0</v>
      </c>
      <c r="V50" s="184">
        <f t="shared" si="22"/>
        <v>0</v>
      </c>
      <c r="W50" s="184">
        <f t="shared" si="22"/>
        <v>0</v>
      </c>
      <c r="X50" s="184">
        <f t="shared" si="22"/>
        <v>0</v>
      </c>
      <c r="Y50" s="155">
        <f t="shared" si="12"/>
        <v>0</v>
      </c>
    </row>
    <row r="51" spans="1:27" s="161" customFormat="1" x14ac:dyDescent="0.2">
      <c r="A51" s="157" t="s">
        <v>190</v>
      </c>
      <c r="B51" s="157"/>
      <c r="C51" s="157"/>
      <c r="D51" s="180"/>
      <c r="E51" s="181">
        <f>IF(Eligibility!$J$12="MECO - Maui",SUM(E29:E31)*12,0)</f>
        <v>0</v>
      </c>
      <c r="F51" s="181">
        <f>IF(Eligibility!$J$12="MECO - Maui",SUM(F29:F31)*12,0)</f>
        <v>0</v>
      </c>
      <c r="G51" s="181">
        <f>IF(Eligibility!$J$12="MECO - Maui",SUM(G29:G31)*12,0)</f>
        <v>0</v>
      </c>
      <c r="H51" s="181">
        <f>IF(Eligibility!$J$12="MECO - Maui",SUM(H29:H31)*12,0)</f>
        <v>0</v>
      </c>
      <c r="I51" s="181">
        <f>IF(Eligibility!$J$12="MECO - Maui",SUM(I29:I31)*12,0)</f>
        <v>0</v>
      </c>
      <c r="J51" s="181">
        <f>IF(Eligibility!$J$12="MECO - Maui",SUM(J29:J31)*12,0)</f>
        <v>0</v>
      </c>
      <c r="K51" s="181">
        <f>IF(Eligibility!$J$12="MECO - Maui",SUM(K29:K31)*12,0)</f>
        <v>0</v>
      </c>
      <c r="L51" s="181">
        <f>IF(Eligibility!$J$12="MECO - Maui",SUM(L29:L31)*12,0)</f>
        <v>0</v>
      </c>
      <c r="M51" s="181">
        <f>IF(Eligibility!$J$12="MECO - Maui",SUM(M29:M31)*12,0)</f>
        <v>0</v>
      </c>
      <c r="N51" s="181">
        <f>IF(Eligibility!$J$12="MECO - Maui",SUM(N29:N31)*12,0)</f>
        <v>0</v>
      </c>
      <c r="O51" s="181">
        <f>IF(Eligibility!$J$12="MECO - Maui",SUM(O29:O31)*12,0)</f>
        <v>0</v>
      </c>
      <c r="P51" s="181">
        <f>IF(Eligibility!$J$12="MECO - Maui",SUM(P29:P31)*12,0)</f>
        <v>0</v>
      </c>
      <c r="Q51" s="181">
        <f>IF(Eligibility!$J$12="MECO - Maui",SUM(Q29:Q31)*12,0)</f>
        <v>0</v>
      </c>
      <c r="R51" s="181">
        <f>IF(Eligibility!$J$12="MECO - Maui",SUM(R29:R31)*12,0)</f>
        <v>0</v>
      </c>
      <c r="S51" s="181">
        <f>IF(Eligibility!$J$12="MECO - Maui",SUM(S29:S31)*12,0)</f>
        <v>0</v>
      </c>
      <c r="T51" s="181">
        <f>IF(Eligibility!$J$12="MECO - Maui",SUM(T29:T31)*12,0)</f>
        <v>0</v>
      </c>
      <c r="U51" s="181">
        <f>IF(Eligibility!$J$12="MECO - Maui",SUM(U29:U31)*12,0)</f>
        <v>0</v>
      </c>
      <c r="V51" s="181">
        <f>IF(Eligibility!$J$12="MECO - Maui",SUM(V29:V31)*12,0)</f>
        <v>0</v>
      </c>
      <c r="W51" s="181">
        <f>IF(Eligibility!$J$12="MECO - Maui",SUM(W29:W31)*12,0)</f>
        <v>0</v>
      </c>
      <c r="X51" s="181">
        <f>IF(Eligibility!$J$12="MECO - Maui",SUM(X29:X31)*12,0)</f>
        <v>0</v>
      </c>
      <c r="Y51" s="160">
        <f t="shared" si="12"/>
        <v>0</v>
      </c>
    </row>
    <row r="52" spans="1:27" s="161" customFormat="1" ht="17" x14ac:dyDescent="0.3">
      <c r="A52" s="157" t="s">
        <v>396</v>
      </c>
      <c r="B52" s="157"/>
      <c r="C52" s="157"/>
      <c r="D52" s="383">
        <v>0</v>
      </c>
      <c r="E52" s="297">
        <f>IF(Eligibility!$J$12="MECO - Maui",-(E$21*$D$52),0)</f>
        <v>0</v>
      </c>
      <c r="F52" s="297">
        <f>IF(Eligibility!$J$12="MECO - Maui",-(F$21*$D$52),0)</f>
        <v>0</v>
      </c>
      <c r="G52" s="297">
        <f>IF(Eligibility!$J$12="MECO - Maui",-(G$21*$D$52),0)</f>
        <v>0</v>
      </c>
      <c r="H52" s="297">
        <f>IF(Eligibility!$J$12="MECO - Maui",-(H$21*$D$52),0)</f>
        <v>0</v>
      </c>
      <c r="I52" s="297">
        <f>IF(Eligibility!$J$12="MECO - Maui",-(I$21*$D$52),0)</f>
        <v>0</v>
      </c>
      <c r="J52" s="297">
        <f>IF(Eligibility!$J$12="MECO - Maui",-(J$21*$D$52),0)</f>
        <v>0</v>
      </c>
      <c r="K52" s="297">
        <f>IF(Eligibility!$J$12="MECO - Maui",-(K$21*$D$52),0)</f>
        <v>0</v>
      </c>
      <c r="L52" s="297">
        <f>IF(Eligibility!$J$12="MECO - Maui",-(L$21*$D$52),0)</f>
        <v>0</v>
      </c>
      <c r="M52" s="297">
        <f>IF(Eligibility!$J$12="MECO - Maui",-(M$21*$D$52),0)</f>
        <v>0</v>
      </c>
      <c r="N52" s="297">
        <f>IF(Eligibility!$J$12="MECO - Maui",-(N$21*$D$52),0)</f>
        <v>0</v>
      </c>
      <c r="O52" s="297">
        <f>IF(Eligibility!$J$12="MECO - Maui",-(O$21*$D$52),0)</f>
        <v>0</v>
      </c>
      <c r="P52" s="297">
        <f>IF(Eligibility!$J$12="MECO - Maui",-(P$21*$D$52),0)</f>
        <v>0</v>
      </c>
      <c r="Q52" s="297">
        <f>IF(Eligibility!$J$12="MECO - Maui",-(Q$21*$D$52),0)</f>
        <v>0</v>
      </c>
      <c r="R52" s="297">
        <f>IF(Eligibility!$J$12="MECO - Maui",-(R$21*$D$52),0)</f>
        <v>0</v>
      </c>
      <c r="S52" s="297">
        <f>IF(Eligibility!$J$12="MECO - Maui",-(S$21*$D$52),0)</f>
        <v>0</v>
      </c>
      <c r="T52" s="297">
        <f>IF(Eligibility!$J$12="MECO - Maui",-(T$21*$D$52),0)</f>
        <v>0</v>
      </c>
      <c r="U52" s="297">
        <f>IF(Eligibility!$J$12="MECO - Maui",-(U$21*$D$52),0)</f>
        <v>0</v>
      </c>
      <c r="V52" s="297">
        <f>IF(Eligibility!$J$12="MECO - Maui",-(V$21*$D$52),0)</f>
        <v>0</v>
      </c>
      <c r="W52" s="297">
        <f>IF(Eligibility!$J$12="MECO - Maui",-(W$21*$D$52),0)</f>
        <v>0</v>
      </c>
      <c r="X52" s="297">
        <f>IF(Eligibility!$J$12="MECO - Maui",-(X$21*$D$52),0)</f>
        <v>0</v>
      </c>
      <c r="Y52" s="298">
        <f t="shared" si="12"/>
        <v>0</v>
      </c>
    </row>
    <row r="53" spans="1:27" s="161" customFormat="1" x14ac:dyDescent="0.2">
      <c r="A53" s="157" t="s">
        <v>258</v>
      </c>
      <c r="B53" s="157"/>
      <c r="C53" s="157"/>
      <c r="D53" s="180"/>
      <c r="E53" s="181">
        <f>SUM(E51:E52)</f>
        <v>0</v>
      </c>
      <c r="F53" s="181">
        <f t="shared" ref="F53:X53" si="23">SUM(F51:F52)</f>
        <v>0</v>
      </c>
      <c r="G53" s="181">
        <f t="shared" si="23"/>
        <v>0</v>
      </c>
      <c r="H53" s="181">
        <f t="shared" si="23"/>
        <v>0</v>
      </c>
      <c r="I53" s="181">
        <f t="shared" si="23"/>
        <v>0</v>
      </c>
      <c r="J53" s="181">
        <f t="shared" si="23"/>
        <v>0</v>
      </c>
      <c r="K53" s="181">
        <f t="shared" si="23"/>
        <v>0</v>
      </c>
      <c r="L53" s="181">
        <f t="shared" si="23"/>
        <v>0</v>
      </c>
      <c r="M53" s="181">
        <f t="shared" si="23"/>
        <v>0</v>
      </c>
      <c r="N53" s="181">
        <f t="shared" si="23"/>
        <v>0</v>
      </c>
      <c r="O53" s="181">
        <f t="shared" si="23"/>
        <v>0</v>
      </c>
      <c r="P53" s="181">
        <f t="shared" si="23"/>
        <v>0</v>
      </c>
      <c r="Q53" s="181">
        <f t="shared" si="23"/>
        <v>0</v>
      </c>
      <c r="R53" s="181">
        <f t="shared" si="23"/>
        <v>0</v>
      </c>
      <c r="S53" s="181">
        <f t="shared" si="23"/>
        <v>0</v>
      </c>
      <c r="T53" s="181">
        <f t="shared" si="23"/>
        <v>0</v>
      </c>
      <c r="U53" s="181">
        <f t="shared" si="23"/>
        <v>0</v>
      </c>
      <c r="V53" s="181">
        <f t="shared" si="23"/>
        <v>0</v>
      </c>
      <c r="W53" s="181">
        <f t="shared" si="23"/>
        <v>0</v>
      </c>
      <c r="X53" s="181">
        <f t="shared" si="23"/>
        <v>0</v>
      </c>
      <c r="Y53" s="160">
        <f t="shared" si="12"/>
        <v>0</v>
      </c>
    </row>
    <row r="54" spans="1:27" s="171" customFormat="1" x14ac:dyDescent="0.2">
      <c r="A54" s="167" t="s">
        <v>191</v>
      </c>
      <c r="B54" s="167"/>
      <c r="C54" s="167"/>
      <c r="D54" s="186"/>
      <c r="E54" s="187">
        <f>IF(Eligibility!$J$12="MECO - Lanai",SUM(E29:E31)*12,0)</f>
        <v>0</v>
      </c>
      <c r="F54" s="187">
        <f>IF(Eligibility!$J$12="MECO - Lanai",SUM(F29:F31)*12,0)</f>
        <v>0</v>
      </c>
      <c r="G54" s="187">
        <f>IF(Eligibility!$J$12="MECO - Lanai",SUM(G29:G31)*12,0)</f>
        <v>0</v>
      </c>
      <c r="H54" s="187">
        <f>IF(Eligibility!$J$12="MECO - Lanai",SUM(H29:H31)*12,0)</f>
        <v>0</v>
      </c>
      <c r="I54" s="187">
        <f>IF(Eligibility!$J$12="MECO - Lanai",SUM(I29:I31)*12,0)</f>
        <v>0</v>
      </c>
      <c r="J54" s="187">
        <f>IF(Eligibility!$J$12="MECO - Lanai",SUM(J29:J31)*12,0)</f>
        <v>0</v>
      </c>
      <c r="K54" s="187">
        <f>IF(Eligibility!$J$12="MECO - Lanai",SUM(K29:K31)*12,0)</f>
        <v>0</v>
      </c>
      <c r="L54" s="187">
        <f>IF(Eligibility!$J$12="MECO - Lanai",SUM(L29:L31)*12,0)</f>
        <v>0</v>
      </c>
      <c r="M54" s="187">
        <f>IF(Eligibility!$J$12="MECO - Lanai",SUM(M29:M31)*12,0)</f>
        <v>0</v>
      </c>
      <c r="N54" s="187">
        <f>IF(Eligibility!$J$12="MECO - Lanai",SUM(N29:N31)*12,0)</f>
        <v>0</v>
      </c>
      <c r="O54" s="187">
        <f>IF(Eligibility!$J$12="MECO - Lanai",SUM(O29:O31)*12,0)</f>
        <v>0</v>
      </c>
      <c r="P54" s="187">
        <f>IF(Eligibility!$J$12="MECO - Lanai",SUM(P29:P31)*12,0)</f>
        <v>0</v>
      </c>
      <c r="Q54" s="187">
        <f>IF(Eligibility!$J$12="MECO - Lanai",SUM(Q29:Q31)*12,0)</f>
        <v>0</v>
      </c>
      <c r="R54" s="187">
        <f>IF(Eligibility!$J$12="MECO - Lanai",SUM(R29:R31)*12,0)</f>
        <v>0</v>
      </c>
      <c r="S54" s="187">
        <f>IF(Eligibility!$J$12="MECO - Lanai",SUM(S29:S31)*12,0)</f>
        <v>0</v>
      </c>
      <c r="T54" s="187">
        <f>IF(Eligibility!$J$12="MECO - Lanai",SUM(T29:T31)*12,0)</f>
        <v>0</v>
      </c>
      <c r="U54" s="187">
        <f>IF(Eligibility!$J$12="MECO - Lanai",SUM(U29:U31)*12,0)</f>
        <v>0</v>
      </c>
      <c r="V54" s="187">
        <f>IF(Eligibility!$J$12="MECO - Lanai",SUM(V29:V31)*12,0)</f>
        <v>0</v>
      </c>
      <c r="W54" s="187">
        <f>IF(Eligibility!$J$12="MECO - Lanai",SUM(W29:W31)*12,0)</f>
        <v>0</v>
      </c>
      <c r="X54" s="187">
        <f>IF(Eligibility!$J$12="MECO - Lanai",SUM(X29:X31)*12,0)</f>
        <v>0</v>
      </c>
      <c r="Y54" s="170">
        <f t="shared" si="12"/>
        <v>0</v>
      </c>
    </row>
    <row r="55" spans="1:27" s="171" customFormat="1" ht="17" x14ac:dyDescent="0.3">
      <c r="A55" s="167" t="s">
        <v>396</v>
      </c>
      <c r="B55" s="167"/>
      <c r="C55" s="167"/>
      <c r="D55" s="384">
        <v>0</v>
      </c>
      <c r="E55" s="299">
        <f>IF(Eligibility!$J$12="MECO - Lanai",-(E$21*$D$55),0)</f>
        <v>0</v>
      </c>
      <c r="F55" s="299">
        <f>IF(Eligibility!$J$12="MECO - Lanai",-(F$21*$D$55),0)</f>
        <v>0</v>
      </c>
      <c r="G55" s="299">
        <f>IF(Eligibility!$J$12="MECO - Lanai",-(G$21*$D$55),0)</f>
        <v>0</v>
      </c>
      <c r="H55" s="299">
        <f>IF(Eligibility!$J$12="MECO - Lanai",-(H$21*$D$55),0)</f>
        <v>0</v>
      </c>
      <c r="I55" s="299">
        <f>IF(Eligibility!$J$12="MECO - Lanai",-(I$21*$D$55),0)</f>
        <v>0</v>
      </c>
      <c r="J55" s="299">
        <f>IF(Eligibility!$J$12="MECO - Lanai",-(J$21*$D$55),0)</f>
        <v>0</v>
      </c>
      <c r="K55" s="299">
        <f>IF(Eligibility!$J$12="MECO - Lanai",-(K$21*$D$55),0)</f>
        <v>0</v>
      </c>
      <c r="L55" s="299">
        <f>IF(Eligibility!$J$12="MECO - Lanai",-(L$21*$D$55),0)</f>
        <v>0</v>
      </c>
      <c r="M55" s="299">
        <f>IF(Eligibility!$J$12="MECO - Lanai",-(M$21*$D$55),0)</f>
        <v>0</v>
      </c>
      <c r="N55" s="299">
        <f>IF(Eligibility!$J$12="MECO - Lanai",-(N$21*$D$55),0)</f>
        <v>0</v>
      </c>
      <c r="O55" s="299">
        <f>IF(Eligibility!$J$12="MECO - Lanai",-(O$21*$D$55),0)</f>
        <v>0</v>
      </c>
      <c r="P55" s="299">
        <f>IF(Eligibility!$J$12="MECO - Lanai",-(P$21*$D$55),0)</f>
        <v>0</v>
      </c>
      <c r="Q55" s="299">
        <f>IF(Eligibility!$J$12="MECO - Lanai",-(Q$21*$D$55),0)</f>
        <v>0</v>
      </c>
      <c r="R55" s="299">
        <f>IF(Eligibility!$J$12="MECO - Lanai",-(R$21*$D$55),0)</f>
        <v>0</v>
      </c>
      <c r="S55" s="299">
        <f>IF(Eligibility!$J$12="MECO - Lanai",-(S$21*$D$55),0)</f>
        <v>0</v>
      </c>
      <c r="T55" s="299">
        <f>IF(Eligibility!$J$12="MECO - Lanai",-(T$21*$D$55),0)</f>
        <v>0</v>
      </c>
      <c r="U55" s="299">
        <f>IF(Eligibility!$J$12="MECO - Lanai",-(U$21*$D$55),0)</f>
        <v>0</v>
      </c>
      <c r="V55" s="299">
        <f>IF(Eligibility!$J$12="MECO - Lanai",-(V$21*$D$55),0)</f>
        <v>0</v>
      </c>
      <c r="W55" s="299">
        <f>IF(Eligibility!$J$12="MECO - Lanai",-(W$21*$D$55),0)</f>
        <v>0</v>
      </c>
      <c r="X55" s="299">
        <f>IF(Eligibility!$J$12="MECO - Lanai",-(X$21*$D$55),0)</f>
        <v>0</v>
      </c>
      <c r="Y55" s="300">
        <f t="shared" si="12"/>
        <v>0</v>
      </c>
    </row>
    <row r="56" spans="1:27" s="171" customFormat="1" x14ac:dyDescent="0.2">
      <c r="A56" s="167" t="s">
        <v>260</v>
      </c>
      <c r="B56" s="167"/>
      <c r="C56" s="167"/>
      <c r="D56" s="186"/>
      <c r="E56" s="187">
        <f>SUM(E54:E55)</f>
        <v>0</v>
      </c>
      <c r="F56" s="187">
        <f t="shared" ref="F56:X56" si="24">SUM(F54:F55)</f>
        <v>0</v>
      </c>
      <c r="G56" s="187">
        <f t="shared" si="24"/>
        <v>0</v>
      </c>
      <c r="H56" s="187">
        <f t="shared" si="24"/>
        <v>0</v>
      </c>
      <c r="I56" s="187">
        <f t="shared" si="24"/>
        <v>0</v>
      </c>
      <c r="J56" s="187">
        <f t="shared" si="24"/>
        <v>0</v>
      </c>
      <c r="K56" s="187">
        <f t="shared" si="24"/>
        <v>0</v>
      </c>
      <c r="L56" s="187">
        <f t="shared" si="24"/>
        <v>0</v>
      </c>
      <c r="M56" s="187">
        <f t="shared" si="24"/>
        <v>0</v>
      </c>
      <c r="N56" s="187">
        <f t="shared" si="24"/>
        <v>0</v>
      </c>
      <c r="O56" s="187">
        <f t="shared" si="24"/>
        <v>0</v>
      </c>
      <c r="P56" s="187">
        <f t="shared" si="24"/>
        <v>0</v>
      </c>
      <c r="Q56" s="187">
        <f t="shared" si="24"/>
        <v>0</v>
      </c>
      <c r="R56" s="187">
        <f t="shared" si="24"/>
        <v>0</v>
      </c>
      <c r="S56" s="187">
        <f t="shared" si="24"/>
        <v>0</v>
      </c>
      <c r="T56" s="187">
        <f t="shared" si="24"/>
        <v>0</v>
      </c>
      <c r="U56" s="187">
        <f t="shared" si="24"/>
        <v>0</v>
      </c>
      <c r="V56" s="187">
        <f t="shared" si="24"/>
        <v>0</v>
      </c>
      <c r="W56" s="187">
        <f t="shared" si="24"/>
        <v>0</v>
      </c>
      <c r="X56" s="187">
        <f t="shared" si="24"/>
        <v>0</v>
      </c>
      <c r="Y56" s="170">
        <f t="shared" si="12"/>
        <v>0</v>
      </c>
    </row>
    <row r="57" spans="1:27" s="166" customFormat="1" x14ac:dyDescent="0.2">
      <c r="A57" s="162" t="s">
        <v>192</v>
      </c>
      <c r="B57" s="162"/>
      <c r="C57" s="162"/>
      <c r="D57" s="189"/>
      <c r="E57" s="190">
        <f>IF(Eligibility!$J$12="MECO - Molokai",SUM(E29:E31)*12,0)</f>
        <v>0</v>
      </c>
      <c r="F57" s="190">
        <f>IF(Eligibility!$J$12="MECO - Molokai",SUM(F29:F31)*12,0)</f>
        <v>0</v>
      </c>
      <c r="G57" s="190">
        <f>IF(Eligibility!$J$12="MECO - Molokai",SUM(G29:G31)*12,0)</f>
        <v>0</v>
      </c>
      <c r="H57" s="190">
        <f>IF(Eligibility!$J$12="MECO - Molokai",SUM(H29:H31)*12,0)</f>
        <v>0</v>
      </c>
      <c r="I57" s="190">
        <f>IF(Eligibility!$J$12="MECO - Molokai",SUM(I29:I31)*12,0)</f>
        <v>0</v>
      </c>
      <c r="J57" s="190">
        <f>IF(Eligibility!$J$12="MECO - Molokai",SUM(J29:J31)*12,0)</f>
        <v>0</v>
      </c>
      <c r="K57" s="190">
        <f>IF(Eligibility!$J$12="MECO - Molokai",SUM(K29:K31)*12,0)</f>
        <v>0</v>
      </c>
      <c r="L57" s="190">
        <f>IF(Eligibility!$J$12="MECO - Molokai",SUM(L29:L31)*12,0)</f>
        <v>0</v>
      </c>
      <c r="M57" s="190">
        <f>IF(Eligibility!$J$12="MECO - Molokai",SUM(M29:M31)*12,0)</f>
        <v>0</v>
      </c>
      <c r="N57" s="190">
        <f>IF(Eligibility!$J$12="MECO - Molokai",SUM(N29:N31)*12,0)</f>
        <v>0</v>
      </c>
      <c r="O57" s="190">
        <f>IF(Eligibility!$J$12="MECO - Molokai",SUM(O29:O31)*12,0)</f>
        <v>0</v>
      </c>
      <c r="P57" s="190">
        <f>IF(Eligibility!$J$12="MECO - Molokai",SUM(P29:P31)*12,0)</f>
        <v>0</v>
      </c>
      <c r="Q57" s="190">
        <f>IF(Eligibility!$J$12="MECO - Molokai",SUM(Q29:Q31)*12,0)</f>
        <v>0</v>
      </c>
      <c r="R57" s="190">
        <f>IF(Eligibility!$J$12="MECO - Molokai",SUM(R29:R31)*12,0)</f>
        <v>0</v>
      </c>
      <c r="S57" s="190">
        <f>IF(Eligibility!$J$12="MECO - Molokai",SUM(S29:S31)*12,0)</f>
        <v>0</v>
      </c>
      <c r="T57" s="190">
        <f>IF(Eligibility!$J$12="MECO - Molokai",SUM(T29:T31)*12,0)</f>
        <v>0</v>
      </c>
      <c r="U57" s="190">
        <f>IF(Eligibility!$J$12="MECO - Molokai",SUM(U29:U31)*12,0)</f>
        <v>0</v>
      </c>
      <c r="V57" s="190">
        <f>IF(Eligibility!$J$12="MECO - Molokai",SUM(V29:V31)*12,0)</f>
        <v>0</v>
      </c>
      <c r="W57" s="190">
        <f>IF(Eligibility!$J$12="MECO - Molokai",SUM(W29:W31)*12,0)</f>
        <v>0</v>
      </c>
      <c r="X57" s="190">
        <f>IF(Eligibility!$J$12="MECO - Molokai",SUM(X29:X31)*12,0)</f>
        <v>0</v>
      </c>
      <c r="Y57" s="165">
        <f t="shared" si="12"/>
        <v>0</v>
      </c>
    </row>
    <row r="58" spans="1:27" s="166" customFormat="1" ht="17" x14ac:dyDescent="0.3">
      <c r="A58" s="162" t="s">
        <v>396</v>
      </c>
      <c r="B58" s="162"/>
      <c r="C58" s="162"/>
      <c r="D58" s="385">
        <v>0</v>
      </c>
      <c r="E58" s="301">
        <f>IF(Eligibility!$J$12="MECO - Molokai",-(E$21*$D$58),0)</f>
        <v>0</v>
      </c>
      <c r="F58" s="301">
        <f>IF(Eligibility!$J$12="MECO - Molokai",-(F$21*$D$58),0)</f>
        <v>0</v>
      </c>
      <c r="G58" s="301">
        <f>IF(Eligibility!$J$12="MECO - Molokai",-(G$21*$D$58),0)</f>
        <v>0</v>
      </c>
      <c r="H58" s="301">
        <f>IF(Eligibility!$J$12="MECO - Molokai",-(H$21*$D$58),0)</f>
        <v>0</v>
      </c>
      <c r="I58" s="301">
        <f>IF(Eligibility!$J$12="MECO - Molokai",-(I$21*$D$58),0)</f>
        <v>0</v>
      </c>
      <c r="J58" s="301">
        <f>IF(Eligibility!$J$12="MECO - Molokai",-(J$21*$D$58),0)</f>
        <v>0</v>
      </c>
      <c r="K58" s="301">
        <f>IF(Eligibility!$J$12="MECO - Molokai",-(K$21*$D$58),0)</f>
        <v>0</v>
      </c>
      <c r="L58" s="301">
        <f>IF(Eligibility!$J$12="MECO - Molokai",-(L$21*$D$58),0)</f>
        <v>0</v>
      </c>
      <c r="M58" s="301">
        <f>IF(Eligibility!$J$12="MECO - Molokai",-(M$21*$D$58),0)</f>
        <v>0</v>
      </c>
      <c r="N58" s="301">
        <f>IF(Eligibility!$J$12="MECO - Molokai",-(N$21*$D$58),0)</f>
        <v>0</v>
      </c>
      <c r="O58" s="301">
        <f>IF(Eligibility!$J$12="MECO - Molokai",-(O$21*$D$58),0)</f>
        <v>0</v>
      </c>
      <c r="P58" s="301">
        <f>IF(Eligibility!$J$12="MECO - Molokai",-(P$21*$D$58),0)</f>
        <v>0</v>
      </c>
      <c r="Q58" s="301">
        <f>IF(Eligibility!$J$12="MECO - Molokai",-(Q$21*$D$58),0)</f>
        <v>0</v>
      </c>
      <c r="R58" s="301">
        <f>IF(Eligibility!$J$12="MECO - Molokai",-(R$21*$D$58),0)</f>
        <v>0</v>
      </c>
      <c r="S58" s="301">
        <f>IF(Eligibility!$J$12="MECO - Molokai",-(S$21*$D$58),0)</f>
        <v>0</v>
      </c>
      <c r="T58" s="301">
        <f>IF(Eligibility!$J$12="MECO - Molokai",-(T$21*$D$58),0)</f>
        <v>0</v>
      </c>
      <c r="U58" s="301">
        <f>IF(Eligibility!$J$12="MECO - Molokai",-(U$21*$D$58),0)</f>
        <v>0</v>
      </c>
      <c r="V58" s="301">
        <f>IF(Eligibility!$J$12="MECO - Molokai",-(V$21*$D$58),0)</f>
        <v>0</v>
      </c>
      <c r="W58" s="301">
        <f>IF(Eligibility!$J$12="MECO - Molokai",-(W$21*$D$58),0)</f>
        <v>0</v>
      </c>
      <c r="X58" s="301">
        <f>IF(Eligibility!$J$12="MECO - Molokai",-(X$21*$D$58),0)</f>
        <v>0</v>
      </c>
      <c r="Y58" s="302">
        <f t="shared" si="12"/>
        <v>0</v>
      </c>
    </row>
    <row r="59" spans="1:27" s="166" customFormat="1" x14ac:dyDescent="0.2">
      <c r="A59" s="162" t="s">
        <v>261</v>
      </c>
      <c r="B59" s="162"/>
      <c r="C59" s="162"/>
      <c r="D59" s="189"/>
      <c r="E59" s="190">
        <f>SUM(E57:E58)</f>
        <v>0</v>
      </c>
      <c r="F59" s="190">
        <f t="shared" ref="F59:X59" si="25">SUM(F57:F58)</f>
        <v>0</v>
      </c>
      <c r="G59" s="190">
        <f t="shared" si="25"/>
        <v>0</v>
      </c>
      <c r="H59" s="190">
        <f t="shared" si="25"/>
        <v>0</v>
      </c>
      <c r="I59" s="190">
        <f t="shared" si="25"/>
        <v>0</v>
      </c>
      <c r="J59" s="190">
        <f t="shared" si="25"/>
        <v>0</v>
      </c>
      <c r="K59" s="190">
        <f t="shared" si="25"/>
        <v>0</v>
      </c>
      <c r="L59" s="190">
        <f t="shared" si="25"/>
        <v>0</v>
      </c>
      <c r="M59" s="190">
        <f t="shared" si="25"/>
        <v>0</v>
      </c>
      <c r="N59" s="190">
        <f t="shared" si="25"/>
        <v>0</v>
      </c>
      <c r="O59" s="190">
        <f t="shared" si="25"/>
        <v>0</v>
      </c>
      <c r="P59" s="190">
        <f t="shared" si="25"/>
        <v>0</v>
      </c>
      <c r="Q59" s="190">
        <f t="shared" si="25"/>
        <v>0</v>
      </c>
      <c r="R59" s="190">
        <f t="shared" si="25"/>
        <v>0</v>
      </c>
      <c r="S59" s="190">
        <f t="shared" si="25"/>
        <v>0</v>
      </c>
      <c r="T59" s="190">
        <f t="shared" si="25"/>
        <v>0</v>
      </c>
      <c r="U59" s="190">
        <f t="shared" si="25"/>
        <v>0</v>
      </c>
      <c r="V59" s="190">
        <f t="shared" si="25"/>
        <v>0</v>
      </c>
      <c r="W59" s="190">
        <f t="shared" si="25"/>
        <v>0</v>
      </c>
      <c r="X59" s="190">
        <f t="shared" si="25"/>
        <v>0</v>
      </c>
      <c r="Y59" s="165">
        <f t="shared" si="12"/>
        <v>0</v>
      </c>
    </row>
    <row r="60" spans="1:27" s="68" customFormat="1" x14ac:dyDescent="0.2">
      <c r="A60" s="133"/>
      <c r="B60" s="133"/>
      <c r="C60" s="133"/>
      <c r="D60" s="144"/>
      <c r="E60" s="14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72"/>
    </row>
    <row r="61" spans="1:27" s="151" customFormat="1" x14ac:dyDescent="0.2">
      <c r="A61" s="147" t="s">
        <v>193</v>
      </c>
      <c r="B61" s="147"/>
      <c r="C61" s="147"/>
      <c r="D61" s="193"/>
      <c r="E61" s="148">
        <f>IF(Eligibility!$J$12="HECO",E$43+E47,0)</f>
        <v>4055.5694159999998</v>
      </c>
      <c r="F61" s="148">
        <f>IF(Eligibility!$J$12="HECO",F$43+F47,0)</f>
        <v>4258.7534437415998</v>
      </c>
      <c r="G61" s="148">
        <f>IF(Eligibility!$J$12="HECO",G$43+G47,0)</f>
        <v>4472.1169912730547</v>
      </c>
      <c r="H61" s="148">
        <f>IF(Eligibility!$J$12="HECO",H$43+H47,0)</f>
        <v>4696.1700525358347</v>
      </c>
      <c r="I61" s="148">
        <f>IF(Eligibility!$J$12="HECO",I$43+I47,0)</f>
        <v>4931.4481721678803</v>
      </c>
      <c r="J61" s="148">
        <f>IF(Eligibility!$J$12="HECO",J$43+J47,0)</f>
        <v>5178.5137255934915</v>
      </c>
      <c r="K61" s="148">
        <f>IF(Eligibility!$J$12="HECO",K$43+K47,0)</f>
        <v>5437.9572632457257</v>
      </c>
      <c r="L61" s="148">
        <f>IF(Eligibility!$J$12="HECO",L$43+L47,0)</f>
        <v>5710.3989221343363</v>
      </c>
      <c r="M61" s="148">
        <f>IF(Eligibility!$J$12="HECO",M$43+M47,0)</f>
        <v>5996.4899081332678</v>
      </c>
      <c r="N61" s="148">
        <f>IF(Eligibility!$J$12="HECO",N$43+N47,0)</f>
        <v>6296.914052530743</v>
      </c>
      <c r="O61" s="148">
        <f>IF(Eligibility!$J$12="HECO",O$43+O47,0)</f>
        <v>6612.3894465625344</v>
      </c>
      <c r="P61" s="148">
        <f>IF(Eligibility!$J$12="HECO",P$43+P47,0)</f>
        <v>6943.6701578353177</v>
      </c>
      <c r="Q61" s="148">
        <f>IF(Eligibility!$J$12="HECO",Q$43+Q47,0)</f>
        <v>7291.5480327428668</v>
      </c>
      <c r="R61" s="148">
        <f>IF(Eligibility!$J$12="HECO",R$43+R47,0)</f>
        <v>7656.8545891832855</v>
      </c>
      <c r="S61" s="148">
        <f>IF(Eligibility!$J$12="HECO",S$43+S47,0)</f>
        <v>8040.4630041013661</v>
      </c>
      <c r="T61" s="148">
        <f>IF(Eligibility!$J$12="HECO",T$43+T47,0)</f>
        <v>8443.2902006068471</v>
      </c>
      <c r="U61" s="148">
        <f>IF(Eligibility!$J$12="HECO",U$43+U47,0)</f>
        <v>8866.2990396572495</v>
      </c>
      <c r="V61" s="148">
        <f>IF(Eligibility!$J$12="HECO",V$43+V47,0)</f>
        <v>9310.5006215440771</v>
      </c>
      <c r="W61" s="148">
        <f>IF(Eligibility!$J$12="HECO",W$43+W47,0)</f>
        <v>9776.9567026834357</v>
      </c>
      <c r="X61" s="148">
        <f>IF(Eligibility!$J$12="HECO",X$43+X47,0)</f>
        <v>10266.782233487877</v>
      </c>
      <c r="Y61" s="150">
        <f>SUM(E61:X61)</f>
        <v>134243.0859757608</v>
      </c>
      <c r="AA61" s="227"/>
    </row>
    <row r="62" spans="1:27" s="156" customFormat="1" x14ac:dyDescent="0.2">
      <c r="A62" s="152" t="s">
        <v>194</v>
      </c>
      <c r="B62" s="152"/>
      <c r="C62" s="152"/>
      <c r="D62" s="196"/>
      <c r="E62" s="153">
        <f>IF(Eligibility!$J$12="HELCO",E$43+E50,0)</f>
        <v>0</v>
      </c>
      <c r="F62" s="153">
        <f>IF(Eligibility!$J$12="HELCO",F$43+F50,0)</f>
        <v>0</v>
      </c>
      <c r="G62" s="153">
        <f>IF(Eligibility!$J$12="HELCO",G$43+G50,0)</f>
        <v>0</v>
      </c>
      <c r="H62" s="153">
        <f>IF(Eligibility!$J$12="HELCO",H$43+H50,0)</f>
        <v>0</v>
      </c>
      <c r="I62" s="153">
        <f>IF(Eligibility!$J$12="HELCO",I$43+I50,0)</f>
        <v>0</v>
      </c>
      <c r="J62" s="153">
        <f>IF(Eligibility!$J$12="HELCO",J$43+J50,0)</f>
        <v>0</v>
      </c>
      <c r="K62" s="153">
        <f>IF(Eligibility!$J$12="HELCO",K$43+K50,0)</f>
        <v>0</v>
      </c>
      <c r="L62" s="153">
        <f>IF(Eligibility!$J$12="HELCO",L$43+L50,0)</f>
        <v>0</v>
      </c>
      <c r="M62" s="153">
        <f>IF(Eligibility!$J$12="HELCO",M$43+M50,0)</f>
        <v>0</v>
      </c>
      <c r="N62" s="153">
        <f>IF(Eligibility!$J$12="HELCO",N$43+N50,0)</f>
        <v>0</v>
      </c>
      <c r="O62" s="153">
        <f>IF(Eligibility!$J$12="HELCO",O$43+O50,0)</f>
        <v>0</v>
      </c>
      <c r="P62" s="153">
        <f>IF(Eligibility!$J$12="HELCO",P$43+P50,0)</f>
        <v>0</v>
      </c>
      <c r="Q62" s="153">
        <f>IF(Eligibility!$J$12="HELCO",Q$43+Q50,0)</f>
        <v>0</v>
      </c>
      <c r="R62" s="153">
        <f>IF(Eligibility!$J$12="HELCO",R$43+R50,0)</f>
        <v>0</v>
      </c>
      <c r="S62" s="153">
        <f>IF(Eligibility!$J$12="HELCO",S$43+S50,0)</f>
        <v>0</v>
      </c>
      <c r="T62" s="153">
        <f>IF(Eligibility!$J$12="HELCO",T$43+T50,0)</f>
        <v>0</v>
      </c>
      <c r="U62" s="153">
        <f>IF(Eligibility!$J$12="HELCO",U$43+U50,0)</f>
        <v>0</v>
      </c>
      <c r="V62" s="153">
        <f>IF(Eligibility!$J$12="HELCO",V$43+V50,0)</f>
        <v>0</v>
      </c>
      <c r="W62" s="153">
        <f>IF(Eligibility!$J$12="HELCO",W$43+W50,0)</f>
        <v>0</v>
      </c>
      <c r="X62" s="153">
        <f>IF(Eligibility!$J$12="HELCO",X$43+X50,0)</f>
        <v>0</v>
      </c>
      <c r="Y62" s="155">
        <f t="shared" ref="Y62:Y65" si="26">SUM(E62:X62)</f>
        <v>0</v>
      </c>
      <c r="AA62" s="303"/>
    </row>
    <row r="63" spans="1:27" s="161" customFormat="1" x14ac:dyDescent="0.2">
      <c r="A63" s="157" t="s">
        <v>195</v>
      </c>
      <c r="B63" s="157"/>
      <c r="C63" s="157"/>
      <c r="D63" s="195"/>
      <c r="E63" s="158">
        <f>IF(Eligibility!$J$12="MECO - Maui",E$43+E53,0)</f>
        <v>0</v>
      </c>
      <c r="F63" s="158">
        <f>IF(Eligibility!$J$12="MECO - Maui",F$43+F53,0)</f>
        <v>0</v>
      </c>
      <c r="G63" s="158">
        <f>IF(Eligibility!$J$12="MECO - Maui",G$43+G53,0)</f>
        <v>0</v>
      </c>
      <c r="H63" s="158">
        <f>IF(Eligibility!$J$12="MECO - Maui",H$43+H53,0)</f>
        <v>0</v>
      </c>
      <c r="I63" s="158">
        <f>IF(Eligibility!$J$12="MECO - Maui",I$43+I53,0)</f>
        <v>0</v>
      </c>
      <c r="J63" s="158">
        <f>IF(Eligibility!$J$12="MECO - Maui",J$43+J53,0)</f>
        <v>0</v>
      </c>
      <c r="K63" s="158">
        <f>IF(Eligibility!$J$12="MECO - Maui",K$43+K53,0)</f>
        <v>0</v>
      </c>
      <c r="L63" s="158">
        <f>IF(Eligibility!$J$12="MECO - Maui",L$43+L53,0)</f>
        <v>0</v>
      </c>
      <c r="M63" s="158">
        <f>IF(Eligibility!$J$12="MECO - Maui",M$43+M53,0)</f>
        <v>0</v>
      </c>
      <c r="N63" s="158">
        <f>IF(Eligibility!$J$12="MECO - Maui",N$43+N53,0)</f>
        <v>0</v>
      </c>
      <c r="O63" s="158">
        <f>IF(Eligibility!$J$12="MECO - Maui",O$43+O53,0)</f>
        <v>0</v>
      </c>
      <c r="P63" s="158">
        <f>IF(Eligibility!$J$12="MECO - Maui",P$43+P53,0)</f>
        <v>0</v>
      </c>
      <c r="Q63" s="158">
        <f>IF(Eligibility!$J$12="MECO - Maui",Q$43+Q53,0)</f>
        <v>0</v>
      </c>
      <c r="R63" s="158">
        <f>IF(Eligibility!$J$12="MECO - Maui",R$43+R53,0)</f>
        <v>0</v>
      </c>
      <c r="S63" s="158">
        <f>IF(Eligibility!$J$12="MECO - Maui",S$43+S53,0)</f>
        <v>0</v>
      </c>
      <c r="T63" s="158">
        <f>IF(Eligibility!$J$12="MECO - Maui",T$43+T53,0)</f>
        <v>0</v>
      </c>
      <c r="U63" s="158">
        <f>IF(Eligibility!$J$12="MECO - Maui",U$43+U53,0)</f>
        <v>0</v>
      </c>
      <c r="V63" s="158">
        <f>IF(Eligibility!$J$12="MECO - Maui",V$43+V53,0)</f>
        <v>0</v>
      </c>
      <c r="W63" s="158">
        <f>IF(Eligibility!$J$12="MECO - Maui",W$43+W53,0)</f>
        <v>0</v>
      </c>
      <c r="X63" s="158">
        <f>IF(Eligibility!$J$12="MECO - Maui",X$43+X53,0)</f>
        <v>0</v>
      </c>
      <c r="Y63" s="160">
        <f t="shared" si="26"/>
        <v>0</v>
      </c>
      <c r="AA63" s="304"/>
    </row>
    <row r="64" spans="1:27" s="171" customFormat="1" x14ac:dyDescent="0.2">
      <c r="A64" s="167" t="s">
        <v>196</v>
      </c>
      <c r="B64" s="167"/>
      <c r="C64" s="167"/>
      <c r="D64" s="194"/>
      <c r="E64" s="168">
        <f>IF(Eligibility!$J$12="MECO - Lanai",E$43+E56,0)</f>
        <v>0</v>
      </c>
      <c r="F64" s="168">
        <f>IF(Eligibility!$J$12="MECO - Lanai",F$43+F56,0)</f>
        <v>0</v>
      </c>
      <c r="G64" s="168">
        <f>IF(Eligibility!$J$12="MECO - Lanai",G$43+G56,0)</f>
        <v>0</v>
      </c>
      <c r="H64" s="168">
        <f>IF(Eligibility!$J$12="MECO - Lanai",H$43+H56,0)</f>
        <v>0</v>
      </c>
      <c r="I64" s="168">
        <f>IF(Eligibility!$J$12="MECO - Lanai",I$43+I56,0)</f>
        <v>0</v>
      </c>
      <c r="J64" s="168">
        <f>IF(Eligibility!$J$12="MECO - Lanai",J$43+J56,0)</f>
        <v>0</v>
      </c>
      <c r="K64" s="168">
        <f>IF(Eligibility!$J$12="MECO - Lanai",K$43+K56,0)</f>
        <v>0</v>
      </c>
      <c r="L64" s="168">
        <f>IF(Eligibility!$J$12="MECO - Lanai",L$43+L56,0)</f>
        <v>0</v>
      </c>
      <c r="M64" s="168">
        <f>IF(Eligibility!$J$12="MECO - Lanai",M$43+M56,0)</f>
        <v>0</v>
      </c>
      <c r="N64" s="168">
        <f>IF(Eligibility!$J$12="MECO - Lanai",N$43+N56,0)</f>
        <v>0</v>
      </c>
      <c r="O64" s="168">
        <f>IF(Eligibility!$J$12="MECO - Lanai",O$43+O56,0)</f>
        <v>0</v>
      </c>
      <c r="P64" s="168">
        <f>IF(Eligibility!$J$12="MECO - Lanai",P$43+P56,0)</f>
        <v>0</v>
      </c>
      <c r="Q64" s="168">
        <f>IF(Eligibility!$J$12="MECO - Lanai",Q$43+Q56,0)</f>
        <v>0</v>
      </c>
      <c r="R64" s="168">
        <f>IF(Eligibility!$J$12="MECO - Lanai",R$43+R56,0)</f>
        <v>0</v>
      </c>
      <c r="S64" s="168">
        <f>IF(Eligibility!$J$12="MECO - Lanai",S$43+S56,0)</f>
        <v>0</v>
      </c>
      <c r="T64" s="168">
        <f>IF(Eligibility!$J$12="MECO - Lanai",T$43+T56,0)</f>
        <v>0</v>
      </c>
      <c r="U64" s="168">
        <f>IF(Eligibility!$J$12="MECO - Lanai",U$43+U56,0)</f>
        <v>0</v>
      </c>
      <c r="V64" s="168">
        <f>IF(Eligibility!$J$12="MECO - Lanai",V$43+V56,0)</f>
        <v>0</v>
      </c>
      <c r="W64" s="168">
        <f>IF(Eligibility!$J$12="MECO - Lanai",W$43+W56,0)</f>
        <v>0</v>
      </c>
      <c r="X64" s="168">
        <f>IF(Eligibility!$J$12="MECO - Lanai",X$43+X56,0)</f>
        <v>0</v>
      </c>
      <c r="Y64" s="170">
        <f t="shared" si="26"/>
        <v>0</v>
      </c>
    </row>
    <row r="65" spans="1:26" s="166" customFormat="1" x14ac:dyDescent="0.2">
      <c r="A65" s="162" t="s">
        <v>197</v>
      </c>
      <c r="B65" s="162"/>
      <c r="C65" s="162"/>
      <c r="D65" s="192"/>
      <c r="E65" s="163">
        <f>IF(Eligibility!$J$12="MECO - Molokai",E$43+E59,0)</f>
        <v>0</v>
      </c>
      <c r="F65" s="163">
        <f>IF(Eligibility!$J$12="MECO - Molokai",F$43+F59,0)</f>
        <v>0</v>
      </c>
      <c r="G65" s="163">
        <f>IF(Eligibility!$J$12="MECO - Molokai",G$43+G59,0)</f>
        <v>0</v>
      </c>
      <c r="H65" s="163">
        <f>IF(Eligibility!$J$12="MECO - Molokai",H$43+H59,0)</f>
        <v>0</v>
      </c>
      <c r="I65" s="163">
        <f>IF(Eligibility!$J$12="MECO - Molokai",I$43+I59,0)</f>
        <v>0</v>
      </c>
      <c r="J65" s="163">
        <f>IF(Eligibility!$J$12="MECO - Molokai",J$43+J59,0)</f>
        <v>0</v>
      </c>
      <c r="K65" s="163">
        <f>IF(Eligibility!$J$12="MECO - Molokai",K$43+K59,0)</f>
        <v>0</v>
      </c>
      <c r="L65" s="163">
        <f>IF(Eligibility!$J$12="MECO - Molokai",L$43+L59,0)</f>
        <v>0</v>
      </c>
      <c r="M65" s="163">
        <f>IF(Eligibility!$J$12="MECO - Molokai",M$43+M59,0)</f>
        <v>0</v>
      </c>
      <c r="N65" s="163">
        <f>IF(Eligibility!$J$12="MECO - Molokai",N$43+N59,0)</f>
        <v>0</v>
      </c>
      <c r="O65" s="163">
        <f>IF(Eligibility!$J$12="MECO - Molokai",O$43+O59,0)</f>
        <v>0</v>
      </c>
      <c r="P65" s="163">
        <f>IF(Eligibility!$J$12="MECO - Molokai",P$43+P59,0)</f>
        <v>0</v>
      </c>
      <c r="Q65" s="163">
        <f>IF(Eligibility!$J$12="MECO - Molokai",Q$43+Q59,0)</f>
        <v>0</v>
      </c>
      <c r="R65" s="163">
        <f>IF(Eligibility!$J$12="MECO - Molokai",R$43+R59,0)</f>
        <v>0</v>
      </c>
      <c r="S65" s="163">
        <f>IF(Eligibility!$J$12="MECO - Molokai",S$43+S59,0)</f>
        <v>0</v>
      </c>
      <c r="T65" s="163">
        <f>IF(Eligibility!$J$12="MECO - Molokai",T$43+T59,0)</f>
        <v>0</v>
      </c>
      <c r="U65" s="163">
        <f>IF(Eligibility!$J$12="MECO - Molokai",U$43+U59,0)</f>
        <v>0</v>
      </c>
      <c r="V65" s="163">
        <f>IF(Eligibility!$J$12="MECO - Molokai",V$43+V59,0)</f>
        <v>0</v>
      </c>
      <c r="W65" s="163">
        <f>IF(Eligibility!$J$12="MECO - Molokai",W$43+W59,0)</f>
        <v>0</v>
      </c>
      <c r="X65" s="163">
        <f>IF(Eligibility!$J$12="MECO - Molokai",X$43+X59,0)</f>
        <v>0</v>
      </c>
      <c r="Y65" s="165">
        <f t="shared" si="26"/>
        <v>0</v>
      </c>
    </row>
    <row r="66" spans="1:26" s="66" customFormat="1" x14ac:dyDescent="0.2">
      <c r="A66" s="129"/>
      <c r="B66" s="129"/>
      <c r="C66" s="129"/>
      <c r="D66" s="134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1"/>
    </row>
    <row r="67" spans="1:26" s="151" customFormat="1" x14ac:dyDescent="0.2">
      <c r="A67" s="147" t="s">
        <v>205</v>
      </c>
      <c r="B67" s="147"/>
      <c r="C67" s="147"/>
      <c r="D67" s="197"/>
      <c r="E67" s="148">
        <f t="shared" ref="E67:X67" si="27">E34-E61</f>
        <v>0</v>
      </c>
      <c r="F67" s="148">
        <f t="shared" si="27"/>
        <v>0</v>
      </c>
      <c r="G67" s="148">
        <f t="shared" si="27"/>
        <v>0</v>
      </c>
      <c r="H67" s="148">
        <f t="shared" si="27"/>
        <v>0</v>
      </c>
      <c r="I67" s="148">
        <f t="shared" si="27"/>
        <v>0</v>
      </c>
      <c r="J67" s="148">
        <f t="shared" si="27"/>
        <v>0</v>
      </c>
      <c r="K67" s="148">
        <f t="shared" si="27"/>
        <v>0</v>
      </c>
      <c r="L67" s="148">
        <f t="shared" si="27"/>
        <v>0</v>
      </c>
      <c r="M67" s="148">
        <f t="shared" si="27"/>
        <v>0</v>
      </c>
      <c r="N67" s="148">
        <f t="shared" si="27"/>
        <v>0</v>
      </c>
      <c r="O67" s="148">
        <f t="shared" si="27"/>
        <v>0</v>
      </c>
      <c r="P67" s="148">
        <f t="shared" si="27"/>
        <v>0</v>
      </c>
      <c r="Q67" s="148">
        <f t="shared" si="27"/>
        <v>0</v>
      </c>
      <c r="R67" s="148">
        <f t="shared" si="27"/>
        <v>0</v>
      </c>
      <c r="S67" s="148">
        <f t="shared" si="27"/>
        <v>0</v>
      </c>
      <c r="T67" s="148">
        <f t="shared" si="27"/>
        <v>0</v>
      </c>
      <c r="U67" s="148">
        <f t="shared" si="27"/>
        <v>0</v>
      </c>
      <c r="V67" s="148">
        <f t="shared" si="27"/>
        <v>0</v>
      </c>
      <c r="W67" s="148">
        <f t="shared" si="27"/>
        <v>0</v>
      </c>
      <c r="X67" s="148">
        <f t="shared" si="27"/>
        <v>0</v>
      </c>
      <c r="Y67" s="150">
        <f t="shared" ref="Y67:Y72" si="28">SUM(E67:X67)</f>
        <v>0</v>
      </c>
      <c r="Z67" s="227"/>
    </row>
    <row r="68" spans="1:26" s="226" customFormat="1" x14ac:dyDescent="0.2">
      <c r="A68" s="222" t="s">
        <v>206</v>
      </c>
      <c r="B68" s="222"/>
      <c r="C68" s="222"/>
      <c r="D68" s="223"/>
      <c r="E68" s="432">
        <f t="shared" ref="E68:X68" si="29">E67/E34</f>
        <v>0</v>
      </c>
      <c r="F68" s="224">
        <f t="shared" si="29"/>
        <v>0</v>
      </c>
      <c r="G68" s="224">
        <f t="shared" si="29"/>
        <v>0</v>
      </c>
      <c r="H68" s="224">
        <f t="shared" si="29"/>
        <v>0</v>
      </c>
      <c r="I68" s="224">
        <f t="shared" si="29"/>
        <v>0</v>
      </c>
      <c r="J68" s="224">
        <f t="shared" si="29"/>
        <v>0</v>
      </c>
      <c r="K68" s="224">
        <f t="shared" si="29"/>
        <v>0</v>
      </c>
      <c r="L68" s="224">
        <f t="shared" si="29"/>
        <v>0</v>
      </c>
      <c r="M68" s="224">
        <f t="shared" si="29"/>
        <v>0</v>
      </c>
      <c r="N68" s="224">
        <f t="shared" si="29"/>
        <v>0</v>
      </c>
      <c r="O68" s="224">
        <f t="shared" si="29"/>
        <v>0</v>
      </c>
      <c r="P68" s="224">
        <f t="shared" si="29"/>
        <v>0</v>
      </c>
      <c r="Q68" s="224">
        <f t="shared" si="29"/>
        <v>0</v>
      </c>
      <c r="R68" s="224">
        <f t="shared" si="29"/>
        <v>0</v>
      </c>
      <c r="S68" s="224">
        <f t="shared" si="29"/>
        <v>0</v>
      </c>
      <c r="T68" s="224">
        <f t="shared" si="29"/>
        <v>0</v>
      </c>
      <c r="U68" s="224">
        <f t="shared" si="29"/>
        <v>0</v>
      </c>
      <c r="V68" s="224">
        <f t="shared" si="29"/>
        <v>0</v>
      </c>
      <c r="W68" s="224">
        <f t="shared" si="29"/>
        <v>0</v>
      </c>
      <c r="X68" s="224">
        <f t="shared" si="29"/>
        <v>0</v>
      </c>
      <c r="Y68" s="225"/>
    </row>
    <row r="69" spans="1:26" s="151" customFormat="1" x14ac:dyDescent="0.2">
      <c r="A69" s="147" t="s">
        <v>179</v>
      </c>
      <c r="B69" s="147"/>
      <c r="C69" s="147"/>
      <c r="D69" s="176"/>
      <c r="E69" s="148">
        <f t="shared" ref="E69:X69" si="30">E34/12</f>
        <v>337.96411799999998</v>
      </c>
      <c r="F69" s="148">
        <f t="shared" si="30"/>
        <v>354.89612031179996</v>
      </c>
      <c r="G69" s="148">
        <f t="shared" si="30"/>
        <v>372.67641593942113</v>
      </c>
      <c r="H69" s="148">
        <f t="shared" si="30"/>
        <v>391.34750437798613</v>
      </c>
      <c r="I69" s="148">
        <f t="shared" si="30"/>
        <v>410.95401434732327</v>
      </c>
      <c r="J69" s="148">
        <f t="shared" si="30"/>
        <v>431.54281046612419</v>
      </c>
      <c r="K69" s="148">
        <f t="shared" si="30"/>
        <v>453.16310527047705</v>
      </c>
      <c r="L69" s="148">
        <f t="shared" si="30"/>
        <v>475.86657684452797</v>
      </c>
      <c r="M69" s="148">
        <f t="shared" si="30"/>
        <v>499.70749234443883</v>
      </c>
      <c r="N69" s="148">
        <f t="shared" si="30"/>
        <v>524.74283771089529</v>
      </c>
      <c r="O69" s="148">
        <f t="shared" si="30"/>
        <v>551.03245388021116</v>
      </c>
      <c r="P69" s="148">
        <f t="shared" si="30"/>
        <v>578.63917981960969</v>
      </c>
      <c r="Q69" s="148">
        <f t="shared" si="30"/>
        <v>607.62900272857223</v>
      </c>
      <c r="R69" s="148">
        <f t="shared" si="30"/>
        <v>638.07121576527368</v>
      </c>
      <c r="S69" s="148">
        <f t="shared" si="30"/>
        <v>670.03858367511395</v>
      </c>
      <c r="T69" s="148">
        <f t="shared" si="30"/>
        <v>703.6075167172371</v>
      </c>
      <c r="U69" s="148">
        <f t="shared" si="30"/>
        <v>738.85825330477064</v>
      </c>
      <c r="V69" s="148">
        <f t="shared" si="30"/>
        <v>775.87505179533957</v>
      </c>
      <c r="W69" s="148">
        <f t="shared" si="30"/>
        <v>814.74639189028619</v>
      </c>
      <c r="X69" s="148">
        <f t="shared" si="30"/>
        <v>855.56518612398952</v>
      </c>
      <c r="Y69" s="150">
        <f>SUM(E69:X69)</f>
        <v>11186.923831313397</v>
      </c>
    </row>
    <row r="70" spans="1:26" s="151" customFormat="1" x14ac:dyDescent="0.2">
      <c r="A70" s="147" t="s">
        <v>247</v>
      </c>
      <c r="B70" s="147"/>
      <c r="C70" s="147"/>
      <c r="D70" s="148"/>
      <c r="E70" s="148">
        <f>E61/12</f>
        <v>337.96411799999998</v>
      </c>
      <c r="F70" s="148">
        <f>F61/12</f>
        <v>354.89612031179996</v>
      </c>
      <c r="G70" s="148">
        <f t="shared" ref="G70:X70" si="31">G61/12</f>
        <v>372.67641593942125</v>
      </c>
      <c r="H70" s="148">
        <f t="shared" si="31"/>
        <v>391.34750437798624</v>
      </c>
      <c r="I70" s="148">
        <f t="shared" si="31"/>
        <v>410.95401434732338</v>
      </c>
      <c r="J70" s="148">
        <f t="shared" si="31"/>
        <v>431.54281046612431</v>
      </c>
      <c r="K70" s="148">
        <f t="shared" si="31"/>
        <v>453.16310527047716</v>
      </c>
      <c r="L70" s="148">
        <f t="shared" si="31"/>
        <v>475.86657684452803</v>
      </c>
      <c r="M70" s="148">
        <f t="shared" si="31"/>
        <v>499.707492344439</v>
      </c>
      <c r="N70" s="148">
        <f t="shared" si="31"/>
        <v>524.74283771089529</v>
      </c>
      <c r="O70" s="148">
        <f t="shared" si="31"/>
        <v>551.03245388021116</v>
      </c>
      <c r="P70" s="148">
        <f t="shared" si="31"/>
        <v>578.63917981960981</v>
      </c>
      <c r="Q70" s="148">
        <f t="shared" si="31"/>
        <v>607.62900272857223</v>
      </c>
      <c r="R70" s="148">
        <f t="shared" si="31"/>
        <v>638.07121576527379</v>
      </c>
      <c r="S70" s="148">
        <f t="shared" si="31"/>
        <v>670.03858367511384</v>
      </c>
      <c r="T70" s="148">
        <f t="shared" si="31"/>
        <v>703.60751671723722</v>
      </c>
      <c r="U70" s="148">
        <f t="shared" si="31"/>
        <v>738.85825330477076</v>
      </c>
      <c r="V70" s="148">
        <f t="shared" si="31"/>
        <v>775.8750517953398</v>
      </c>
      <c r="W70" s="148">
        <f t="shared" si="31"/>
        <v>814.7463918902863</v>
      </c>
      <c r="X70" s="148">
        <f t="shared" si="31"/>
        <v>855.56518612398975</v>
      </c>
      <c r="Y70" s="150">
        <f t="shared" si="28"/>
        <v>11186.923831313399</v>
      </c>
    </row>
    <row r="71" spans="1:26" s="151" customFormat="1" x14ac:dyDescent="0.2">
      <c r="A71" s="147" t="s">
        <v>248</v>
      </c>
      <c r="B71" s="147"/>
      <c r="C71" s="147"/>
      <c r="D71" s="193"/>
      <c r="E71" s="148">
        <f t="shared" ref="E71:X71" si="32">E69-E70</f>
        <v>0</v>
      </c>
      <c r="F71" s="148">
        <f t="shared" si="32"/>
        <v>0</v>
      </c>
      <c r="G71" s="148">
        <f t="shared" si="32"/>
        <v>0</v>
      </c>
      <c r="H71" s="148">
        <f t="shared" si="32"/>
        <v>0</v>
      </c>
      <c r="I71" s="148">
        <f t="shared" si="32"/>
        <v>0</v>
      </c>
      <c r="J71" s="148">
        <f t="shared" si="32"/>
        <v>0</v>
      </c>
      <c r="K71" s="148">
        <f t="shared" si="32"/>
        <v>0</v>
      </c>
      <c r="L71" s="148">
        <f t="shared" si="32"/>
        <v>0</v>
      </c>
      <c r="M71" s="148">
        <f t="shared" si="32"/>
        <v>0</v>
      </c>
      <c r="N71" s="148">
        <f t="shared" si="32"/>
        <v>0</v>
      </c>
      <c r="O71" s="148">
        <f t="shared" si="32"/>
        <v>0</v>
      </c>
      <c r="P71" s="148">
        <f t="shared" si="32"/>
        <v>0</v>
      </c>
      <c r="Q71" s="148">
        <f t="shared" si="32"/>
        <v>0</v>
      </c>
      <c r="R71" s="148">
        <f t="shared" si="32"/>
        <v>0</v>
      </c>
      <c r="S71" s="148">
        <f t="shared" si="32"/>
        <v>0</v>
      </c>
      <c r="T71" s="148">
        <f t="shared" si="32"/>
        <v>0</v>
      </c>
      <c r="U71" s="148">
        <f t="shared" si="32"/>
        <v>0</v>
      </c>
      <c r="V71" s="148">
        <f t="shared" si="32"/>
        <v>0</v>
      </c>
      <c r="W71" s="148">
        <f t="shared" si="32"/>
        <v>0</v>
      </c>
      <c r="X71" s="148">
        <f t="shared" si="32"/>
        <v>0</v>
      </c>
      <c r="Y71" s="150">
        <f t="shared" si="28"/>
        <v>0</v>
      </c>
    </row>
    <row r="72" spans="1:26" s="156" customFormat="1" x14ac:dyDescent="0.2">
      <c r="A72" s="152" t="s">
        <v>207</v>
      </c>
      <c r="B72" s="152"/>
      <c r="C72" s="152"/>
      <c r="D72" s="289"/>
      <c r="E72" s="153">
        <f t="shared" ref="E72:X72" si="33">E35-E62</f>
        <v>0</v>
      </c>
      <c r="F72" s="153">
        <f t="shared" si="33"/>
        <v>0</v>
      </c>
      <c r="G72" s="153">
        <f t="shared" si="33"/>
        <v>0</v>
      </c>
      <c r="H72" s="153">
        <f t="shared" si="33"/>
        <v>0</v>
      </c>
      <c r="I72" s="153">
        <f t="shared" si="33"/>
        <v>0</v>
      </c>
      <c r="J72" s="153">
        <f t="shared" si="33"/>
        <v>0</v>
      </c>
      <c r="K72" s="153">
        <f t="shared" si="33"/>
        <v>0</v>
      </c>
      <c r="L72" s="153">
        <f t="shared" si="33"/>
        <v>0</v>
      </c>
      <c r="M72" s="153">
        <f t="shared" si="33"/>
        <v>0</v>
      </c>
      <c r="N72" s="153">
        <f t="shared" si="33"/>
        <v>0</v>
      </c>
      <c r="O72" s="153">
        <f t="shared" si="33"/>
        <v>0</v>
      </c>
      <c r="P72" s="153">
        <f t="shared" si="33"/>
        <v>0</v>
      </c>
      <c r="Q72" s="153">
        <f t="shared" si="33"/>
        <v>0</v>
      </c>
      <c r="R72" s="153">
        <f t="shared" si="33"/>
        <v>0</v>
      </c>
      <c r="S72" s="153">
        <f t="shared" si="33"/>
        <v>0</v>
      </c>
      <c r="T72" s="153">
        <f t="shared" si="33"/>
        <v>0</v>
      </c>
      <c r="U72" s="153">
        <f t="shared" si="33"/>
        <v>0</v>
      </c>
      <c r="V72" s="153">
        <f t="shared" si="33"/>
        <v>0</v>
      </c>
      <c r="W72" s="153">
        <f t="shared" si="33"/>
        <v>0</v>
      </c>
      <c r="X72" s="153">
        <f t="shared" si="33"/>
        <v>0</v>
      </c>
      <c r="Y72" s="155">
        <f t="shared" si="28"/>
        <v>0</v>
      </c>
    </row>
    <row r="73" spans="1:26" s="221" customFormat="1" x14ac:dyDescent="0.2">
      <c r="A73" s="217" t="s">
        <v>249</v>
      </c>
      <c r="B73" s="217"/>
      <c r="C73" s="217"/>
      <c r="D73" s="218"/>
      <c r="E73" s="219" t="e">
        <f t="shared" ref="E73:X73" si="34">E72/E35</f>
        <v>#DIV/0!</v>
      </c>
      <c r="F73" s="219" t="e">
        <f t="shared" si="34"/>
        <v>#DIV/0!</v>
      </c>
      <c r="G73" s="219" t="e">
        <f t="shared" si="34"/>
        <v>#DIV/0!</v>
      </c>
      <c r="H73" s="219" t="e">
        <f t="shared" si="34"/>
        <v>#DIV/0!</v>
      </c>
      <c r="I73" s="219" t="e">
        <f t="shared" si="34"/>
        <v>#DIV/0!</v>
      </c>
      <c r="J73" s="219" t="e">
        <f t="shared" si="34"/>
        <v>#DIV/0!</v>
      </c>
      <c r="K73" s="219" t="e">
        <f t="shared" si="34"/>
        <v>#DIV/0!</v>
      </c>
      <c r="L73" s="219" t="e">
        <f t="shared" si="34"/>
        <v>#DIV/0!</v>
      </c>
      <c r="M73" s="219" t="e">
        <f t="shared" si="34"/>
        <v>#DIV/0!</v>
      </c>
      <c r="N73" s="219" t="e">
        <f t="shared" si="34"/>
        <v>#DIV/0!</v>
      </c>
      <c r="O73" s="219" t="e">
        <f t="shared" si="34"/>
        <v>#DIV/0!</v>
      </c>
      <c r="P73" s="219" t="e">
        <f t="shared" si="34"/>
        <v>#DIV/0!</v>
      </c>
      <c r="Q73" s="219" t="e">
        <f t="shared" si="34"/>
        <v>#DIV/0!</v>
      </c>
      <c r="R73" s="219" t="e">
        <f t="shared" si="34"/>
        <v>#DIV/0!</v>
      </c>
      <c r="S73" s="219" t="e">
        <f t="shared" si="34"/>
        <v>#DIV/0!</v>
      </c>
      <c r="T73" s="219" t="e">
        <f t="shared" si="34"/>
        <v>#DIV/0!</v>
      </c>
      <c r="U73" s="219" t="e">
        <f t="shared" si="34"/>
        <v>#DIV/0!</v>
      </c>
      <c r="V73" s="219" t="e">
        <f t="shared" si="34"/>
        <v>#DIV/0!</v>
      </c>
      <c r="W73" s="219" t="e">
        <f t="shared" si="34"/>
        <v>#DIV/0!</v>
      </c>
      <c r="X73" s="219" t="e">
        <f t="shared" si="34"/>
        <v>#DIV/0!</v>
      </c>
      <c r="Y73" s="220"/>
    </row>
    <row r="74" spans="1:26" s="156" customFormat="1" x14ac:dyDescent="0.2">
      <c r="A74" s="152" t="s">
        <v>185</v>
      </c>
      <c r="B74" s="152"/>
      <c r="C74" s="152"/>
      <c r="D74" s="175"/>
      <c r="E74" s="153">
        <f t="shared" ref="E74:X74" si="35">E35/12</f>
        <v>0</v>
      </c>
      <c r="F74" s="153">
        <f t="shared" si="35"/>
        <v>0</v>
      </c>
      <c r="G74" s="153">
        <f t="shared" si="35"/>
        <v>0</v>
      </c>
      <c r="H74" s="153">
        <f t="shared" si="35"/>
        <v>0</v>
      </c>
      <c r="I74" s="153">
        <f t="shared" si="35"/>
        <v>0</v>
      </c>
      <c r="J74" s="153">
        <f t="shared" si="35"/>
        <v>0</v>
      </c>
      <c r="K74" s="153">
        <f t="shared" si="35"/>
        <v>0</v>
      </c>
      <c r="L74" s="153">
        <f t="shared" si="35"/>
        <v>0</v>
      </c>
      <c r="M74" s="153">
        <f t="shared" si="35"/>
        <v>0</v>
      </c>
      <c r="N74" s="153">
        <f t="shared" si="35"/>
        <v>0</v>
      </c>
      <c r="O74" s="153">
        <f t="shared" si="35"/>
        <v>0</v>
      </c>
      <c r="P74" s="153">
        <f t="shared" si="35"/>
        <v>0</v>
      </c>
      <c r="Q74" s="153">
        <f t="shared" si="35"/>
        <v>0</v>
      </c>
      <c r="R74" s="153">
        <f t="shared" si="35"/>
        <v>0</v>
      </c>
      <c r="S74" s="153">
        <f t="shared" si="35"/>
        <v>0</v>
      </c>
      <c r="T74" s="153">
        <f t="shared" si="35"/>
        <v>0</v>
      </c>
      <c r="U74" s="153">
        <f t="shared" si="35"/>
        <v>0</v>
      </c>
      <c r="V74" s="153">
        <f t="shared" si="35"/>
        <v>0</v>
      </c>
      <c r="W74" s="153">
        <f t="shared" si="35"/>
        <v>0</v>
      </c>
      <c r="X74" s="153">
        <f t="shared" si="35"/>
        <v>0</v>
      </c>
      <c r="Y74" s="155">
        <f>SUM(E74:X74)</f>
        <v>0</v>
      </c>
    </row>
    <row r="75" spans="1:26" s="156" customFormat="1" x14ac:dyDescent="0.2">
      <c r="A75" s="152" t="s">
        <v>216</v>
      </c>
      <c r="B75" s="152"/>
      <c r="C75" s="152"/>
      <c r="D75" s="153"/>
      <c r="E75" s="153">
        <f>E62/12</f>
        <v>0</v>
      </c>
      <c r="F75" s="153">
        <f>F62/12</f>
        <v>0</v>
      </c>
      <c r="G75" s="153">
        <f t="shared" ref="G75:X75" si="36">G62/12</f>
        <v>0</v>
      </c>
      <c r="H75" s="153">
        <f t="shared" si="36"/>
        <v>0</v>
      </c>
      <c r="I75" s="153">
        <f t="shared" si="36"/>
        <v>0</v>
      </c>
      <c r="J75" s="153">
        <f t="shared" si="36"/>
        <v>0</v>
      </c>
      <c r="K75" s="153">
        <f t="shared" si="36"/>
        <v>0</v>
      </c>
      <c r="L75" s="153">
        <f t="shared" si="36"/>
        <v>0</v>
      </c>
      <c r="M75" s="153">
        <f t="shared" si="36"/>
        <v>0</v>
      </c>
      <c r="N75" s="153">
        <f t="shared" si="36"/>
        <v>0</v>
      </c>
      <c r="O75" s="153">
        <f t="shared" si="36"/>
        <v>0</v>
      </c>
      <c r="P75" s="153">
        <f t="shared" si="36"/>
        <v>0</v>
      </c>
      <c r="Q75" s="153">
        <f t="shared" si="36"/>
        <v>0</v>
      </c>
      <c r="R75" s="153">
        <f t="shared" si="36"/>
        <v>0</v>
      </c>
      <c r="S75" s="153">
        <f t="shared" si="36"/>
        <v>0</v>
      </c>
      <c r="T75" s="153">
        <f t="shared" si="36"/>
        <v>0</v>
      </c>
      <c r="U75" s="153">
        <f t="shared" si="36"/>
        <v>0</v>
      </c>
      <c r="V75" s="153">
        <f t="shared" si="36"/>
        <v>0</v>
      </c>
      <c r="W75" s="153">
        <f t="shared" si="36"/>
        <v>0</v>
      </c>
      <c r="X75" s="153">
        <f t="shared" si="36"/>
        <v>0</v>
      </c>
      <c r="Y75" s="155">
        <f t="shared" ref="Y75:Y77" si="37">SUM(E75:X75)</f>
        <v>0</v>
      </c>
    </row>
    <row r="76" spans="1:26" s="156" customFormat="1" x14ac:dyDescent="0.2">
      <c r="A76" s="152" t="s">
        <v>217</v>
      </c>
      <c r="B76" s="152"/>
      <c r="C76" s="152"/>
      <c r="D76" s="196"/>
      <c r="E76" s="153">
        <f>E74-E75</f>
        <v>0</v>
      </c>
      <c r="F76" s="153">
        <f>F74-F75</f>
        <v>0</v>
      </c>
      <c r="G76" s="153">
        <f t="shared" ref="G76:X76" si="38">G74-G75</f>
        <v>0</v>
      </c>
      <c r="H76" s="153">
        <f t="shared" si="38"/>
        <v>0</v>
      </c>
      <c r="I76" s="153">
        <f t="shared" si="38"/>
        <v>0</v>
      </c>
      <c r="J76" s="153">
        <f t="shared" si="38"/>
        <v>0</v>
      </c>
      <c r="K76" s="153">
        <f t="shared" si="38"/>
        <v>0</v>
      </c>
      <c r="L76" s="153">
        <f t="shared" si="38"/>
        <v>0</v>
      </c>
      <c r="M76" s="153">
        <f t="shared" si="38"/>
        <v>0</v>
      </c>
      <c r="N76" s="153">
        <f t="shared" si="38"/>
        <v>0</v>
      </c>
      <c r="O76" s="153">
        <f t="shared" si="38"/>
        <v>0</v>
      </c>
      <c r="P76" s="153">
        <f t="shared" si="38"/>
        <v>0</v>
      </c>
      <c r="Q76" s="153">
        <f t="shared" si="38"/>
        <v>0</v>
      </c>
      <c r="R76" s="153">
        <f t="shared" si="38"/>
        <v>0</v>
      </c>
      <c r="S76" s="153">
        <f t="shared" si="38"/>
        <v>0</v>
      </c>
      <c r="T76" s="153">
        <f t="shared" si="38"/>
        <v>0</v>
      </c>
      <c r="U76" s="153">
        <f t="shared" si="38"/>
        <v>0</v>
      </c>
      <c r="V76" s="153">
        <f t="shared" si="38"/>
        <v>0</v>
      </c>
      <c r="W76" s="153">
        <f t="shared" si="38"/>
        <v>0</v>
      </c>
      <c r="X76" s="153">
        <f t="shared" si="38"/>
        <v>0</v>
      </c>
      <c r="Y76" s="155">
        <f t="shared" si="37"/>
        <v>0</v>
      </c>
    </row>
    <row r="77" spans="1:26" s="161" customFormat="1" x14ac:dyDescent="0.2">
      <c r="A77" s="157" t="s">
        <v>209</v>
      </c>
      <c r="B77" s="157"/>
      <c r="C77" s="157"/>
      <c r="D77" s="288"/>
      <c r="E77" s="158">
        <f t="shared" ref="E77:X77" si="39">E36-E63</f>
        <v>0</v>
      </c>
      <c r="F77" s="158">
        <f t="shared" si="39"/>
        <v>0</v>
      </c>
      <c r="G77" s="158">
        <f t="shared" si="39"/>
        <v>0</v>
      </c>
      <c r="H77" s="158">
        <f t="shared" si="39"/>
        <v>0</v>
      </c>
      <c r="I77" s="158">
        <f t="shared" si="39"/>
        <v>0</v>
      </c>
      <c r="J77" s="158">
        <f t="shared" si="39"/>
        <v>0</v>
      </c>
      <c r="K77" s="158">
        <f t="shared" si="39"/>
        <v>0</v>
      </c>
      <c r="L77" s="158">
        <f t="shared" si="39"/>
        <v>0</v>
      </c>
      <c r="M77" s="158">
        <f t="shared" si="39"/>
        <v>0</v>
      </c>
      <c r="N77" s="158">
        <f t="shared" si="39"/>
        <v>0</v>
      </c>
      <c r="O77" s="158">
        <f t="shared" si="39"/>
        <v>0</v>
      </c>
      <c r="P77" s="158">
        <f t="shared" si="39"/>
        <v>0</v>
      </c>
      <c r="Q77" s="158">
        <f t="shared" si="39"/>
        <v>0</v>
      </c>
      <c r="R77" s="158">
        <f t="shared" si="39"/>
        <v>0</v>
      </c>
      <c r="S77" s="158">
        <f t="shared" si="39"/>
        <v>0</v>
      </c>
      <c r="T77" s="158">
        <f t="shared" si="39"/>
        <v>0</v>
      </c>
      <c r="U77" s="158">
        <f t="shared" si="39"/>
        <v>0</v>
      </c>
      <c r="V77" s="158">
        <f t="shared" si="39"/>
        <v>0</v>
      </c>
      <c r="W77" s="158">
        <f t="shared" si="39"/>
        <v>0</v>
      </c>
      <c r="X77" s="158">
        <f t="shared" si="39"/>
        <v>0</v>
      </c>
      <c r="Y77" s="160">
        <f t="shared" si="37"/>
        <v>0</v>
      </c>
    </row>
    <row r="78" spans="1:26" s="216" customFormat="1" x14ac:dyDescent="0.2">
      <c r="A78" s="212" t="s">
        <v>210</v>
      </c>
      <c r="B78" s="212"/>
      <c r="C78" s="212"/>
      <c r="D78" s="213"/>
      <c r="E78" s="214" t="e">
        <f t="shared" ref="E78:X78" si="40">E77/E36</f>
        <v>#DIV/0!</v>
      </c>
      <c r="F78" s="214" t="e">
        <f t="shared" si="40"/>
        <v>#DIV/0!</v>
      </c>
      <c r="G78" s="214" t="e">
        <f t="shared" si="40"/>
        <v>#DIV/0!</v>
      </c>
      <c r="H78" s="214" t="e">
        <f t="shared" si="40"/>
        <v>#DIV/0!</v>
      </c>
      <c r="I78" s="214" t="e">
        <f t="shared" si="40"/>
        <v>#DIV/0!</v>
      </c>
      <c r="J78" s="214" t="e">
        <f t="shared" si="40"/>
        <v>#DIV/0!</v>
      </c>
      <c r="K78" s="214" t="e">
        <f t="shared" si="40"/>
        <v>#DIV/0!</v>
      </c>
      <c r="L78" s="214" t="e">
        <f t="shared" si="40"/>
        <v>#DIV/0!</v>
      </c>
      <c r="M78" s="214" t="e">
        <f t="shared" si="40"/>
        <v>#DIV/0!</v>
      </c>
      <c r="N78" s="214" t="e">
        <f t="shared" si="40"/>
        <v>#DIV/0!</v>
      </c>
      <c r="O78" s="214" t="e">
        <f t="shared" si="40"/>
        <v>#DIV/0!</v>
      </c>
      <c r="P78" s="214" t="e">
        <f t="shared" si="40"/>
        <v>#DIV/0!</v>
      </c>
      <c r="Q78" s="214" t="e">
        <f t="shared" si="40"/>
        <v>#DIV/0!</v>
      </c>
      <c r="R78" s="214" t="e">
        <f t="shared" si="40"/>
        <v>#DIV/0!</v>
      </c>
      <c r="S78" s="214" t="e">
        <f t="shared" si="40"/>
        <v>#DIV/0!</v>
      </c>
      <c r="T78" s="214" t="e">
        <f t="shared" si="40"/>
        <v>#DIV/0!</v>
      </c>
      <c r="U78" s="214" t="e">
        <f t="shared" si="40"/>
        <v>#DIV/0!</v>
      </c>
      <c r="V78" s="214" t="e">
        <f t="shared" si="40"/>
        <v>#DIV/0!</v>
      </c>
      <c r="W78" s="214" t="e">
        <f t="shared" si="40"/>
        <v>#DIV/0!</v>
      </c>
      <c r="X78" s="214" t="e">
        <f t="shared" si="40"/>
        <v>#DIV/0!</v>
      </c>
      <c r="Y78" s="215"/>
    </row>
    <row r="79" spans="1:26" s="161" customFormat="1" x14ac:dyDescent="0.2">
      <c r="A79" s="157" t="s">
        <v>186</v>
      </c>
      <c r="B79" s="157"/>
      <c r="C79" s="157"/>
      <c r="D79" s="174"/>
      <c r="E79" s="158">
        <f t="shared" ref="E79:X79" si="41">E36/12</f>
        <v>0</v>
      </c>
      <c r="F79" s="158">
        <f t="shared" si="41"/>
        <v>0</v>
      </c>
      <c r="G79" s="158">
        <f t="shared" si="41"/>
        <v>0</v>
      </c>
      <c r="H79" s="158">
        <f t="shared" si="41"/>
        <v>0</v>
      </c>
      <c r="I79" s="158">
        <f t="shared" si="41"/>
        <v>0</v>
      </c>
      <c r="J79" s="158">
        <f t="shared" si="41"/>
        <v>0</v>
      </c>
      <c r="K79" s="158">
        <f t="shared" si="41"/>
        <v>0</v>
      </c>
      <c r="L79" s="158">
        <f t="shared" si="41"/>
        <v>0</v>
      </c>
      <c r="M79" s="158">
        <f t="shared" si="41"/>
        <v>0</v>
      </c>
      <c r="N79" s="158">
        <f t="shared" si="41"/>
        <v>0</v>
      </c>
      <c r="O79" s="158">
        <f t="shared" si="41"/>
        <v>0</v>
      </c>
      <c r="P79" s="158">
        <f t="shared" si="41"/>
        <v>0</v>
      </c>
      <c r="Q79" s="158">
        <f t="shared" si="41"/>
        <v>0</v>
      </c>
      <c r="R79" s="158">
        <f t="shared" si="41"/>
        <v>0</v>
      </c>
      <c r="S79" s="158">
        <f t="shared" si="41"/>
        <v>0</v>
      </c>
      <c r="T79" s="158">
        <f t="shared" si="41"/>
        <v>0</v>
      </c>
      <c r="U79" s="158">
        <f t="shared" si="41"/>
        <v>0</v>
      </c>
      <c r="V79" s="158">
        <f t="shared" si="41"/>
        <v>0</v>
      </c>
      <c r="W79" s="158">
        <f t="shared" si="41"/>
        <v>0</v>
      </c>
      <c r="X79" s="158">
        <f t="shared" si="41"/>
        <v>0</v>
      </c>
      <c r="Y79" s="160">
        <f>SUM(E79:X79)</f>
        <v>0</v>
      </c>
    </row>
    <row r="80" spans="1:26" s="161" customFormat="1" x14ac:dyDescent="0.2">
      <c r="A80" s="157" t="s">
        <v>218</v>
      </c>
      <c r="B80" s="157"/>
      <c r="C80" s="157"/>
      <c r="D80" s="158"/>
      <c r="E80" s="158">
        <f>E63/12</f>
        <v>0</v>
      </c>
      <c r="F80" s="158">
        <f t="shared" ref="F80:X80" si="42">F63/12</f>
        <v>0</v>
      </c>
      <c r="G80" s="158">
        <f t="shared" si="42"/>
        <v>0</v>
      </c>
      <c r="H80" s="158">
        <f t="shared" si="42"/>
        <v>0</v>
      </c>
      <c r="I80" s="158">
        <f t="shared" si="42"/>
        <v>0</v>
      </c>
      <c r="J80" s="158">
        <f t="shared" si="42"/>
        <v>0</v>
      </c>
      <c r="K80" s="158">
        <f t="shared" si="42"/>
        <v>0</v>
      </c>
      <c r="L80" s="158">
        <f t="shared" si="42"/>
        <v>0</v>
      </c>
      <c r="M80" s="158">
        <f t="shared" si="42"/>
        <v>0</v>
      </c>
      <c r="N80" s="158">
        <f t="shared" si="42"/>
        <v>0</v>
      </c>
      <c r="O80" s="158">
        <f t="shared" si="42"/>
        <v>0</v>
      </c>
      <c r="P80" s="158">
        <f t="shared" si="42"/>
        <v>0</v>
      </c>
      <c r="Q80" s="158">
        <f t="shared" si="42"/>
        <v>0</v>
      </c>
      <c r="R80" s="158">
        <f t="shared" si="42"/>
        <v>0</v>
      </c>
      <c r="S80" s="158">
        <f t="shared" si="42"/>
        <v>0</v>
      </c>
      <c r="T80" s="158">
        <f t="shared" si="42"/>
        <v>0</v>
      </c>
      <c r="U80" s="158">
        <f t="shared" si="42"/>
        <v>0</v>
      </c>
      <c r="V80" s="158">
        <f t="shared" si="42"/>
        <v>0</v>
      </c>
      <c r="W80" s="158">
        <f t="shared" si="42"/>
        <v>0</v>
      </c>
      <c r="X80" s="158">
        <f t="shared" si="42"/>
        <v>0</v>
      </c>
      <c r="Y80" s="160">
        <f t="shared" ref="Y80:Y82" si="43">SUM(E80:X80)</f>
        <v>0</v>
      </c>
    </row>
    <row r="81" spans="1:25" s="161" customFormat="1" x14ac:dyDescent="0.2">
      <c r="A81" s="157" t="s">
        <v>219</v>
      </c>
      <c r="B81" s="157"/>
      <c r="C81" s="157"/>
      <c r="D81" s="195"/>
      <c r="E81" s="158">
        <f>E79-E80</f>
        <v>0</v>
      </c>
      <c r="F81" s="158">
        <f t="shared" ref="F81:X81" si="44">F79-F80</f>
        <v>0</v>
      </c>
      <c r="G81" s="158">
        <f t="shared" si="44"/>
        <v>0</v>
      </c>
      <c r="H81" s="158">
        <f t="shared" si="44"/>
        <v>0</v>
      </c>
      <c r="I81" s="158">
        <f t="shared" si="44"/>
        <v>0</v>
      </c>
      <c r="J81" s="158">
        <f t="shared" si="44"/>
        <v>0</v>
      </c>
      <c r="K81" s="158">
        <f t="shared" si="44"/>
        <v>0</v>
      </c>
      <c r="L81" s="158">
        <f t="shared" si="44"/>
        <v>0</v>
      </c>
      <c r="M81" s="158">
        <f t="shared" si="44"/>
        <v>0</v>
      </c>
      <c r="N81" s="158">
        <f t="shared" si="44"/>
        <v>0</v>
      </c>
      <c r="O81" s="158">
        <f t="shared" si="44"/>
        <v>0</v>
      </c>
      <c r="P81" s="158">
        <f t="shared" si="44"/>
        <v>0</v>
      </c>
      <c r="Q81" s="158">
        <f t="shared" si="44"/>
        <v>0</v>
      </c>
      <c r="R81" s="158">
        <f t="shared" si="44"/>
        <v>0</v>
      </c>
      <c r="S81" s="158">
        <f t="shared" si="44"/>
        <v>0</v>
      </c>
      <c r="T81" s="158">
        <f t="shared" si="44"/>
        <v>0</v>
      </c>
      <c r="U81" s="158">
        <f t="shared" si="44"/>
        <v>0</v>
      </c>
      <c r="V81" s="158">
        <f t="shared" si="44"/>
        <v>0</v>
      </c>
      <c r="W81" s="158">
        <f t="shared" si="44"/>
        <v>0</v>
      </c>
      <c r="X81" s="158">
        <f t="shared" si="44"/>
        <v>0</v>
      </c>
      <c r="Y81" s="160">
        <f t="shared" si="43"/>
        <v>0</v>
      </c>
    </row>
    <row r="82" spans="1:25" s="171" customFormat="1" x14ac:dyDescent="0.2">
      <c r="A82" s="167" t="s">
        <v>211</v>
      </c>
      <c r="B82" s="167"/>
      <c r="C82" s="167"/>
      <c r="D82" s="287"/>
      <c r="E82" s="168">
        <f t="shared" ref="E82:X82" si="45">E37-E64</f>
        <v>0</v>
      </c>
      <c r="F82" s="168">
        <f t="shared" si="45"/>
        <v>0</v>
      </c>
      <c r="G82" s="168">
        <f t="shared" si="45"/>
        <v>0</v>
      </c>
      <c r="H82" s="168">
        <f t="shared" si="45"/>
        <v>0</v>
      </c>
      <c r="I82" s="168">
        <f t="shared" si="45"/>
        <v>0</v>
      </c>
      <c r="J82" s="168">
        <f t="shared" si="45"/>
        <v>0</v>
      </c>
      <c r="K82" s="168">
        <f t="shared" si="45"/>
        <v>0</v>
      </c>
      <c r="L82" s="168">
        <f t="shared" si="45"/>
        <v>0</v>
      </c>
      <c r="M82" s="168">
        <f t="shared" si="45"/>
        <v>0</v>
      </c>
      <c r="N82" s="168">
        <f t="shared" si="45"/>
        <v>0</v>
      </c>
      <c r="O82" s="168">
        <f t="shared" si="45"/>
        <v>0</v>
      </c>
      <c r="P82" s="168">
        <f t="shared" si="45"/>
        <v>0</v>
      </c>
      <c r="Q82" s="168">
        <f t="shared" si="45"/>
        <v>0</v>
      </c>
      <c r="R82" s="168">
        <f t="shared" si="45"/>
        <v>0</v>
      </c>
      <c r="S82" s="168">
        <f t="shared" si="45"/>
        <v>0</v>
      </c>
      <c r="T82" s="168">
        <f t="shared" si="45"/>
        <v>0</v>
      </c>
      <c r="U82" s="168">
        <f t="shared" si="45"/>
        <v>0</v>
      </c>
      <c r="V82" s="168">
        <f t="shared" si="45"/>
        <v>0</v>
      </c>
      <c r="W82" s="168">
        <f t="shared" si="45"/>
        <v>0</v>
      </c>
      <c r="X82" s="168">
        <f t="shared" si="45"/>
        <v>0</v>
      </c>
      <c r="Y82" s="170">
        <f t="shared" si="43"/>
        <v>0</v>
      </c>
    </row>
    <row r="83" spans="1:25" s="211" customFormat="1" x14ac:dyDescent="0.2">
      <c r="A83" s="207" t="s">
        <v>212</v>
      </c>
      <c r="B83" s="207"/>
      <c r="C83" s="207"/>
      <c r="D83" s="208"/>
      <c r="E83" s="209" t="e">
        <f t="shared" ref="E83:X83" si="46">E82/E37</f>
        <v>#DIV/0!</v>
      </c>
      <c r="F83" s="209" t="e">
        <f t="shared" si="46"/>
        <v>#DIV/0!</v>
      </c>
      <c r="G83" s="209" t="e">
        <f t="shared" si="46"/>
        <v>#DIV/0!</v>
      </c>
      <c r="H83" s="209" t="e">
        <f t="shared" si="46"/>
        <v>#DIV/0!</v>
      </c>
      <c r="I83" s="209" t="e">
        <f t="shared" si="46"/>
        <v>#DIV/0!</v>
      </c>
      <c r="J83" s="209" t="e">
        <f t="shared" si="46"/>
        <v>#DIV/0!</v>
      </c>
      <c r="K83" s="209" t="e">
        <f t="shared" si="46"/>
        <v>#DIV/0!</v>
      </c>
      <c r="L83" s="209" t="e">
        <f t="shared" si="46"/>
        <v>#DIV/0!</v>
      </c>
      <c r="M83" s="209" t="e">
        <f t="shared" si="46"/>
        <v>#DIV/0!</v>
      </c>
      <c r="N83" s="209" t="e">
        <f t="shared" si="46"/>
        <v>#DIV/0!</v>
      </c>
      <c r="O83" s="209" t="e">
        <f t="shared" si="46"/>
        <v>#DIV/0!</v>
      </c>
      <c r="P83" s="209" t="e">
        <f t="shared" si="46"/>
        <v>#DIV/0!</v>
      </c>
      <c r="Q83" s="209" t="e">
        <f t="shared" si="46"/>
        <v>#DIV/0!</v>
      </c>
      <c r="R83" s="209" t="e">
        <f t="shared" si="46"/>
        <v>#DIV/0!</v>
      </c>
      <c r="S83" s="209" t="e">
        <f t="shared" si="46"/>
        <v>#DIV/0!</v>
      </c>
      <c r="T83" s="209" t="e">
        <f t="shared" si="46"/>
        <v>#DIV/0!</v>
      </c>
      <c r="U83" s="209" t="e">
        <f t="shared" si="46"/>
        <v>#DIV/0!</v>
      </c>
      <c r="V83" s="209" t="e">
        <f t="shared" si="46"/>
        <v>#DIV/0!</v>
      </c>
      <c r="W83" s="209" t="e">
        <f t="shared" si="46"/>
        <v>#DIV/0!</v>
      </c>
      <c r="X83" s="209" t="e">
        <f t="shared" si="46"/>
        <v>#DIV/0!</v>
      </c>
      <c r="Y83" s="210"/>
    </row>
    <row r="84" spans="1:25" s="171" customFormat="1" x14ac:dyDescent="0.2">
      <c r="A84" s="167" t="s">
        <v>187</v>
      </c>
      <c r="B84" s="167"/>
      <c r="C84" s="167"/>
      <c r="D84" s="177"/>
      <c r="E84" s="168">
        <f t="shared" ref="E84:X84" si="47">E37/12</f>
        <v>0</v>
      </c>
      <c r="F84" s="168">
        <f t="shared" si="47"/>
        <v>0</v>
      </c>
      <c r="G84" s="168">
        <f t="shared" si="47"/>
        <v>0</v>
      </c>
      <c r="H84" s="168">
        <f t="shared" si="47"/>
        <v>0</v>
      </c>
      <c r="I84" s="168">
        <f t="shared" si="47"/>
        <v>0</v>
      </c>
      <c r="J84" s="168">
        <f t="shared" si="47"/>
        <v>0</v>
      </c>
      <c r="K84" s="168">
        <f t="shared" si="47"/>
        <v>0</v>
      </c>
      <c r="L84" s="168">
        <f t="shared" si="47"/>
        <v>0</v>
      </c>
      <c r="M84" s="168">
        <f t="shared" si="47"/>
        <v>0</v>
      </c>
      <c r="N84" s="168">
        <f t="shared" si="47"/>
        <v>0</v>
      </c>
      <c r="O84" s="168">
        <f t="shared" si="47"/>
        <v>0</v>
      </c>
      <c r="P84" s="168">
        <f t="shared" si="47"/>
        <v>0</v>
      </c>
      <c r="Q84" s="168">
        <f t="shared" si="47"/>
        <v>0</v>
      </c>
      <c r="R84" s="168">
        <f t="shared" si="47"/>
        <v>0</v>
      </c>
      <c r="S84" s="168">
        <f t="shared" si="47"/>
        <v>0</v>
      </c>
      <c r="T84" s="168">
        <f t="shared" si="47"/>
        <v>0</v>
      </c>
      <c r="U84" s="168">
        <f t="shared" si="47"/>
        <v>0</v>
      </c>
      <c r="V84" s="168">
        <f t="shared" si="47"/>
        <v>0</v>
      </c>
      <c r="W84" s="168">
        <f t="shared" si="47"/>
        <v>0</v>
      </c>
      <c r="X84" s="168">
        <f t="shared" si="47"/>
        <v>0</v>
      </c>
      <c r="Y84" s="170">
        <f>SUM(E84:X84)</f>
        <v>0</v>
      </c>
    </row>
    <row r="85" spans="1:25" s="171" customFormat="1" x14ac:dyDescent="0.2">
      <c r="A85" s="167" t="s">
        <v>220</v>
      </c>
      <c r="B85" s="167"/>
      <c r="C85" s="167"/>
      <c r="D85" s="168"/>
      <c r="E85" s="168">
        <f>E64/12</f>
        <v>0</v>
      </c>
      <c r="F85" s="168">
        <f t="shared" ref="F85:X85" si="48">F64/12</f>
        <v>0</v>
      </c>
      <c r="G85" s="168">
        <f t="shared" si="48"/>
        <v>0</v>
      </c>
      <c r="H85" s="168">
        <f t="shared" si="48"/>
        <v>0</v>
      </c>
      <c r="I85" s="168">
        <f t="shared" si="48"/>
        <v>0</v>
      </c>
      <c r="J85" s="168">
        <f t="shared" si="48"/>
        <v>0</v>
      </c>
      <c r="K85" s="168">
        <f t="shared" si="48"/>
        <v>0</v>
      </c>
      <c r="L85" s="168">
        <f t="shared" si="48"/>
        <v>0</v>
      </c>
      <c r="M85" s="168">
        <f t="shared" si="48"/>
        <v>0</v>
      </c>
      <c r="N85" s="168">
        <f t="shared" si="48"/>
        <v>0</v>
      </c>
      <c r="O85" s="168">
        <f t="shared" si="48"/>
        <v>0</v>
      </c>
      <c r="P85" s="168">
        <f t="shared" si="48"/>
        <v>0</v>
      </c>
      <c r="Q85" s="168">
        <f t="shared" si="48"/>
        <v>0</v>
      </c>
      <c r="R85" s="168">
        <f t="shared" si="48"/>
        <v>0</v>
      </c>
      <c r="S85" s="168">
        <f t="shared" si="48"/>
        <v>0</v>
      </c>
      <c r="T85" s="168">
        <f t="shared" si="48"/>
        <v>0</v>
      </c>
      <c r="U85" s="168">
        <f t="shared" si="48"/>
        <v>0</v>
      </c>
      <c r="V85" s="168">
        <f t="shared" si="48"/>
        <v>0</v>
      </c>
      <c r="W85" s="168">
        <f t="shared" si="48"/>
        <v>0</v>
      </c>
      <c r="X85" s="168">
        <f t="shared" si="48"/>
        <v>0</v>
      </c>
      <c r="Y85" s="170">
        <f t="shared" ref="Y85:Y87" si="49">SUM(E85:X85)</f>
        <v>0</v>
      </c>
    </row>
    <row r="86" spans="1:25" s="171" customFormat="1" x14ac:dyDescent="0.2">
      <c r="A86" s="167" t="s">
        <v>221</v>
      </c>
      <c r="B86" s="167"/>
      <c r="C86" s="167"/>
      <c r="D86" s="194"/>
      <c r="E86" s="168">
        <f>E84-E85</f>
        <v>0</v>
      </c>
      <c r="F86" s="168">
        <f t="shared" ref="F86:X86" si="50">F84-F85</f>
        <v>0</v>
      </c>
      <c r="G86" s="168">
        <f t="shared" si="50"/>
        <v>0</v>
      </c>
      <c r="H86" s="168">
        <f t="shared" si="50"/>
        <v>0</v>
      </c>
      <c r="I86" s="168">
        <f t="shared" si="50"/>
        <v>0</v>
      </c>
      <c r="J86" s="168">
        <f t="shared" si="50"/>
        <v>0</v>
      </c>
      <c r="K86" s="168">
        <f t="shared" si="50"/>
        <v>0</v>
      </c>
      <c r="L86" s="168">
        <f t="shared" si="50"/>
        <v>0</v>
      </c>
      <c r="M86" s="168">
        <f t="shared" si="50"/>
        <v>0</v>
      </c>
      <c r="N86" s="168">
        <f t="shared" si="50"/>
        <v>0</v>
      </c>
      <c r="O86" s="168">
        <f t="shared" si="50"/>
        <v>0</v>
      </c>
      <c r="P86" s="168">
        <f t="shared" si="50"/>
        <v>0</v>
      </c>
      <c r="Q86" s="168">
        <f t="shared" si="50"/>
        <v>0</v>
      </c>
      <c r="R86" s="168">
        <f t="shared" si="50"/>
        <v>0</v>
      </c>
      <c r="S86" s="168">
        <f t="shared" si="50"/>
        <v>0</v>
      </c>
      <c r="T86" s="168">
        <f t="shared" si="50"/>
        <v>0</v>
      </c>
      <c r="U86" s="168">
        <f t="shared" si="50"/>
        <v>0</v>
      </c>
      <c r="V86" s="168">
        <f t="shared" si="50"/>
        <v>0</v>
      </c>
      <c r="W86" s="168">
        <f t="shared" si="50"/>
        <v>0</v>
      </c>
      <c r="X86" s="168">
        <f t="shared" si="50"/>
        <v>0</v>
      </c>
      <c r="Y86" s="170">
        <f t="shared" si="49"/>
        <v>0</v>
      </c>
    </row>
    <row r="87" spans="1:25" s="166" customFormat="1" x14ac:dyDescent="0.2">
      <c r="A87" s="162" t="s">
        <v>213</v>
      </c>
      <c r="B87" s="162"/>
      <c r="C87" s="162"/>
      <c r="D87" s="286"/>
      <c r="E87" s="163">
        <f t="shared" ref="E87:X87" si="51">E38-E65</f>
        <v>0</v>
      </c>
      <c r="F87" s="163">
        <f t="shared" si="51"/>
        <v>0</v>
      </c>
      <c r="G87" s="163">
        <f t="shared" si="51"/>
        <v>0</v>
      </c>
      <c r="H87" s="163">
        <f t="shared" si="51"/>
        <v>0</v>
      </c>
      <c r="I87" s="163">
        <f t="shared" si="51"/>
        <v>0</v>
      </c>
      <c r="J87" s="163">
        <f t="shared" si="51"/>
        <v>0</v>
      </c>
      <c r="K87" s="163">
        <f t="shared" si="51"/>
        <v>0</v>
      </c>
      <c r="L87" s="163">
        <f t="shared" si="51"/>
        <v>0</v>
      </c>
      <c r="M87" s="163">
        <f t="shared" si="51"/>
        <v>0</v>
      </c>
      <c r="N87" s="163">
        <f t="shared" si="51"/>
        <v>0</v>
      </c>
      <c r="O87" s="163">
        <f t="shared" si="51"/>
        <v>0</v>
      </c>
      <c r="P87" s="163">
        <f t="shared" si="51"/>
        <v>0</v>
      </c>
      <c r="Q87" s="163">
        <f t="shared" si="51"/>
        <v>0</v>
      </c>
      <c r="R87" s="163">
        <f t="shared" si="51"/>
        <v>0</v>
      </c>
      <c r="S87" s="163">
        <f t="shared" si="51"/>
        <v>0</v>
      </c>
      <c r="T87" s="163">
        <f t="shared" si="51"/>
        <v>0</v>
      </c>
      <c r="U87" s="163">
        <f t="shared" si="51"/>
        <v>0</v>
      </c>
      <c r="V87" s="163">
        <f t="shared" si="51"/>
        <v>0</v>
      </c>
      <c r="W87" s="163">
        <f t="shared" si="51"/>
        <v>0</v>
      </c>
      <c r="X87" s="163">
        <f t="shared" si="51"/>
        <v>0</v>
      </c>
      <c r="Y87" s="165">
        <f t="shared" si="49"/>
        <v>0</v>
      </c>
    </row>
    <row r="88" spans="1:25" s="206" customFormat="1" x14ac:dyDescent="0.2">
      <c r="A88" s="202" t="s">
        <v>214</v>
      </c>
      <c r="B88" s="202"/>
      <c r="C88" s="202"/>
      <c r="D88" s="203"/>
      <c r="E88" s="204" t="e">
        <f t="shared" ref="E88:X88" si="52">E87/E38</f>
        <v>#DIV/0!</v>
      </c>
      <c r="F88" s="204" t="e">
        <f t="shared" si="52"/>
        <v>#DIV/0!</v>
      </c>
      <c r="G88" s="204" t="e">
        <f t="shared" si="52"/>
        <v>#DIV/0!</v>
      </c>
      <c r="H88" s="204" t="e">
        <f t="shared" si="52"/>
        <v>#DIV/0!</v>
      </c>
      <c r="I88" s="204" t="e">
        <f t="shared" si="52"/>
        <v>#DIV/0!</v>
      </c>
      <c r="J88" s="204" t="e">
        <f t="shared" si="52"/>
        <v>#DIV/0!</v>
      </c>
      <c r="K88" s="204" t="e">
        <f t="shared" si="52"/>
        <v>#DIV/0!</v>
      </c>
      <c r="L88" s="204" t="e">
        <f t="shared" si="52"/>
        <v>#DIV/0!</v>
      </c>
      <c r="M88" s="204" t="e">
        <f t="shared" si="52"/>
        <v>#DIV/0!</v>
      </c>
      <c r="N88" s="204" t="e">
        <f t="shared" si="52"/>
        <v>#DIV/0!</v>
      </c>
      <c r="O88" s="204" t="e">
        <f t="shared" si="52"/>
        <v>#DIV/0!</v>
      </c>
      <c r="P88" s="204" t="e">
        <f t="shared" si="52"/>
        <v>#DIV/0!</v>
      </c>
      <c r="Q88" s="204" t="e">
        <f t="shared" si="52"/>
        <v>#DIV/0!</v>
      </c>
      <c r="R88" s="204" t="e">
        <f t="shared" si="52"/>
        <v>#DIV/0!</v>
      </c>
      <c r="S88" s="204" t="e">
        <f t="shared" si="52"/>
        <v>#DIV/0!</v>
      </c>
      <c r="T88" s="204" t="e">
        <f t="shared" si="52"/>
        <v>#DIV/0!</v>
      </c>
      <c r="U88" s="204" t="e">
        <f t="shared" si="52"/>
        <v>#DIV/0!</v>
      </c>
      <c r="V88" s="204" t="e">
        <f t="shared" si="52"/>
        <v>#DIV/0!</v>
      </c>
      <c r="W88" s="204" t="e">
        <f t="shared" si="52"/>
        <v>#DIV/0!</v>
      </c>
      <c r="X88" s="204" t="e">
        <f t="shared" si="52"/>
        <v>#DIV/0!</v>
      </c>
      <c r="Y88" s="205"/>
    </row>
    <row r="89" spans="1:25" s="166" customFormat="1" x14ac:dyDescent="0.2">
      <c r="A89" s="162" t="s">
        <v>188</v>
      </c>
      <c r="B89" s="162"/>
      <c r="C89" s="162"/>
      <c r="D89" s="173"/>
      <c r="E89" s="163">
        <f t="shared" ref="E89:X89" si="53">E38/12</f>
        <v>0</v>
      </c>
      <c r="F89" s="163">
        <f t="shared" si="53"/>
        <v>0</v>
      </c>
      <c r="G89" s="163">
        <f t="shared" si="53"/>
        <v>0</v>
      </c>
      <c r="H89" s="163">
        <f t="shared" si="53"/>
        <v>0</v>
      </c>
      <c r="I89" s="163">
        <f t="shared" si="53"/>
        <v>0</v>
      </c>
      <c r="J89" s="163">
        <f t="shared" si="53"/>
        <v>0</v>
      </c>
      <c r="K89" s="163">
        <f t="shared" si="53"/>
        <v>0</v>
      </c>
      <c r="L89" s="163">
        <f t="shared" si="53"/>
        <v>0</v>
      </c>
      <c r="M89" s="163">
        <f t="shared" si="53"/>
        <v>0</v>
      </c>
      <c r="N89" s="163">
        <f t="shared" si="53"/>
        <v>0</v>
      </c>
      <c r="O89" s="163">
        <f t="shared" si="53"/>
        <v>0</v>
      </c>
      <c r="P89" s="163">
        <f t="shared" si="53"/>
        <v>0</v>
      </c>
      <c r="Q89" s="163">
        <f t="shared" si="53"/>
        <v>0</v>
      </c>
      <c r="R89" s="163">
        <f t="shared" si="53"/>
        <v>0</v>
      </c>
      <c r="S89" s="163">
        <f t="shared" si="53"/>
        <v>0</v>
      </c>
      <c r="T89" s="163">
        <f t="shared" si="53"/>
        <v>0</v>
      </c>
      <c r="U89" s="163">
        <f t="shared" si="53"/>
        <v>0</v>
      </c>
      <c r="V89" s="163">
        <f t="shared" si="53"/>
        <v>0</v>
      </c>
      <c r="W89" s="163">
        <f t="shared" si="53"/>
        <v>0</v>
      </c>
      <c r="X89" s="163">
        <f t="shared" si="53"/>
        <v>0</v>
      </c>
      <c r="Y89" s="165">
        <f>SUM(E89:X89)</f>
        <v>0</v>
      </c>
    </row>
    <row r="90" spans="1:25" s="166" customFormat="1" x14ac:dyDescent="0.2">
      <c r="A90" s="162" t="s">
        <v>222</v>
      </c>
      <c r="B90" s="162"/>
      <c r="C90" s="162"/>
      <c r="D90" s="163"/>
      <c r="E90" s="163">
        <f>E65/12</f>
        <v>0</v>
      </c>
      <c r="F90" s="163">
        <f t="shared" ref="F90:X90" si="54">F65/12</f>
        <v>0</v>
      </c>
      <c r="G90" s="163">
        <f t="shared" si="54"/>
        <v>0</v>
      </c>
      <c r="H90" s="163">
        <f t="shared" si="54"/>
        <v>0</v>
      </c>
      <c r="I90" s="163">
        <f t="shared" si="54"/>
        <v>0</v>
      </c>
      <c r="J90" s="163">
        <f t="shared" si="54"/>
        <v>0</v>
      </c>
      <c r="K90" s="163">
        <f t="shared" si="54"/>
        <v>0</v>
      </c>
      <c r="L90" s="163">
        <f t="shared" si="54"/>
        <v>0</v>
      </c>
      <c r="M90" s="163">
        <f t="shared" si="54"/>
        <v>0</v>
      </c>
      <c r="N90" s="163">
        <f t="shared" si="54"/>
        <v>0</v>
      </c>
      <c r="O90" s="163">
        <f t="shared" si="54"/>
        <v>0</v>
      </c>
      <c r="P90" s="163">
        <f t="shared" si="54"/>
        <v>0</v>
      </c>
      <c r="Q90" s="163">
        <f t="shared" si="54"/>
        <v>0</v>
      </c>
      <c r="R90" s="163">
        <f t="shared" si="54"/>
        <v>0</v>
      </c>
      <c r="S90" s="163">
        <f t="shared" si="54"/>
        <v>0</v>
      </c>
      <c r="T90" s="163">
        <f t="shared" si="54"/>
        <v>0</v>
      </c>
      <c r="U90" s="163">
        <f t="shared" si="54"/>
        <v>0</v>
      </c>
      <c r="V90" s="163">
        <f t="shared" si="54"/>
        <v>0</v>
      </c>
      <c r="W90" s="163">
        <f t="shared" si="54"/>
        <v>0</v>
      </c>
      <c r="X90" s="163">
        <f t="shared" si="54"/>
        <v>0</v>
      </c>
      <c r="Y90" s="165">
        <f t="shared" ref="Y90:Y91" si="55">SUM(E90:X90)</f>
        <v>0</v>
      </c>
    </row>
    <row r="91" spans="1:25" s="166" customFormat="1" x14ac:dyDescent="0.2">
      <c r="A91" s="162" t="s">
        <v>223</v>
      </c>
      <c r="B91" s="162"/>
      <c r="C91" s="162"/>
      <c r="D91" s="192"/>
      <c r="E91" s="163">
        <f>E89-E90</f>
        <v>0</v>
      </c>
      <c r="F91" s="163">
        <f t="shared" ref="F91:X91" si="56">F89-F90</f>
        <v>0</v>
      </c>
      <c r="G91" s="163">
        <f t="shared" si="56"/>
        <v>0</v>
      </c>
      <c r="H91" s="163">
        <f t="shared" si="56"/>
        <v>0</v>
      </c>
      <c r="I91" s="163">
        <f t="shared" si="56"/>
        <v>0</v>
      </c>
      <c r="J91" s="163">
        <f t="shared" si="56"/>
        <v>0</v>
      </c>
      <c r="K91" s="163">
        <f t="shared" si="56"/>
        <v>0</v>
      </c>
      <c r="L91" s="163">
        <f t="shared" si="56"/>
        <v>0</v>
      </c>
      <c r="M91" s="163">
        <f t="shared" si="56"/>
        <v>0</v>
      </c>
      <c r="N91" s="163">
        <f t="shared" si="56"/>
        <v>0</v>
      </c>
      <c r="O91" s="163">
        <f t="shared" si="56"/>
        <v>0</v>
      </c>
      <c r="P91" s="163">
        <f t="shared" si="56"/>
        <v>0</v>
      </c>
      <c r="Q91" s="163">
        <f t="shared" si="56"/>
        <v>0</v>
      </c>
      <c r="R91" s="163">
        <f t="shared" si="56"/>
        <v>0</v>
      </c>
      <c r="S91" s="163">
        <f t="shared" si="56"/>
        <v>0</v>
      </c>
      <c r="T91" s="163">
        <f t="shared" si="56"/>
        <v>0</v>
      </c>
      <c r="U91" s="163">
        <f t="shared" si="56"/>
        <v>0</v>
      </c>
      <c r="V91" s="163">
        <f t="shared" si="56"/>
        <v>0</v>
      </c>
      <c r="W91" s="163">
        <f t="shared" si="56"/>
        <v>0</v>
      </c>
      <c r="X91" s="163">
        <f t="shared" si="56"/>
        <v>0</v>
      </c>
      <c r="Y91" s="165">
        <f t="shared" si="55"/>
        <v>0</v>
      </c>
    </row>
    <row r="92" spans="1:25" s="14" customFormat="1" ht="13" x14ac:dyDescent="0.15">
      <c r="K92" s="40"/>
    </row>
    <row r="93" spans="1:25" s="14" customFormat="1" ht="13" x14ac:dyDescent="0.15">
      <c r="K93" s="40"/>
    </row>
    <row r="94" spans="1:25" s="65" customFormat="1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</row>
    <row r="95" spans="1:25" s="24" customFormat="1" x14ac:dyDescent="0.2">
      <c r="A95" s="272"/>
      <c r="F95" s="280"/>
      <c r="H95" s="282"/>
      <c r="J95" s="40"/>
      <c r="K95" s="40"/>
    </row>
    <row r="96" spans="1:25" s="24" customFormat="1" ht="13" x14ac:dyDescent="0.15">
      <c r="A96" s="272"/>
      <c r="J96" s="40"/>
      <c r="K96" s="40"/>
    </row>
    <row r="97" spans="1:25" s="24" customFormat="1" x14ac:dyDescent="0.2">
      <c r="A97" s="272"/>
      <c r="F97" s="275"/>
      <c r="H97" s="276"/>
      <c r="J97" s="40"/>
      <c r="K97" s="40"/>
    </row>
    <row r="98" spans="1:25" s="24" customFormat="1" ht="13" x14ac:dyDescent="0.15">
      <c r="J98" s="40"/>
      <c r="K98" s="40"/>
    </row>
    <row r="99" spans="1:25" s="24" customFormat="1" x14ac:dyDescent="0.2">
      <c r="A99" s="272"/>
      <c r="H99" s="230"/>
      <c r="I99" s="283"/>
      <c r="J99" s="40"/>
      <c r="K99" s="40"/>
    </row>
    <row r="100" spans="1:25" s="24" customFormat="1" ht="13" x14ac:dyDescent="0.15">
      <c r="A100" s="272"/>
      <c r="H100" s="230"/>
      <c r="J100" s="40"/>
      <c r="K100" s="40"/>
    </row>
    <row r="101" spans="1:25" s="65" customFormat="1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7"/>
  <sheetViews>
    <sheetView workbookViewId="0">
      <selection activeCell="M27" sqref="M27"/>
    </sheetView>
  </sheetViews>
  <sheetFormatPr baseColWidth="10" defaultColWidth="8.83203125" defaultRowHeight="15" x14ac:dyDescent="0.2"/>
  <cols>
    <col min="1" max="1" width="5.83203125" style="1" customWidth="1"/>
    <col min="2" max="2" width="3.1640625" style="1" customWidth="1"/>
    <col min="3" max="3" width="11.83203125" style="1" bestFit="1" customWidth="1"/>
    <col min="4" max="4" width="3.5" style="1" customWidth="1"/>
    <col min="5" max="5" width="11.33203125" style="1" customWidth="1"/>
    <col min="6" max="6" width="15.6640625" style="1" customWidth="1"/>
    <col min="7" max="7" width="7.5" style="1" customWidth="1"/>
    <col min="8" max="8" width="10.33203125" style="1" customWidth="1"/>
    <col min="9" max="9" width="2.6640625" style="1" customWidth="1"/>
    <col min="10" max="10" width="9.6640625" customWidth="1"/>
    <col min="11" max="12" width="8.6640625" customWidth="1"/>
  </cols>
  <sheetData>
    <row r="1" spans="1:10" x14ac:dyDescent="0.2">
      <c r="G1" s="44"/>
      <c r="H1" s="44"/>
      <c r="I1" s="44"/>
    </row>
    <row r="2" spans="1:10" x14ac:dyDescent="0.2">
      <c r="G2" s="44"/>
      <c r="H2" s="44"/>
      <c r="J2" s="46" t="s">
        <v>92</v>
      </c>
    </row>
    <row r="3" spans="1:10" x14ac:dyDescent="0.2">
      <c r="J3" s="46" t="s">
        <v>93</v>
      </c>
    </row>
    <row r="4" spans="1:10" ht="16" x14ac:dyDescent="0.2">
      <c r="A4" s="48" t="s">
        <v>91</v>
      </c>
      <c r="J4" s="46" t="s">
        <v>94</v>
      </c>
    </row>
    <row r="5" spans="1:10" ht="16" x14ac:dyDescent="0.2">
      <c r="A5" s="48"/>
    </row>
    <row r="6" spans="1:10" ht="16" x14ac:dyDescent="0.2">
      <c r="A6" s="48"/>
    </row>
    <row r="7" spans="1:10" ht="16" x14ac:dyDescent="0.2">
      <c r="A7" s="48"/>
    </row>
    <row r="8" spans="1:10" s="342" customFormat="1" x14ac:dyDescent="0.2">
      <c r="A8" s="539">
        <f>Eligibility!F79</f>
        <v>0</v>
      </c>
      <c r="B8" s="539"/>
      <c r="C8" s="539"/>
      <c r="D8" s="539"/>
      <c r="E8" s="539"/>
      <c r="F8" s="539"/>
      <c r="G8" s="539"/>
      <c r="H8" s="539"/>
      <c r="I8" s="539"/>
      <c r="J8" s="539"/>
    </row>
    <row r="9" spans="1:10" s="342" customFormat="1" x14ac:dyDescent="0.2">
      <c r="A9" s="426"/>
      <c r="B9" s="426"/>
      <c r="C9" s="426"/>
      <c r="D9" s="426"/>
      <c r="E9" s="426"/>
      <c r="F9" s="426"/>
      <c r="G9" s="426"/>
      <c r="H9" s="426"/>
      <c r="I9" s="426"/>
    </row>
    <row r="10" spans="1:10" s="342" customFormat="1" x14ac:dyDescent="0.2">
      <c r="A10" s="426"/>
      <c r="B10" s="426"/>
      <c r="C10" s="426"/>
      <c r="D10" s="426"/>
      <c r="E10" s="426"/>
      <c r="F10" s="426"/>
      <c r="G10" s="426"/>
      <c r="H10" s="426"/>
      <c r="I10" s="426"/>
    </row>
    <row r="11" spans="1:10" s="342" customFormat="1" x14ac:dyDescent="0.2">
      <c r="A11" s="426"/>
      <c r="B11" s="426"/>
      <c r="C11" s="426"/>
      <c r="D11" s="426"/>
      <c r="E11" s="426"/>
      <c r="F11" s="426"/>
      <c r="G11" s="426"/>
      <c r="H11" s="426"/>
      <c r="I11" s="426"/>
    </row>
    <row r="12" spans="1:10" s="342" customFormat="1" x14ac:dyDescent="0.2">
      <c r="A12" s="1" t="str">
        <f>Eligibility!I49</f>
        <v>Donald Duck</v>
      </c>
      <c r="B12" s="1"/>
      <c r="C12" s="1"/>
      <c r="D12" s="1"/>
      <c r="E12" s="1"/>
      <c r="F12" s="1"/>
      <c r="G12" s="1"/>
      <c r="H12" s="1"/>
      <c r="I12" s="1"/>
    </row>
    <row r="13" spans="1:10" s="342" customFormat="1" x14ac:dyDescent="0.2">
      <c r="A13" s="1" t="str">
        <f>Eligibility!C50</f>
        <v>Olani Street</v>
      </c>
      <c r="B13" s="1"/>
      <c r="C13" s="1"/>
      <c r="D13" s="1"/>
      <c r="E13" s="1"/>
      <c r="F13" s="1"/>
      <c r="G13" s="1"/>
      <c r="H13" s="1"/>
      <c r="I13" s="1"/>
    </row>
    <row r="14" spans="1:10" s="342" customFormat="1" x14ac:dyDescent="0.2">
      <c r="A14" s="1" t="str">
        <f>Eligibility!I50</f>
        <v>Kapolei, HI 96707</v>
      </c>
      <c r="B14" s="1"/>
      <c r="C14" s="1"/>
      <c r="D14" s="1"/>
      <c r="E14" s="1"/>
      <c r="F14" s="1"/>
      <c r="G14" s="1"/>
      <c r="H14" s="1"/>
      <c r="I14" s="1"/>
    </row>
    <row r="15" spans="1:10" s="342" customFormat="1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10" s="342" customFormat="1" x14ac:dyDescent="0.2">
      <c r="A16" s="1" t="s">
        <v>42</v>
      </c>
      <c r="B16" s="1"/>
      <c r="C16" s="1"/>
      <c r="D16" s="1"/>
      <c r="E16" s="1"/>
      <c r="F16" s="1"/>
      <c r="G16" s="1"/>
      <c r="H16" s="1"/>
      <c r="I16" s="1"/>
    </row>
    <row r="17" spans="1:11" s="342" customFormat="1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11" s="342" customFormat="1" x14ac:dyDescent="0.2">
      <c r="A18" s="1"/>
      <c r="B18" s="4" t="s">
        <v>408</v>
      </c>
      <c r="C18" s="541" t="str">
        <f>Eligibility!D10</f>
        <v>Mickey Mouse</v>
      </c>
      <c r="D18" s="542"/>
      <c r="E18" s="542"/>
      <c r="F18" s="1" t="s">
        <v>409</v>
      </c>
      <c r="G18" s="1" t="str">
        <f>Eligibility!D11</f>
        <v>Olani Street</v>
      </c>
      <c r="H18" s="1"/>
      <c r="I18" s="1"/>
    </row>
    <row r="19" spans="1:11" s="342" customFormat="1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11" s="342" customFormat="1" x14ac:dyDescent="0.2">
      <c r="A20" s="1" t="s">
        <v>410</v>
      </c>
      <c r="B20" s="1"/>
      <c r="C20" s="344"/>
      <c r="D20" s="344"/>
      <c r="E20" s="344"/>
      <c r="G20" s="1"/>
      <c r="H20" s="1"/>
      <c r="I20" s="1"/>
    </row>
    <row r="21" spans="1:11" s="342" customFormat="1" x14ac:dyDescent="0.2">
      <c r="A21" s="1" t="s">
        <v>411</v>
      </c>
      <c r="B21" s="1"/>
      <c r="C21" s="1"/>
      <c r="D21" s="1"/>
      <c r="E21" s="1"/>
      <c r="G21" s="1"/>
      <c r="H21" s="1"/>
      <c r="I21" s="1"/>
    </row>
    <row r="22" spans="1:11" s="342" customFormat="1" ht="14.5" customHeight="1" x14ac:dyDescent="0.2">
      <c r="A22" s="1"/>
      <c r="B22" s="1"/>
      <c r="C22" s="1"/>
      <c r="D22" s="1"/>
      <c r="E22" s="1"/>
      <c r="G22" s="1"/>
      <c r="H22" s="1"/>
      <c r="I22" s="1"/>
    </row>
    <row r="23" spans="1:11" s="342" customFormat="1" x14ac:dyDescent="0.2">
      <c r="A23" s="543" t="s">
        <v>412</v>
      </c>
      <c r="B23" s="543"/>
      <c r="C23" s="543"/>
      <c r="D23" s="543"/>
      <c r="E23" s="543"/>
      <c r="F23" s="543"/>
      <c r="G23" s="543"/>
      <c r="H23" s="543"/>
      <c r="I23" s="543"/>
      <c r="J23" s="543"/>
    </row>
    <row r="24" spans="1:11" s="342" customFormat="1" x14ac:dyDescent="0.2">
      <c r="A24" s="76" t="s">
        <v>413</v>
      </c>
    </row>
    <row r="25" spans="1:11" s="342" customFormat="1" x14ac:dyDescent="0.2">
      <c r="A25" s="1" t="s">
        <v>414</v>
      </c>
      <c r="B25" s="1"/>
      <c r="C25" s="1"/>
      <c r="D25" s="1"/>
      <c r="E25" s="1"/>
      <c r="F25" s="1"/>
      <c r="G25" s="343"/>
      <c r="H25" s="1"/>
      <c r="I25" s="1"/>
    </row>
    <row r="26" spans="1:11" s="342" customFormat="1" x14ac:dyDescent="0.2">
      <c r="A26" s="1" t="s">
        <v>415</v>
      </c>
      <c r="B26" s="1"/>
      <c r="C26" s="1"/>
      <c r="D26" s="1"/>
      <c r="E26" s="1"/>
      <c r="F26" s="1"/>
      <c r="G26" s="105"/>
      <c r="H26" s="1"/>
      <c r="I26" s="1"/>
    </row>
    <row r="27" spans="1:11" s="342" customFormat="1" x14ac:dyDescent="0.2">
      <c r="A27" s="1"/>
      <c r="B27" s="1"/>
      <c r="C27" s="1"/>
      <c r="D27" s="1"/>
      <c r="E27" s="1"/>
      <c r="F27" s="1"/>
      <c r="G27" s="105"/>
      <c r="H27" s="1"/>
      <c r="I27" s="1"/>
    </row>
    <row r="28" spans="1:11" s="342" customFormat="1" x14ac:dyDescent="0.2">
      <c r="A28" s="1" t="s">
        <v>416</v>
      </c>
      <c r="B28" s="1"/>
      <c r="C28" s="1"/>
      <c r="D28" s="1"/>
      <c r="E28" s="1"/>
      <c r="F28" s="1"/>
      <c r="G28" s="105"/>
      <c r="H28" s="1"/>
      <c r="I28" s="1"/>
    </row>
    <row r="29" spans="1:11" s="342" customFormat="1" x14ac:dyDescent="0.2">
      <c r="A29" s="1" t="s">
        <v>417</v>
      </c>
      <c r="B29" s="1"/>
      <c r="C29" s="1"/>
      <c r="D29" s="1"/>
      <c r="E29" s="1"/>
      <c r="F29" s="1"/>
      <c r="G29" s="105"/>
      <c r="H29" s="429">
        <f>Eligibility!V62</f>
        <v>0</v>
      </c>
      <c r="I29" s="342" t="s">
        <v>418</v>
      </c>
      <c r="J29" s="429">
        <f>Eligibility!V63</f>
        <v>0</v>
      </c>
      <c r="K29" s="342" t="s">
        <v>419</v>
      </c>
    </row>
    <row r="30" spans="1:11" s="342" customFormat="1" x14ac:dyDescent="0.2">
      <c r="A30" s="544" t="s">
        <v>420</v>
      </c>
      <c r="B30" s="545"/>
      <c r="C30" s="542"/>
      <c r="D30" s="542"/>
      <c r="E30" s="542"/>
      <c r="F30" s="542"/>
      <c r="G30" s="542"/>
      <c r="H30" s="542"/>
      <c r="I30" s="542"/>
      <c r="J30" s="542"/>
    </row>
    <row r="31" spans="1:11" s="342" customFormat="1" x14ac:dyDescent="0.2">
      <c r="A31" s="1" t="s">
        <v>421</v>
      </c>
      <c r="B31" s="1"/>
      <c r="C31" s="1"/>
      <c r="D31" s="1"/>
      <c r="E31" s="1"/>
      <c r="F31" s="428">
        <f>Eligibility!N78</f>
        <v>0</v>
      </c>
      <c r="G31" s="1" t="s">
        <v>422</v>
      </c>
      <c r="I31" s="1"/>
    </row>
    <row r="32" spans="1:11" s="342" customFormat="1" x14ac:dyDescent="0.2">
      <c r="A32" s="1" t="s">
        <v>423</v>
      </c>
      <c r="E32" s="430">
        <f>Eligibility!N79</f>
        <v>0</v>
      </c>
      <c r="F32" s="1" t="s">
        <v>424</v>
      </c>
      <c r="H32" s="407"/>
      <c r="I32" s="407"/>
    </row>
    <row r="33" spans="1:10" s="342" customFormat="1" x14ac:dyDescent="0.2">
      <c r="A33" s="1"/>
      <c r="B33" s="1"/>
      <c r="C33" s="1"/>
      <c r="D33" s="1"/>
      <c r="E33" s="1"/>
      <c r="F33" s="1"/>
      <c r="G33" s="105"/>
      <c r="H33" s="1"/>
      <c r="I33" s="1"/>
    </row>
    <row r="34" spans="1:10" s="342" customFormat="1" x14ac:dyDescent="0.2">
      <c r="A34" s="1" t="s">
        <v>425</v>
      </c>
      <c r="B34" s="1"/>
      <c r="C34" s="1"/>
      <c r="D34" s="1"/>
      <c r="E34" s="1"/>
      <c r="F34" s="1"/>
      <c r="G34" s="105"/>
      <c r="I34" s="406"/>
      <c r="J34" s="1"/>
    </row>
    <row r="35" spans="1:10" s="342" customFormat="1" x14ac:dyDescent="0.2">
      <c r="A35" s="546"/>
      <c r="B35" s="546"/>
      <c r="C35" s="1"/>
      <c r="D35" s="1"/>
      <c r="E35" s="1"/>
      <c r="F35" s="1"/>
      <c r="G35" s="105"/>
      <c r="H35" s="1"/>
      <c r="I35" s="1"/>
    </row>
    <row r="36" spans="1:10" s="342" customFormat="1" x14ac:dyDescent="0.2">
      <c r="A36" s="1" t="s">
        <v>426</v>
      </c>
      <c r="B36" s="1"/>
      <c r="C36" s="1"/>
      <c r="D36" s="1"/>
      <c r="E36" s="1"/>
      <c r="F36" s="4"/>
      <c r="G36" s="1"/>
      <c r="H36" s="1"/>
      <c r="I36" s="1"/>
    </row>
    <row r="37" spans="1:10" s="342" customFormat="1" x14ac:dyDescent="0.2">
      <c r="A37" s="99" t="s">
        <v>427</v>
      </c>
      <c r="B37" s="427"/>
      <c r="C37" s="427"/>
      <c r="D37" s="427"/>
      <c r="E37" s="427"/>
      <c r="F37" s="427"/>
      <c r="G37" s="427"/>
      <c r="H37" s="427"/>
      <c r="I37" s="427"/>
    </row>
    <row r="38" spans="1:10" s="342" customFormat="1" x14ac:dyDescent="0.2">
      <c r="A38" s="99"/>
      <c r="B38" s="427"/>
      <c r="C38" s="427"/>
      <c r="D38" s="427"/>
      <c r="E38" s="427"/>
      <c r="F38" s="427"/>
      <c r="G38" s="427"/>
      <c r="H38" s="427"/>
      <c r="I38" s="427"/>
    </row>
    <row r="39" spans="1:10" s="342" customFormat="1" x14ac:dyDescent="0.2">
      <c r="A39" s="1"/>
      <c r="B39" s="1"/>
      <c r="C39" s="1"/>
      <c r="D39" s="1"/>
      <c r="E39" s="1"/>
      <c r="F39" s="1"/>
      <c r="G39" s="1" t="s">
        <v>66</v>
      </c>
      <c r="H39" s="1"/>
      <c r="I39" s="1"/>
    </row>
    <row r="40" spans="1:10" s="342" customFormat="1" x14ac:dyDescent="0.2">
      <c r="A40" s="1"/>
      <c r="B40" s="1"/>
      <c r="C40" s="1"/>
      <c r="D40" s="1"/>
      <c r="E40" s="1"/>
      <c r="F40" s="1"/>
      <c r="G40" s="1"/>
      <c r="H40" s="1"/>
      <c r="I40" s="1"/>
    </row>
    <row r="41" spans="1:10" s="342" customFormat="1" x14ac:dyDescent="0.2">
      <c r="A41" s="1"/>
      <c r="B41" s="1"/>
      <c r="C41" s="1"/>
      <c r="D41" s="1"/>
      <c r="E41" s="1"/>
      <c r="F41" s="1"/>
      <c r="G41" s="1"/>
      <c r="H41" s="1"/>
      <c r="I41" s="1"/>
    </row>
    <row r="42" spans="1:10" s="342" customFormat="1" x14ac:dyDescent="0.2">
      <c r="A42" s="1"/>
      <c r="B42" s="1"/>
      <c r="C42" s="1"/>
      <c r="D42" s="1"/>
      <c r="E42" s="1"/>
      <c r="F42" s="1"/>
      <c r="G42" s="1" t="str">
        <f>[1]Eligibility!D60</f>
        <v>Ryan Hamadon</v>
      </c>
      <c r="H42" s="1"/>
      <c r="I42" s="1"/>
    </row>
    <row r="43" spans="1:10" s="342" customFormat="1" x14ac:dyDescent="0.2">
      <c r="A43" s="1"/>
      <c r="B43" s="1"/>
      <c r="C43" s="1"/>
      <c r="D43" s="1"/>
      <c r="E43" s="1"/>
      <c r="F43" s="1"/>
      <c r="G43" s="1" t="str">
        <f>[1]Eligibility!F60</f>
        <v>Program Officer</v>
      </c>
      <c r="H43" s="1"/>
      <c r="I43" s="1"/>
    </row>
    <row r="44" spans="1:10" s="342" customFormat="1" x14ac:dyDescent="0.2">
      <c r="A44" s="1"/>
      <c r="B44" s="1"/>
      <c r="C44" s="1"/>
      <c r="D44" s="1"/>
      <c r="E44" s="1"/>
      <c r="F44" s="1"/>
      <c r="G44" s="1" t="str">
        <f>[1]Eligibility!I60</f>
        <v>ryan.r.hamadon@hawaii.gov</v>
      </c>
      <c r="H44" s="1"/>
      <c r="I44" s="1"/>
    </row>
    <row r="45" spans="1:10" s="342" customFormat="1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10" s="342" customFormat="1" x14ac:dyDescent="0.2">
      <c r="A46" s="1"/>
      <c r="B46" s="1"/>
      <c r="C46" s="1"/>
      <c r="D46" s="1"/>
      <c r="E46" s="1"/>
      <c r="F46" s="1"/>
      <c r="G46" s="1"/>
      <c r="H46" s="1"/>
      <c r="I46" s="1"/>
    </row>
    <row r="47" spans="1:10" s="342" customFormat="1" x14ac:dyDescent="0.2">
      <c r="A47" s="1"/>
      <c r="B47" s="1"/>
      <c r="C47" s="1"/>
      <c r="D47" s="1"/>
      <c r="E47" s="1"/>
      <c r="F47" s="1"/>
      <c r="G47" s="1"/>
      <c r="H47" s="1"/>
      <c r="I47" s="1"/>
    </row>
  </sheetData>
  <sheetProtection algorithmName="SHA-512" hashValue="Dmd2quaPhnDsuRHaZcBuEuX5CXuxB0WAsxNLEaiOF1dHMgdqtLKAZs5kuCdm4mxGJuvZhl1neQYlAMbSZbTtfg==" saltValue="/isp2vn3gCxAyG4GW5OWIg==" spinCount="100000" sheet="1" objects="1" scenarios="1"/>
  <mergeCells count="5">
    <mergeCell ref="A8:J8"/>
    <mergeCell ref="C18:E18"/>
    <mergeCell ref="A23:J23"/>
    <mergeCell ref="A30:J30"/>
    <mergeCell ref="A35:B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Eligibility</vt:lpstr>
      <vt:lpstr>S1-Missing Info Ltr</vt:lpstr>
      <vt:lpstr>S1-Applicant Eligible Ltr</vt:lpstr>
      <vt:lpstr>S2-SHW</vt:lpstr>
      <vt:lpstr>S2-PV-NEM_Lease</vt:lpstr>
      <vt:lpstr>S2-PV-CGS_Lease</vt:lpstr>
      <vt:lpstr>S2-PV-CGS Battery_Lease</vt:lpstr>
      <vt:lpstr>S2-PV-CSS_Lease</vt:lpstr>
      <vt:lpstr>S2-Project Deny-Counter_Lease</vt:lpstr>
      <vt:lpstr>S2-Final Approval Ltr</vt:lpstr>
      <vt:lpstr>S2-NTP Lease</vt:lpstr>
      <vt:lpstr>Amort - Final</vt:lpstr>
      <vt:lpstr>Eligibility!Print_Area</vt:lpstr>
      <vt:lpstr>'S2-Final Approval Ltr'!Print_Area</vt:lpstr>
      <vt:lpstr>'S2-SHW'!Print_Area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Kevin Chevalier</cp:lastModifiedBy>
  <cp:lastPrinted>2019-08-28T19:16:07Z</cp:lastPrinted>
  <dcterms:created xsi:type="dcterms:W3CDTF">2017-09-18T00:42:31Z</dcterms:created>
  <dcterms:modified xsi:type="dcterms:W3CDTF">2019-11-01T02:00:24Z</dcterms:modified>
</cp:coreProperties>
</file>