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Desktop\戴森球\"/>
    </mc:Choice>
  </mc:AlternateContent>
  <xr:revisionPtr revIDLastSave="0" documentId="13_ncr:1_{C138D8A4-FE71-4309-B552-E87EC7C24FB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一些计算" sheetId="4" r:id="rId1"/>
    <sheet name="量化计算器" sheetId="1" r:id="rId2"/>
    <sheet name="全建筑" sheetId="9" r:id="rId3"/>
    <sheet name="1875" sheetId="8" r:id="rId4"/>
    <sheet name="常用建筑" sheetId="13" r:id="rId5"/>
    <sheet name="非常用建筑 " sheetId="14" r:id="rId6"/>
    <sheet name="勿动" sheetId="2" r:id="rId7"/>
  </sheets>
  <calcPr calcId="191029"/>
</workbook>
</file>

<file path=xl/calcChain.xml><?xml version="1.0" encoding="utf-8"?>
<calcChain xmlns="http://schemas.openxmlformats.org/spreadsheetml/2006/main">
  <c r="B22" i="13" l="1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I12" i="8"/>
  <c r="D19" i="8" s="1"/>
  <c r="M12" i="8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6" i="13"/>
  <c r="B25" i="13"/>
  <c r="B19" i="13"/>
  <c r="B18" i="13"/>
  <c r="B14" i="13"/>
  <c r="B10" i="13"/>
  <c r="B8" i="13"/>
  <c r="B7" i="13"/>
  <c r="B6" i="13"/>
  <c r="B4" i="13"/>
  <c r="B3" i="13"/>
  <c r="Z66" i="9"/>
  <c r="AA66" i="9"/>
  <c r="AB66" i="9"/>
  <c r="B41" i="9"/>
  <c r="A2" i="2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A1" i="2"/>
  <c r="G66" i="9"/>
  <c r="H66" i="9"/>
  <c r="I66" i="9"/>
  <c r="J66" i="9"/>
  <c r="K66" i="9"/>
  <c r="L66" i="9"/>
  <c r="M66" i="9"/>
  <c r="AH66" i="9"/>
  <c r="N66" i="9"/>
  <c r="O66" i="9"/>
  <c r="P66" i="9"/>
  <c r="Q66" i="9"/>
  <c r="R66" i="9"/>
  <c r="S66" i="9"/>
  <c r="T66" i="9"/>
  <c r="U66" i="9"/>
  <c r="V66" i="9"/>
  <c r="D66" i="9"/>
  <c r="E66" i="9"/>
  <c r="W66" i="9"/>
  <c r="X66" i="9"/>
  <c r="Y66" i="9"/>
  <c r="AC66" i="9"/>
  <c r="AD66" i="9"/>
  <c r="AE66" i="9"/>
  <c r="AF66" i="9"/>
  <c r="AG66" i="9"/>
  <c r="AI66" i="9"/>
  <c r="AK66" i="9"/>
  <c r="AL66" i="9"/>
  <c r="AM66" i="9"/>
  <c r="F66" i="9"/>
  <c r="C66" i="9"/>
  <c r="B63" i="9"/>
  <c r="B17" i="9"/>
  <c r="B15" i="9"/>
  <c r="B14" i="9"/>
  <c r="B13" i="9"/>
  <c r="B11" i="9"/>
  <c r="B10" i="9"/>
  <c r="B21" i="9"/>
  <c r="B40" i="9"/>
  <c r="B8" i="9"/>
  <c r="B7" i="9"/>
  <c r="B6" i="9"/>
  <c r="B4" i="9"/>
  <c r="B28" i="9"/>
  <c r="B29" i="9"/>
  <c r="B3" i="9"/>
  <c r="E18" i="8"/>
  <c r="E17" i="8"/>
  <c r="E16" i="8"/>
  <c r="E15" i="8"/>
  <c r="D14" i="8"/>
  <c r="E14" i="8" s="1"/>
  <c r="Q17" i="8" s="1"/>
  <c r="Q13" i="8"/>
  <c r="E13" i="8"/>
  <c r="O12" i="8"/>
  <c r="D6" i="8" s="1"/>
  <c r="E6" i="8" s="1"/>
  <c r="Q12" i="8" s="1"/>
  <c r="N12" i="8"/>
  <c r="Q9" i="8" s="1"/>
  <c r="J12" i="8"/>
  <c r="Q18" i="8" s="1"/>
  <c r="E11" i="8"/>
  <c r="E10" i="8"/>
  <c r="E9" i="8"/>
  <c r="E8" i="8"/>
  <c r="E5" i="8"/>
  <c r="K3" i="8" s="1"/>
  <c r="D6" i="4"/>
  <c r="E5" i="4"/>
  <c r="L27" i="1"/>
  <c r="J27" i="1"/>
  <c r="H27" i="1"/>
  <c r="F27" i="1"/>
  <c r="D27" i="1"/>
  <c r="S38" i="1"/>
  <c r="D40" i="1"/>
  <c r="F37" i="1"/>
  <c r="T34" i="1"/>
  <c r="J21" i="1" s="1"/>
  <c r="H24" i="1" s="1"/>
  <c r="F34" i="1"/>
  <c r="D31" i="1"/>
  <c r="N24" i="1"/>
  <c r="F24" i="1"/>
  <c r="D24" i="1"/>
  <c r="H21" i="1"/>
  <c r="T18" i="1" s="1"/>
  <c r="F21" i="1"/>
  <c r="D21" i="1"/>
  <c r="L18" i="1"/>
  <c r="X15" i="1"/>
  <c r="V15" i="1"/>
  <c r="N15" i="1"/>
  <c r="L15" i="1"/>
  <c r="L9" i="1"/>
  <c r="X6" i="1"/>
  <c r="V6" i="1" s="1"/>
  <c r="J15" i="1" s="1"/>
  <c r="D2" i="8" l="1"/>
  <c r="E2" i="8" s="1"/>
  <c r="D3" i="8"/>
  <c r="E3" i="8" s="1"/>
  <c r="Q7" i="8" s="1"/>
  <c r="D12" i="8"/>
  <c r="E12" i="8" s="1"/>
  <c r="Q48" i="8" s="1"/>
  <c r="E19" i="8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G3" i="8"/>
  <c r="Q6" i="8"/>
  <c r="K12" i="8"/>
  <c r="D7" i="8" s="1"/>
  <c r="E7" i="8" s="1"/>
  <c r="Q46" i="8"/>
  <c r="L12" i="8"/>
  <c r="D4" i="8" s="1"/>
  <c r="E4" i="8" s="1"/>
  <c r="I41" i="1"/>
  <c r="E22" i="1"/>
  <c r="K16" i="1"/>
  <c r="U16" i="1"/>
  <c r="G35" i="1"/>
  <c r="U13" i="1"/>
  <c r="I35" i="1"/>
  <c r="G25" i="1"/>
  <c r="Q32" i="1"/>
  <c r="W16" i="1"/>
  <c r="K19" i="1"/>
  <c r="E28" i="1"/>
  <c r="Q35" i="1"/>
  <c r="W7" i="1"/>
  <c r="K10" i="1"/>
  <c r="E35" i="1"/>
  <c r="C28" i="1"/>
  <c r="W19" i="1"/>
  <c r="I28" i="1"/>
  <c r="S35" i="1"/>
  <c r="E32" i="1"/>
  <c r="G22" i="1"/>
  <c r="I16" i="1"/>
  <c r="K28" i="1"/>
  <c r="E38" i="1"/>
  <c r="O32" i="1"/>
  <c r="C22" i="1"/>
  <c r="I38" i="1"/>
  <c r="C41" i="1"/>
  <c r="M41" i="1"/>
  <c r="U7" i="1"/>
  <c r="S19" i="1"/>
  <c r="C32" i="1"/>
  <c r="K38" i="1"/>
  <c r="U19" i="1"/>
  <c r="I22" i="1"/>
  <c r="G28" i="1"/>
  <c r="D34" i="1"/>
  <c r="C35" i="1" s="1"/>
  <c r="D37" i="1"/>
  <c r="C38" i="1" s="1"/>
  <c r="E41" i="1"/>
  <c r="H12" i="1"/>
  <c r="U22" i="1"/>
  <c r="Y28" i="1"/>
  <c r="O41" i="1"/>
  <c r="J12" i="1"/>
  <c r="G38" i="1"/>
  <c r="Q41" i="1"/>
  <c r="L12" i="1"/>
  <c r="K13" i="1" s="1"/>
  <c r="Z18" i="1"/>
  <c r="L21" i="1"/>
  <c r="I32" i="1"/>
  <c r="K35" i="1"/>
  <c r="M38" i="1"/>
  <c r="N12" i="1"/>
  <c r="C25" i="1"/>
  <c r="K32" i="1"/>
  <c r="M35" i="1"/>
  <c r="O38" i="1"/>
  <c r="M32" i="1"/>
  <c r="O35" i="1"/>
  <c r="I3" i="8" l="1"/>
  <c r="Q19" i="8"/>
  <c r="Q51" i="8" s="1"/>
  <c r="Q47" i="8"/>
  <c r="M13" i="1"/>
  <c r="D15" i="1"/>
  <c r="N18" i="1"/>
  <c r="L6" i="1" s="1"/>
  <c r="I13" i="1"/>
  <c r="J18" i="1"/>
  <c r="I19" i="1" s="1"/>
  <c r="P18" i="1"/>
  <c r="Y19" i="1"/>
  <c r="N21" i="1"/>
  <c r="H9" i="1"/>
  <c r="G13" i="1"/>
  <c r="P12" i="1"/>
  <c r="K22" i="1"/>
  <c r="T15" i="1"/>
  <c r="J9" i="1" s="1"/>
  <c r="P54" i="8" l="1"/>
  <c r="E20" i="8" s="1"/>
  <c r="E21" i="8" s="1"/>
  <c r="O54" i="8"/>
  <c r="I10" i="1"/>
  <c r="J6" i="1"/>
  <c r="H6" i="1"/>
  <c r="G10" i="1"/>
  <c r="M19" i="1"/>
  <c r="R6" i="1"/>
  <c r="M22" i="1"/>
  <c r="T9" i="1"/>
  <c r="F18" i="1"/>
  <c r="C16" i="1"/>
  <c r="R12" i="1"/>
  <c r="S16" i="1"/>
  <c r="Q54" i="8" l="1"/>
  <c r="F15" i="1"/>
  <c r="E19" i="1"/>
  <c r="T12" i="1"/>
  <c r="S10" i="1"/>
  <c r="T13" i="1"/>
  <c r="Q13" i="1"/>
  <c r="R9" i="1"/>
  <c r="Q10" i="1" l="1"/>
  <c r="N9" i="1"/>
  <c r="P9" i="1"/>
  <c r="T4" i="1"/>
  <c r="S4" i="1"/>
  <c r="E16" i="1"/>
  <c r="D18" i="1"/>
  <c r="F12" i="1"/>
  <c r="J3" i="8" l="1"/>
  <c r="E23" i="8"/>
  <c r="F9" i="1"/>
  <c r="D12" i="1"/>
  <c r="C13" i="1" s="1"/>
  <c r="E13" i="1"/>
  <c r="C19" i="1"/>
  <c r="D9" i="1"/>
  <c r="M10" i="1"/>
  <c r="N6" i="1"/>
  <c r="P6" i="1"/>
  <c r="O11" i="1"/>
  <c r="H3" i="8" l="1"/>
  <c r="H5" i="8"/>
  <c r="R4" i="1"/>
  <c r="P4" i="1"/>
  <c r="O4" i="1"/>
  <c r="D6" i="1"/>
  <c r="C10" i="1"/>
  <c r="F6" i="1"/>
  <c r="E10" i="1"/>
</calcChain>
</file>

<file path=xl/sharedStrings.xml><?xml version="1.0" encoding="utf-8"?>
<sst xmlns="http://schemas.openxmlformats.org/spreadsheetml/2006/main" count="463" uniqueCount="266">
  <si>
    <t>物品</t>
  </si>
  <si>
    <t>产量单位</t>
  </si>
  <si>
    <t>制造台</t>
  </si>
  <si>
    <t>原油精炼过剩产能</t>
  </si>
  <si>
    <t>可燃冰分解过剩产能</t>
  </si>
  <si>
    <t>产量目标</t>
  </si>
  <si>
    <t>精炼油</t>
  </si>
  <si>
    <t>氢</t>
  </si>
  <si>
    <t>氢气</t>
  </si>
  <si>
    <t>石墨烯</t>
  </si>
  <si>
    <t>机器数量</t>
  </si>
  <si>
    <t>产量需求</t>
  </si>
  <si>
    <t>位面</t>
  </si>
  <si>
    <t>量子</t>
  </si>
  <si>
    <t>铁矿</t>
  </si>
  <si>
    <t>铜矿</t>
  </si>
  <si>
    <t>硅矿</t>
  </si>
  <si>
    <t>钛矿</t>
  </si>
  <si>
    <t>石矿</t>
  </si>
  <si>
    <t>煤矿</t>
  </si>
  <si>
    <t>原油</t>
  </si>
  <si>
    <t>水</t>
  </si>
  <si>
    <t>铁块</t>
  </si>
  <si>
    <t>铜块</t>
  </si>
  <si>
    <t>硅块</t>
  </si>
  <si>
    <t>钛块</t>
  </si>
  <si>
    <t>石材</t>
  </si>
  <si>
    <t>石墨</t>
  </si>
  <si>
    <t>塑料</t>
  </si>
  <si>
    <t>可燃冰</t>
  </si>
  <si>
    <t>精炼设备</t>
  </si>
  <si>
    <t>磁铁</t>
  </si>
  <si>
    <t>线圈</t>
  </si>
  <si>
    <t>晶格硅</t>
  </si>
  <si>
    <t>钛合金</t>
  </si>
  <si>
    <t>玻璃</t>
  </si>
  <si>
    <t>金刚石</t>
  </si>
  <si>
    <t>气态行星</t>
  </si>
  <si>
    <t>有机晶体</t>
  </si>
  <si>
    <t>化工设备</t>
  </si>
  <si>
    <t>液氢燃料棒</t>
  </si>
  <si>
    <t>可燃冰分解需要机器</t>
  </si>
  <si>
    <t>钢铁</t>
  </si>
  <si>
    <t>电动机</t>
  </si>
  <si>
    <t>钛化玻璃</t>
  </si>
  <si>
    <t>棱镜</t>
  </si>
  <si>
    <t>金伯利矿石</t>
  </si>
  <si>
    <t>钛晶石</t>
  </si>
  <si>
    <t>推进器</t>
  </si>
  <si>
    <t>加力推进器</t>
  </si>
  <si>
    <t>齿轮</t>
  </si>
  <si>
    <t>电磁涡轮</t>
  </si>
  <si>
    <t>电路板</t>
  </si>
  <si>
    <t>引力透镜</t>
  </si>
  <si>
    <t>硫酸</t>
  </si>
  <si>
    <t>重氢</t>
  </si>
  <si>
    <t>碳纳米管</t>
  </si>
  <si>
    <t>物流运输机</t>
  </si>
  <si>
    <t>星际运输船</t>
  </si>
  <si>
    <t>奇异物质</t>
  </si>
  <si>
    <t>电浆激发器</t>
  </si>
  <si>
    <t>超级磁环场</t>
  </si>
  <si>
    <t>粒子宽带</t>
  </si>
  <si>
    <t>处理器</t>
  </si>
  <si>
    <t>卡西米尔晶体</t>
  </si>
  <si>
    <t>粒子容器</t>
  </si>
  <si>
    <t>太阳帆</t>
  </si>
  <si>
    <t>超级磁环</t>
  </si>
  <si>
    <t>光子合并器</t>
  </si>
  <si>
    <t>光栅石</t>
  </si>
  <si>
    <t>微晶元件</t>
  </si>
  <si>
    <t>单极磁石</t>
  </si>
  <si>
    <t>电磁矩阵</t>
  </si>
  <si>
    <t>能量矩阵</t>
  </si>
  <si>
    <t>结构矩阵</t>
  </si>
  <si>
    <t>信息矩阵</t>
  </si>
  <si>
    <t>引力矩阵</t>
  </si>
  <si>
    <t>地基</t>
  </si>
  <si>
    <t>电力感应塔</t>
  </si>
  <si>
    <t>无线输电塔</t>
  </si>
  <si>
    <t>风力涡轮机</t>
  </si>
  <si>
    <t>火力发电站</t>
  </si>
  <si>
    <t>太阳能板</t>
  </si>
  <si>
    <t>蓄电池</t>
  </si>
  <si>
    <t>射线接收站</t>
  </si>
  <si>
    <t>传送带</t>
  </si>
  <si>
    <t>高速传送带</t>
  </si>
  <si>
    <t>极速传送带</t>
  </si>
  <si>
    <t>四向分流器</t>
  </si>
  <si>
    <t>小型储物仓</t>
  </si>
  <si>
    <t>大型储物仓</t>
  </si>
  <si>
    <t>储液罐</t>
  </si>
  <si>
    <t>电磁轨道弹射器</t>
  </si>
  <si>
    <t>行星内物流运输站</t>
  </si>
  <si>
    <t>分拣器</t>
  </si>
  <si>
    <t>高速分拣器</t>
  </si>
  <si>
    <t>极速分拣器</t>
  </si>
  <si>
    <t>采矿机</t>
  </si>
  <si>
    <t>抽水站</t>
  </si>
  <si>
    <t>原油萃取站</t>
  </si>
  <si>
    <t>原油精炼厂</t>
  </si>
  <si>
    <t>星际物流运输站</t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</si>
  <si>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Ⅰ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</si>
  <si>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Ⅱ</t>
    </r>
  </si>
  <si>
    <r>
      <rPr>
        <sz val="11"/>
        <color theme="1"/>
        <rFont val="等线"/>
        <family val="3"/>
        <charset val="134"/>
        <scheme val="minor"/>
      </rPr>
      <t>制造台MK.</t>
    </r>
    <r>
      <rPr>
        <sz val="11"/>
        <color theme="1"/>
        <rFont val="等线"/>
        <family val="3"/>
        <charset val="134"/>
      </rPr>
      <t>Ⅲ</t>
    </r>
  </si>
  <si>
    <t>电弧熔炉</t>
  </si>
  <si>
    <t>分馏塔</t>
  </si>
  <si>
    <t>化工厂</t>
  </si>
  <si>
    <t>矩阵研究站</t>
  </si>
  <si>
    <t>适用版本</t>
    <phoneticPr fontId="19" type="noConversion"/>
  </si>
  <si>
    <t>0.6.15.5666</t>
  </si>
  <si>
    <t>机器数量</t>
    <phoneticPr fontId="20" type="noConversion"/>
  </si>
  <si>
    <t>重氢产量</t>
    <phoneticPr fontId="20" type="noConversion"/>
  </si>
  <si>
    <t>个/min</t>
  </si>
  <si>
    <t>糖产量（增产）</t>
    <phoneticPr fontId="19" type="noConversion"/>
  </si>
  <si>
    <t>透镜消耗（增产）</t>
    <phoneticPr fontId="19" type="noConversion"/>
  </si>
  <si>
    <t>/min</t>
    <phoneticPr fontId="19" type="noConversion"/>
  </si>
  <si>
    <t>原始</t>
    <phoneticPr fontId="19" type="noConversion"/>
  </si>
  <si>
    <t>增产修正</t>
    <phoneticPr fontId="19" type="noConversion"/>
  </si>
  <si>
    <t>最终</t>
    <phoneticPr fontId="19" type="noConversion"/>
  </si>
  <si>
    <t>物流塔运输量，编号从赤道开始</t>
    <phoneticPr fontId="19" type="noConversion"/>
  </si>
  <si>
    <t>塔1</t>
    <phoneticPr fontId="19" type="noConversion"/>
  </si>
  <si>
    <t>塔2</t>
    <phoneticPr fontId="19" type="noConversion"/>
  </si>
  <si>
    <t>塔3</t>
    <phoneticPr fontId="19" type="noConversion"/>
  </si>
  <si>
    <t>塔4</t>
    <phoneticPr fontId="19" type="noConversion"/>
  </si>
  <si>
    <t>塔5运硅</t>
    <phoneticPr fontId="19" type="noConversion"/>
  </si>
  <si>
    <t>塔2由塔5供硅后</t>
    <phoneticPr fontId="19" type="noConversion"/>
  </si>
  <si>
    <t>铁矿</t>
    <phoneticPr fontId="19" type="noConversion"/>
  </si>
  <si>
    <t>铜矿</t>
    <phoneticPr fontId="19" type="noConversion"/>
  </si>
  <si>
    <t>光子</t>
  </si>
  <si>
    <t>铁板</t>
    <phoneticPr fontId="19" type="noConversion"/>
  </si>
  <si>
    <t>氘</t>
  </si>
  <si>
    <t>石油</t>
  </si>
  <si>
    <t>钛化</t>
    <phoneticPr fontId="19" type="noConversion"/>
  </si>
  <si>
    <t>玻璃</t>
    <phoneticPr fontId="19" type="noConversion"/>
  </si>
  <si>
    <t>钛</t>
    <phoneticPr fontId="19" type="noConversion"/>
  </si>
  <si>
    <t>钛晶</t>
    <phoneticPr fontId="19" type="noConversion"/>
  </si>
  <si>
    <t>电路</t>
    <phoneticPr fontId="19" type="noConversion"/>
  </si>
  <si>
    <t>石墨</t>
    <phoneticPr fontId="19" type="noConversion"/>
  </si>
  <si>
    <t>煤矿</t>
    <phoneticPr fontId="19" type="noConversion"/>
  </si>
  <si>
    <t>有机</t>
  </si>
  <si>
    <t>金伯利</t>
  </si>
  <si>
    <t>分型硅</t>
  </si>
  <si>
    <t>光栅</t>
  </si>
  <si>
    <t>有机</t>
    <phoneticPr fontId="19" type="noConversion"/>
  </si>
  <si>
    <t>刺笋</t>
  </si>
  <si>
    <t>钛板</t>
    <phoneticPr fontId="19" type="noConversion"/>
  </si>
  <si>
    <t>单极</t>
  </si>
  <si>
    <t>钛矿</t>
    <phoneticPr fontId="19" type="noConversion"/>
  </si>
  <si>
    <t>增产剂</t>
    <phoneticPr fontId="19" type="noConversion"/>
  </si>
  <si>
    <t>翘曲</t>
    <phoneticPr fontId="19" type="noConversion"/>
  </si>
  <si>
    <t>总和</t>
    <phoneticPr fontId="19" type="noConversion"/>
  </si>
  <si>
    <t>石矿</t>
    <phoneticPr fontId="19" type="noConversion"/>
  </si>
  <si>
    <t>水</t>
    <phoneticPr fontId="19" type="noConversion"/>
  </si>
  <si>
    <t>和</t>
    <phoneticPr fontId="19" type="noConversion"/>
  </si>
  <si>
    <t>无自喷</t>
    <phoneticPr fontId="19" type="noConversion"/>
  </si>
  <si>
    <t>自喷涂</t>
    <phoneticPr fontId="19" type="noConversion"/>
  </si>
  <si>
    <t>加上自喷消耗</t>
    <phoneticPr fontId="19" type="noConversion"/>
  </si>
  <si>
    <t>---</t>
    <phoneticPr fontId="19" type="noConversion"/>
  </si>
  <si>
    <t>一级电线杆</t>
    <phoneticPr fontId="19" type="noConversion"/>
  </si>
  <si>
    <t>二级电线杆</t>
    <phoneticPr fontId="19" type="noConversion"/>
  </si>
  <si>
    <t>线圈</t>
    <phoneticPr fontId="19" type="noConversion"/>
  </si>
  <si>
    <t>低级建筑</t>
    <phoneticPr fontId="19" type="noConversion"/>
  </si>
  <si>
    <t>电浆器</t>
    <phoneticPr fontId="19" type="noConversion"/>
  </si>
  <si>
    <t>蓝马达</t>
    <phoneticPr fontId="19" type="noConversion"/>
  </si>
  <si>
    <t>框架材料</t>
    <phoneticPr fontId="19" type="noConversion"/>
  </si>
  <si>
    <t>卫星电站</t>
    <phoneticPr fontId="19" type="noConversion"/>
  </si>
  <si>
    <t>齿轮</t>
    <phoneticPr fontId="19" type="noConversion"/>
  </si>
  <si>
    <t>风电</t>
    <phoneticPr fontId="19" type="noConversion"/>
  </si>
  <si>
    <t>火电</t>
    <phoneticPr fontId="19" type="noConversion"/>
  </si>
  <si>
    <t>石板</t>
    <phoneticPr fontId="19" type="noConversion"/>
  </si>
  <si>
    <t>太阳能</t>
    <phoneticPr fontId="19" type="noConversion"/>
  </si>
  <si>
    <t>铜板</t>
    <phoneticPr fontId="19" type="noConversion"/>
  </si>
  <si>
    <t>硅板</t>
    <phoneticPr fontId="19" type="noConversion"/>
  </si>
  <si>
    <t>电路板</t>
    <phoneticPr fontId="19" type="noConversion"/>
  </si>
  <si>
    <t>统计于0.10.29</t>
    <phoneticPr fontId="19" type="noConversion"/>
  </si>
  <si>
    <t>电池</t>
    <phoneticPr fontId="19" type="noConversion"/>
  </si>
  <si>
    <t>晶格硅</t>
    <phoneticPr fontId="19" type="noConversion"/>
  </si>
  <si>
    <t>地热能</t>
    <phoneticPr fontId="19" type="noConversion"/>
  </si>
  <si>
    <t>钢材</t>
  </si>
  <si>
    <t>光子合并</t>
    <phoneticPr fontId="19" type="noConversion"/>
  </si>
  <si>
    <t>钛合金</t>
    <phoneticPr fontId="19" type="noConversion"/>
  </si>
  <si>
    <t>处理器</t>
    <phoneticPr fontId="19" type="noConversion"/>
  </si>
  <si>
    <t>碳纳米管</t>
    <phoneticPr fontId="19" type="noConversion"/>
  </si>
  <si>
    <t>核电</t>
    <phoneticPr fontId="19" type="noConversion"/>
  </si>
  <si>
    <t>能量枢纽</t>
    <phoneticPr fontId="19" type="noConversion"/>
  </si>
  <si>
    <t>粒子容器</t>
    <phoneticPr fontId="19" type="noConversion"/>
  </si>
  <si>
    <t>锅</t>
    <phoneticPr fontId="19" type="noConversion"/>
  </si>
  <si>
    <t>小太阳</t>
    <phoneticPr fontId="19" type="noConversion"/>
  </si>
  <si>
    <t>约束球</t>
    <phoneticPr fontId="19" type="noConversion"/>
  </si>
  <si>
    <t>量子芯片</t>
    <phoneticPr fontId="19" type="noConversion"/>
  </si>
  <si>
    <t>黄带</t>
    <phoneticPr fontId="19" type="noConversion"/>
  </si>
  <si>
    <t>绿马达</t>
    <phoneticPr fontId="19" type="noConversion"/>
  </si>
  <si>
    <t>绿带</t>
    <phoneticPr fontId="19" type="noConversion"/>
  </si>
  <si>
    <t>蓝带</t>
  </si>
  <si>
    <t>蓝带</t>
    <phoneticPr fontId="19" type="noConversion"/>
  </si>
  <si>
    <t>石墨烯</t>
    <phoneticPr fontId="19" type="noConversion"/>
  </si>
  <si>
    <t>马达</t>
    <phoneticPr fontId="19" type="noConversion"/>
  </si>
  <si>
    <t>黄爪</t>
    <phoneticPr fontId="19" type="noConversion"/>
  </si>
  <si>
    <t>绿爪</t>
    <phoneticPr fontId="19" type="noConversion"/>
  </si>
  <si>
    <t>蓝爪</t>
    <phoneticPr fontId="19" type="noConversion"/>
  </si>
  <si>
    <t>白爪</t>
    <phoneticPr fontId="19" type="noConversion"/>
  </si>
  <si>
    <t>四向</t>
    <phoneticPr fontId="19" type="noConversion"/>
  </si>
  <si>
    <t>集装机</t>
    <phoneticPr fontId="19" type="noConversion"/>
  </si>
  <si>
    <t>流量计</t>
    <phoneticPr fontId="19" type="noConversion"/>
  </si>
  <si>
    <t>喷涂机</t>
    <phoneticPr fontId="19" type="noConversion"/>
  </si>
  <si>
    <t>微晶元件</t>
    <phoneticPr fontId="19" type="noConversion"/>
  </si>
  <si>
    <t>小箱子</t>
    <phoneticPr fontId="19" type="noConversion"/>
  </si>
  <si>
    <t>大箱子</t>
    <phoneticPr fontId="19" type="noConversion"/>
  </si>
  <si>
    <t>储液罐</t>
    <phoneticPr fontId="19" type="noConversion"/>
  </si>
  <si>
    <t>配送器</t>
    <phoneticPr fontId="19" type="noConversion"/>
  </si>
  <si>
    <t>行星物流塔</t>
    <phoneticPr fontId="19" type="noConversion"/>
  </si>
  <si>
    <t>星际物流塔</t>
    <phoneticPr fontId="19" type="noConversion"/>
  </si>
  <si>
    <t>轨道采集器</t>
    <phoneticPr fontId="19" type="noConversion"/>
  </si>
  <si>
    <t>采矿机</t>
    <phoneticPr fontId="19" type="noConversion"/>
  </si>
  <si>
    <t>大矿机</t>
    <phoneticPr fontId="19" type="noConversion"/>
  </si>
  <si>
    <t>光栅</t>
    <phoneticPr fontId="19" type="noConversion"/>
  </si>
  <si>
    <t>单极</t>
    <phoneticPr fontId="19" type="noConversion"/>
  </si>
  <si>
    <t>抽水机</t>
    <phoneticPr fontId="19" type="noConversion"/>
  </si>
  <si>
    <t>原油萃取站</t>
    <phoneticPr fontId="19" type="noConversion"/>
  </si>
  <si>
    <t>原油精炼厂</t>
    <phoneticPr fontId="19" type="noConversion"/>
  </si>
  <si>
    <t>分馏塔</t>
    <phoneticPr fontId="19" type="noConversion"/>
  </si>
  <si>
    <t>化工厂</t>
    <phoneticPr fontId="19" type="noConversion"/>
  </si>
  <si>
    <t>量子化工厂</t>
    <phoneticPr fontId="19" type="noConversion"/>
  </si>
  <si>
    <t>钛化玻璃</t>
    <phoneticPr fontId="19" type="noConversion"/>
  </si>
  <si>
    <t>奇异物质</t>
    <phoneticPr fontId="19" type="noConversion"/>
  </si>
  <si>
    <t>对撞机</t>
    <phoneticPr fontId="19" type="noConversion"/>
  </si>
  <si>
    <t>电弧熔炉</t>
    <phoneticPr fontId="19" type="noConversion"/>
  </si>
  <si>
    <t>位面熔炉</t>
    <phoneticPr fontId="19" type="noConversion"/>
  </si>
  <si>
    <t>位面过滤器</t>
    <phoneticPr fontId="19" type="noConversion"/>
  </si>
  <si>
    <t>黑雾材料</t>
    <phoneticPr fontId="19" type="noConversion"/>
  </si>
  <si>
    <t>负商熔炉</t>
    <phoneticPr fontId="19" type="noConversion"/>
  </si>
  <si>
    <t>一级台</t>
    <phoneticPr fontId="19" type="noConversion"/>
  </si>
  <si>
    <t>二级台</t>
    <phoneticPr fontId="19" type="noConversion"/>
  </si>
  <si>
    <t>三级台</t>
    <phoneticPr fontId="19" type="noConversion"/>
  </si>
  <si>
    <t>宽带</t>
    <phoneticPr fontId="19" type="noConversion"/>
  </si>
  <si>
    <t>黑雾台</t>
    <phoneticPr fontId="19" type="noConversion"/>
  </si>
  <si>
    <t>研究站</t>
    <phoneticPr fontId="19" type="noConversion"/>
  </si>
  <si>
    <t>黑雾研究站</t>
    <phoneticPr fontId="19" type="noConversion"/>
  </si>
  <si>
    <t>轨道弹射器</t>
    <phoneticPr fontId="19" type="noConversion"/>
  </si>
  <si>
    <t>垂直发射井</t>
    <phoneticPr fontId="19" type="noConversion"/>
  </si>
  <si>
    <t>引力透镜</t>
    <phoneticPr fontId="19" type="noConversion"/>
  </si>
  <si>
    <t>机枪塔</t>
    <phoneticPr fontId="19" type="noConversion"/>
  </si>
  <si>
    <t>导弹塔</t>
    <phoneticPr fontId="19" type="noConversion"/>
  </si>
  <si>
    <t>动力引擎</t>
  </si>
  <si>
    <t>加农炮</t>
    <phoneticPr fontId="19" type="noConversion"/>
  </si>
  <si>
    <t>激光塔</t>
    <phoneticPr fontId="19" type="noConversion"/>
  </si>
  <si>
    <t>电浆炮</t>
    <phoneticPr fontId="19" type="noConversion"/>
  </si>
  <si>
    <t>进程电浆炮</t>
    <phoneticPr fontId="19" type="noConversion"/>
  </si>
  <si>
    <t>分析基站</t>
    <phoneticPr fontId="19" type="noConversion"/>
  </si>
  <si>
    <t>干扰塔</t>
    <phoneticPr fontId="19" type="noConversion"/>
  </si>
  <si>
    <t>金刚石</t>
    <phoneticPr fontId="19" type="noConversion"/>
  </si>
  <si>
    <t>信号塔</t>
    <phoneticPr fontId="19" type="noConversion"/>
  </si>
  <si>
    <t>行星护盾</t>
    <phoneticPr fontId="19" type="noConversion"/>
  </si>
  <si>
    <t>配送机</t>
    <phoneticPr fontId="19" type="noConversion"/>
  </si>
  <si>
    <t>运输机</t>
    <phoneticPr fontId="19" type="noConversion"/>
  </si>
  <si>
    <t>星际运输机</t>
    <phoneticPr fontId="19" type="noConversion"/>
  </si>
  <si>
    <t>计数</t>
    <phoneticPr fontId="19" type="noConversion"/>
  </si>
  <si>
    <t>传送带</t>
    <phoneticPr fontId="20" type="noConversion"/>
  </si>
  <si>
    <t>堆叠层数</t>
    <phoneticPr fontId="20" type="noConversion"/>
  </si>
  <si>
    <t>分馏塔产量</t>
    <phoneticPr fontId="20" type="noConversion"/>
  </si>
  <si>
    <t>产量单位</t>
    <phoneticPr fontId="20" type="noConversion"/>
  </si>
  <si>
    <t>传送带流量</t>
    <phoneticPr fontId="20" type="noConversion"/>
  </si>
  <si>
    <t>材料名称</t>
    <phoneticPr fontId="19" type="noConversion"/>
  </si>
  <si>
    <t>物品配方</t>
    <phoneticPr fontId="19" type="noConversion"/>
  </si>
  <si>
    <t>机器数量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</si>
</sst>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5" tint="0.79995117038483843"/>
      <name val="等线"/>
      <family val="3"/>
      <charset val="134"/>
      <scheme val="minor"/>
    </font>
    <font>
      <sz val="11"/>
      <color theme="4" tint="0.79995117038483843"/>
      <name val="等线"/>
      <family val="3"/>
      <charset val="134"/>
      <scheme val="minor"/>
    </font>
    <font>
      <sz val="11"/>
      <color theme="9" tint="0.79995117038483843"/>
      <name val="等线"/>
      <family val="3"/>
      <charset val="134"/>
      <scheme val="minor"/>
    </font>
    <font>
      <sz val="11"/>
      <color theme="7" tint="0.79995117038483843"/>
      <name val="等线"/>
      <family val="3"/>
      <charset val="134"/>
      <scheme val="minor"/>
    </font>
    <font>
      <sz val="11"/>
      <color theme="6" tint="0.79995117038483843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FF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92D050"/>
      <name val="等线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/>
  </cellStyleXfs>
  <cellXfs count="109">
    <xf numFmtId="0" fontId="0" fillId="0" borderId="0" xfId="0"/>
    <xf numFmtId="0" fontId="4" fillId="0" borderId="0" xfId="0" applyFont="1"/>
    <xf numFmtId="0" fontId="6" fillId="0" borderId="0" xfId="0" applyFont="1"/>
    <xf numFmtId="0" fontId="10" fillId="3" borderId="0" xfId="8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1" fillId="2" borderId="3" xfId="6" applyNumberFormat="1" applyFont="1" applyBorder="1" applyAlignment="1"/>
    <xf numFmtId="0" fontId="11" fillId="2" borderId="5" xfId="6" applyNumberFormat="1" applyFont="1" applyBorder="1" applyAlignment="1"/>
    <xf numFmtId="0" fontId="11" fillId="2" borderId="6" xfId="6" applyNumberFormat="1" applyFont="1" applyBorder="1" applyAlignment="1"/>
    <xf numFmtId="0" fontId="12" fillId="0" borderId="7" xfId="0" applyFont="1" applyBorder="1"/>
    <xf numFmtId="0" fontId="13" fillId="2" borderId="3" xfId="6" applyNumberFormat="1" applyFont="1" applyBorder="1" applyAlignment="1"/>
    <xf numFmtId="0" fontId="13" fillId="2" borderId="5" xfId="6" applyNumberFormat="1" applyFont="1" applyBorder="1" applyAlignment="1"/>
    <xf numFmtId="0" fontId="13" fillId="2" borderId="6" xfId="6" applyNumberFormat="1" applyFont="1" applyBorder="1" applyAlignment="1"/>
    <xf numFmtId="0" fontId="9" fillId="0" borderId="7" xfId="0" applyFont="1" applyBorder="1"/>
    <xf numFmtId="0" fontId="10" fillId="6" borderId="3" xfId="5" applyBorder="1" applyAlignment="1"/>
    <xf numFmtId="0" fontId="14" fillId="6" borderId="5" xfId="5" applyFont="1" applyBorder="1" applyAlignment="1"/>
    <xf numFmtId="0" fontId="14" fillId="6" borderId="6" xfId="5" applyFont="1" applyBorder="1" applyAlignment="1"/>
    <xf numFmtId="0" fontId="6" fillId="6" borderId="3" xfId="5" applyFont="1" applyBorder="1" applyAlignment="1"/>
    <xf numFmtId="0" fontId="10" fillId="9" borderId="3" xfId="9" applyBorder="1" applyAlignment="1"/>
    <xf numFmtId="0" fontId="10" fillId="9" borderId="5" xfId="9" applyBorder="1" applyAlignment="1"/>
    <xf numFmtId="0" fontId="15" fillId="9" borderId="6" xfId="9" applyFont="1" applyBorder="1" applyAlignment="1"/>
    <xf numFmtId="0" fontId="14" fillId="6" borderId="3" xfId="5" applyFont="1" applyBorder="1" applyAlignment="1"/>
    <xf numFmtId="176" fontId="14" fillId="6" borderId="5" xfId="5" applyNumberFormat="1" applyFont="1" applyBorder="1" applyAlignment="1"/>
    <xf numFmtId="0" fontId="10" fillId="7" borderId="0" xfId="12" applyAlignment="1"/>
    <xf numFmtId="0" fontId="10" fillId="5" borderId="0" xfId="2" applyAlignment="1"/>
    <xf numFmtId="0" fontId="10" fillId="10" borderId="0" xfId="7" applyAlignment="1"/>
    <xf numFmtId="0" fontId="10" fillId="6" borderId="0" xfId="5" applyAlignment="1"/>
    <xf numFmtId="176" fontId="9" fillId="0" borderId="7" xfId="0" applyNumberFormat="1" applyFont="1" applyBorder="1"/>
    <xf numFmtId="0" fontId="10" fillId="9" borderId="6" xfId="9" applyBorder="1" applyAlignment="1"/>
    <xf numFmtId="0" fontId="10" fillId="10" borderId="2" xfId="7" applyBorder="1" applyAlignment="1"/>
    <xf numFmtId="0" fontId="10" fillId="10" borderId="9" xfId="7" applyBorder="1" applyAlignment="1"/>
    <xf numFmtId="0" fontId="10" fillId="11" borderId="6" xfId="1" applyBorder="1" applyAlignment="1"/>
    <xf numFmtId="0" fontId="10" fillId="11" borderId="10" xfId="1" applyBorder="1" applyAlignment="1"/>
    <xf numFmtId="0" fontId="10" fillId="11" borderId="3" xfId="1" applyBorder="1" applyAlignment="1"/>
    <xf numFmtId="0" fontId="16" fillId="11" borderId="5" xfId="1" applyFont="1" applyBorder="1" applyAlignment="1"/>
    <xf numFmtId="0" fontId="6" fillId="2" borderId="3" xfId="6" applyNumberFormat="1" applyFont="1" applyBorder="1" applyAlignment="1"/>
    <xf numFmtId="0" fontId="16" fillId="11" borderId="10" xfId="1" applyFont="1" applyBorder="1" applyAlignment="1">
      <alignment vertical="center"/>
    </xf>
    <xf numFmtId="0" fontId="6" fillId="11" borderId="3" xfId="1" applyFont="1" applyBorder="1" applyAlignment="1"/>
    <xf numFmtId="0" fontId="6" fillId="4" borderId="3" xfId="3" applyNumberFormat="1" applyFont="1" applyBorder="1" applyAlignment="1"/>
    <xf numFmtId="0" fontId="17" fillId="4" borderId="5" xfId="3" applyFont="1" applyBorder="1" applyAlignment="1"/>
    <xf numFmtId="0" fontId="17" fillId="4" borderId="6" xfId="3" applyFont="1" applyBorder="1" applyAlignment="1"/>
    <xf numFmtId="0" fontId="10" fillId="4" borderId="3" xfId="3" applyNumberFormat="1" applyBorder="1" applyAlignment="1"/>
    <xf numFmtId="0" fontId="8" fillId="4" borderId="0" xfId="3" applyFont="1" applyAlignment="1"/>
    <xf numFmtId="0" fontId="17" fillId="4" borderId="0" xfId="3" applyFont="1" applyAlignment="1"/>
    <xf numFmtId="0" fontId="10" fillId="13" borderId="3" xfId="4" applyBorder="1" applyAlignment="1"/>
    <xf numFmtId="0" fontId="10" fillId="13" borderId="5" xfId="4" applyBorder="1" applyAlignment="1"/>
    <xf numFmtId="0" fontId="10" fillId="13" borderId="6" xfId="4" applyBorder="1" applyAlignment="1"/>
    <xf numFmtId="0" fontId="10" fillId="0" borderId="0" xfId="0" applyFont="1"/>
    <xf numFmtId="0" fontId="0" fillId="7" borderId="0" xfId="0" applyFill="1"/>
    <xf numFmtId="0" fontId="0" fillId="14" borderId="0" xfId="0" applyFill="1"/>
    <xf numFmtId="0" fontId="3" fillId="0" borderId="0" xfId="13"/>
    <xf numFmtId="0" fontId="22" fillId="0" borderId="0" xfId="13" applyFont="1" applyAlignment="1">
      <alignment vertical="center"/>
    </xf>
    <xf numFmtId="0" fontId="23" fillId="0" borderId="0" xfId="13" applyFont="1"/>
    <xf numFmtId="0" fontId="24" fillId="0" borderId="0" xfId="13" applyFont="1"/>
    <xf numFmtId="0" fontId="25" fillId="0" borderId="0" xfId="13" applyFont="1"/>
    <xf numFmtId="0" fontId="26" fillId="0" borderId="0" xfId="13" applyFont="1"/>
    <xf numFmtId="0" fontId="27" fillId="0" borderId="0" xfId="13" applyFont="1"/>
    <xf numFmtId="0" fontId="22" fillId="0" borderId="0" xfId="13" quotePrefix="1" applyFont="1" applyAlignment="1">
      <alignment vertical="center"/>
    </xf>
    <xf numFmtId="0" fontId="3" fillId="0" borderId="0" xfId="13" quotePrefix="1"/>
    <xf numFmtId="0" fontId="3" fillId="12" borderId="1" xfId="13" applyFill="1" applyBorder="1" applyAlignment="1">
      <alignment horizontal="center" vertical="center"/>
    </xf>
    <xf numFmtId="0" fontId="3" fillId="0" borderId="1" xfId="13" applyBorder="1" applyAlignment="1">
      <alignment horizontal="center" vertical="center"/>
    </xf>
    <xf numFmtId="0" fontId="10" fillId="16" borderId="0" xfId="0" applyFont="1" applyFill="1"/>
    <xf numFmtId="0" fontId="0" fillId="16" borderId="0" xfId="0" applyFill="1"/>
    <xf numFmtId="0" fontId="3" fillId="15" borderId="1" xfId="13" applyFill="1" applyBorder="1" applyAlignment="1">
      <alignment horizontal="center" vertical="center"/>
    </xf>
    <xf numFmtId="0" fontId="3" fillId="10" borderId="1" xfId="13" applyFill="1" applyBorder="1" applyAlignment="1">
      <alignment horizontal="center" vertical="center"/>
    </xf>
    <xf numFmtId="0" fontId="3" fillId="8" borderId="1" xfId="13" applyFill="1" applyBorder="1" applyAlignment="1">
      <alignment horizontal="center" vertical="center"/>
    </xf>
    <xf numFmtId="0" fontId="3" fillId="5" borderId="1" xfId="13" applyFill="1" applyBorder="1" applyAlignment="1">
      <alignment horizontal="center" vertical="center"/>
    </xf>
    <xf numFmtId="0" fontId="3" fillId="7" borderId="1" xfId="13" applyFill="1" applyBorder="1" applyAlignment="1">
      <alignment horizontal="center" vertical="center"/>
    </xf>
    <xf numFmtId="0" fontId="3" fillId="17" borderId="1" xfId="13" applyFill="1" applyBorder="1" applyAlignment="1">
      <alignment horizontal="center" vertical="center"/>
    </xf>
    <xf numFmtId="0" fontId="3" fillId="18" borderId="1" xfId="13" applyFill="1" applyBorder="1" applyAlignment="1">
      <alignment horizontal="center" vertical="center"/>
    </xf>
    <xf numFmtId="0" fontId="3" fillId="19" borderId="1" xfId="13" applyFill="1" applyBorder="1" applyAlignment="1">
      <alignment horizontal="center" vertical="center"/>
    </xf>
    <xf numFmtId="0" fontId="5" fillId="8" borderId="0" xfId="0" applyFont="1" applyFill="1"/>
    <xf numFmtId="0" fontId="10" fillId="20" borderId="0" xfId="0" applyFont="1" applyFill="1"/>
    <xf numFmtId="0" fontId="10" fillId="7" borderId="0" xfId="0" applyFont="1" applyFill="1"/>
    <xf numFmtId="0" fontId="10" fillId="21" borderId="0" xfId="0" applyFont="1" applyFill="1"/>
    <xf numFmtId="0" fontId="21" fillId="0" borderId="0" xfId="0" applyFont="1"/>
    <xf numFmtId="0" fontId="2" fillId="12" borderId="1" xfId="13" applyFont="1" applyFill="1" applyBorder="1" applyAlignment="1">
      <alignment horizontal="center" vertical="center"/>
    </xf>
    <xf numFmtId="0" fontId="3" fillId="22" borderId="1" xfId="13" applyFill="1" applyBorder="1" applyAlignment="1">
      <alignment horizontal="center" vertical="center"/>
    </xf>
    <xf numFmtId="0" fontId="3" fillId="23" borderId="1" xfId="13" applyFill="1" applyBorder="1" applyAlignment="1">
      <alignment horizontal="center" vertical="center"/>
    </xf>
    <xf numFmtId="0" fontId="2" fillId="22" borderId="1" xfId="13" applyFont="1" applyFill="1" applyBorder="1" applyAlignment="1">
      <alignment horizontal="center" vertical="center"/>
    </xf>
    <xf numFmtId="0" fontId="10" fillId="21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7" borderId="2" xfId="12" applyBorder="1" applyAlignment="1">
      <alignment horizontal="center" vertical="center"/>
    </xf>
    <xf numFmtId="0" fontId="10" fillId="7" borderId="4" xfId="12" applyBorder="1" applyAlignment="1">
      <alignment horizontal="center" vertical="center"/>
    </xf>
    <xf numFmtId="0" fontId="10" fillId="12" borderId="2" xfId="11" applyBorder="1" applyAlignment="1">
      <alignment horizontal="center" vertical="center"/>
    </xf>
    <xf numFmtId="0" fontId="10" fillId="12" borderId="4" xfId="11" applyBorder="1" applyAlignment="1">
      <alignment horizontal="center" vertical="center"/>
    </xf>
    <xf numFmtId="0" fontId="10" fillId="7" borderId="2" xfId="12" applyBorder="1" applyAlignment="1">
      <alignment horizontal="center" vertical="center" wrapText="1"/>
    </xf>
    <xf numFmtId="0" fontId="10" fillId="7" borderId="4" xfId="12" applyBorder="1" applyAlignment="1">
      <alignment horizontal="center" vertical="center" wrapText="1"/>
    </xf>
    <xf numFmtId="0" fontId="10" fillId="5" borderId="2" xfId="2" applyBorder="1" applyAlignment="1">
      <alignment horizontal="center" vertical="center"/>
    </xf>
    <xf numFmtId="0" fontId="10" fillId="5" borderId="4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2" xfId="10" applyBorder="1" applyAlignment="1">
      <alignment horizontal="center" vertical="center"/>
    </xf>
    <xf numFmtId="0" fontId="10" fillId="8" borderId="4" xfId="10" applyBorder="1" applyAlignment="1">
      <alignment horizontal="center" vertical="center"/>
    </xf>
    <xf numFmtId="0" fontId="10" fillId="3" borderId="2" xfId="8" applyBorder="1" applyAlignment="1">
      <alignment horizontal="center" vertical="center"/>
    </xf>
    <xf numFmtId="0" fontId="10" fillId="3" borderId="4" xfId="8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0" borderId="8" xfId="7" applyBorder="1" applyAlignment="1">
      <alignment horizontal="center"/>
    </xf>
    <xf numFmtId="0" fontId="0" fillId="0" borderId="0" xfId="0" applyAlignment="1">
      <alignment horizontal="center"/>
    </xf>
    <xf numFmtId="0" fontId="10" fillId="10" borderId="2" xfId="7" applyBorder="1" applyAlignment="1">
      <alignment horizontal="center" vertical="center"/>
    </xf>
    <xf numFmtId="0" fontId="10" fillId="10" borderId="4" xfId="7" applyBorder="1" applyAlignment="1">
      <alignment horizontal="center" vertical="center"/>
    </xf>
    <xf numFmtId="0" fontId="10" fillId="10" borderId="6" xfId="7" applyBorder="1" applyAlignment="1">
      <alignment horizontal="center" vertical="center"/>
    </xf>
    <xf numFmtId="0" fontId="1" fillId="0" borderId="0" xfId="13" applyFont="1"/>
  </cellXfs>
  <cellStyles count="14">
    <cellStyle name="20% - 着色 1" xfId="5" builtinId="30"/>
    <cellStyle name="20% - 着色 2" xfId="6" builtinId="34"/>
    <cellStyle name="20% - 着色 3" xfId="3" builtinId="38"/>
    <cellStyle name="20% - 着色 4" xfId="1" builtinId="42"/>
    <cellStyle name="20% - 着色 5" xfId="4" builtinId="46"/>
    <cellStyle name="20% - 着色 6" xfId="9" builtinId="50"/>
    <cellStyle name="40% - 着色 1" xfId="12" builtinId="31"/>
    <cellStyle name="40% - 着色 2" xfId="8" builtinId="35"/>
    <cellStyle name="40% - 着色 3" xfId="2" builtinId="39"/>
    <cellStyle name="40% - 着色 4" xfId="7" builtinId="43"/>
    <cellStyle name="40% - 着色 5" xfId="11" builtinId="47"/>
    <cellStyle name="40% - 着色 6" xfId="10" builtinId="51"/>
    <cellStyle name="常规" xfId="0" builtinId="0"/>
    <cellStyle name="常规 2" xfId="13" xr:uid="{5AB64F3F-466E-4736-8D9B-95E881083B35}"/>
  </cellStyles>
  <dxfs count="304"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theme="6" tint="0.7999511703848384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00B050"/>
      </font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0.79995117038483843"/>
      </font>
    </dxf>
    <dxf>
      <font>
        <color theme="0"/>
      </font>
    </dxf>
    <dxf>
      <font>
        <color rgb="FFFF0000"/>
      </font>
    </dxf>
    <dxf>
      <fill>
        <patternFill patternType="solid">
          <bgColor theme="6" tint="0.79995117038483843"/>
        </patternFill>
      </fill>
    </dxf>
    <dxf>
      <fill>
        <patternFill patternType="none"/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ill>
        <patternFill patternType="solid">
          <bgColor theme="6" tint="0.59996337778862885"/>
        </patternFill>
      </fill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/>
      </fill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workbookViewId="0">
      <selection activeCell="C2" sqref="C2"/>
    </sheetView>
  </sheetViews>
  <sheetFormatPr defaultColWidth="9" defaultRowHeight="13.8" x14ac:dyDescent="0.25"/>
  <cols>
    <col min="2" max="2" width="10.33203125" customWidth="1"/>
    <col min="4" max="4" width="16.109375" bestFit="1" customWidth="1"/>
    <col min="5" max="5" width="18.33203125" bestFit="1" customWidth="1"/>
  </cols>
  <sheetData>
    <row r="1" spans="1:5" x14ac:dyDescent="0.25">
      <c r="A1" s="79" t="s">
        <v>258</v>
      </c>
      <c r="B1" s="81" t="s">
        <v>259</v>
      </c>
    </row>
    <row r="2" spans="1:5" x14ac:dyDescent="0.25">
      <c r="A2" s="80" t="s">
        <v>194</v>
      </c>
      <c r="B2" s="55">
        <v>4</v>
      </c>
    </row>
    <row r="3" spans="1:5" x14ac:dyDescent="0.25">
      <c r="A3" s="87" t="s">
        <v>260</v>
      </c>
      <c r="B3" s="87"/>
    </row>
    <row r="4" spans="1:5" x14ac:dyDescent="0.25">
      <c r="A4" s="68" t="s">
        <v>111</v>
      </c>
      <c r="B4" s="68" t="s">
        <v>112</v>
      </c>
      <c r="D4" s="69" t="s">
        <v>114</v>
      </c>
      <c r="E4" s="69" t="s">
        <v>115</v>
      </c>
    </row>
    <row r="5" spans="1:5" x14ac:dyDescent="0.25">
      <c r="A5">
        <v>1</v>
      </c>
      <c r="B5">
        <f>勿动!A$2*0.01</f>
        <v>72</v>
      </c>
      <c r="D5" s="56"/>
      <c r="E5" s="78">
        <f>D5/1.25/96</f>
        <v>0</v>
      </c>
    </row>
    <row r="6" spans="1:5" x14ac:dyDescent="0.25">
      <c r="A6">
        <v>2</v>
      </c>
      <c r="B6">
        <f>B5+(勿动!A$2-B5)*0.01</f>
        <v>143.28</v>
      </c>
      <c r="D6" s="78">
        <f>E6*96*1.25</f>
        <v>0</v>
      </c>
      <c r="E6" s="56"/>
    </row>
    <row r="7" spans="1:5" x14ac:dyDescent="0.25">
      <c r="A7">
        <v>3</v>
      </c>
      <c r="B7">
        <f>B6+(勿动!A$2-B6)*0.01</f>
        <v>213.84719999999999</v>
      </c>
    </row>
    <row r="8" spans="1:5" x14ac:dyDescent="0.25">
      <c r="A8">
        <v>4</v>
      </c>
      <c r="B8">
        <f>B7+(勿动!A$2-B7)*0.01</f>
        <v>283.70872800000001</v>
      </c>
    </row>
    <row r="9" spans="1:5" x14ac:dyDescent="0.25">
      <c r="A9">
        <v>5</v>
      </c>
      <c r="B9">
        <f>B8+(勿动!A$2-B8)*0.01</f>
        <v>352.87164072000002</v>
      </c>
    </row>
    <row r="10" spans="1:5" x14ac:dyDescent="0.25">
      <c r="A10">
        <v>6</v>
      </c>
      <c r="B10">
        <f>B9+(勿动!A$2-B9)*0.01</f>
        <v>421.34292431280005</v>
      </c>
    </row>
    <row r="11" spans="1:5" x14ac:dyDescent="0.25">
      <c r="A11">
        <v>7</v>
      </c>
      <c r="B11">
        <f>B10+(勿动!A$2-B10)*0.01</f>
        <v>489.12949506967203</v>
      </c>
    </row>
    <row r="12" spans="1:5" x14ac:dyDescent="0.25">
      <c r="A12">
        <v>8</v>
      </c>
      <c r="B12">
        <f>B11+(勿动!A$2-B11)*0.01</f>
        <v>556.23820011897533</v>
      </c>
    </row>
    <row r="13" spans="1:5" x14ac:dyDescent="0.25">
      <c r="A13">
        <v>9</v>
      </c>
      <c r="B13">
        <f>B12+(勿动!A$2-B12)*0.01</f>
        <v>622.67581811778564</v>
      </c>
    </row>
    <row r="14" spans="1:5" x14ac:dyDescent="0.25">
      <c r="A14">
        <v>10</v>
      </c>
      <c r="B14">
        <f>B13+(勿动!A$2-B13)*0.01</f>
        <v>688.4490599366078</v>
      </c>
    </row>
    <row r="15" spans="1:5" x14ac:dyDescent="0.25">
      <c r="A15">
        <v>11</v>
      </c>
      <c r="B15">
        <f>B14+(勿动!A$2-B14)*0.01</f>
        <v>753.56456933724166</v>
      </c>
    </row>
    <row r="16" spans="1:5" x14ac:dyDescent="0.25">
      <c r="A16">
        <v>12</v>
      </c>
      <c r="B16">
        <f>B15+(勿动!A$2-B15)*0.01</f>
        <v>818.02892364386923</v>
      </c>
    </row>
    <row r="17" spans="1:2" x14ac:dyDescent="0.25">
      <c r="A17">
        <v>13</v>
      </c>
      <c r="B17">
        <f>B16+(勿动!A$2-B16)*0.01</f>
        <v>881.8486344074305</v>
      </c>
    </row>
    <row r="18" spans="1:2" x14ac:dyDescent="0.25">
      <c r="A18">
        <v>14</v>
      </c>
      <c r="B18">
        <f>B17+(勿动!A$2-B17)*0.01</f>
        <v>945.03014806335614</v>
      </c>
    </row>
    <row r="19" spans="1:2" x14ac:dyDescent="0.25">
      <c r="A19">
        <v>15</v>
      </c>
      <c r="B19">
        <f>B18+(勿动!A$2-B18)*0.01</f>
        <v>1007.5798465827226</v>
      </c>
    </row>
    <row r="20" spans="1:2" x14ac:dyDescent="0.25">
      <c r="A20">
        <v>16</v>
      </c>
      <c r="B20">
        <f>B19+(勿动!A$2-B19)*0.01</f>
        <v>1069.5040481168953</v>
      </c>
    </row>
    <row r="21" spans="1:2" x14ac:dyDescent="0.25">
      <c r="A21">
        <v>17</v>
      </c>
      <c r="B21">
        <f>B20+(勿动!A$2-B20)*0.01</f>
        <v>1130.8090076357264</v>
      </c>
    </row>
    <row r="22" spans="1:2" x14ac:dyDescent="0.25">
      <c r="A22">
        <v>18</v>
      </c>
      <c r="B22">
        <f>B21+(勿动!A$2-B21)*0.01</f>
        <v>1191.5009175593691</v>
      </c>
    </row>
    <row r="23" spans="1:2" x14ac:dyDescent="0.25">
      <c r="A23">
        <v>19</v>
      </c>
      <c r="B23">
        <f>B22+(勿动!A$2-B22)*0.01</f>
        <v>1251.5859083837754</v>
      </c>
    </row>
    <row r="24" spans="1:2" x14ac:dyDescent="0.25">
      <c r="A24">
        <v>20</v>
      </c>
      <c r="B24">
        <f>B23+(勿动!A$2-B23)*0.01</f>
        <v>1311.0700492999376</v>
      </c>
    </row>
    <row r="25" spans="1:2" x14ac:dyDescent="0.25">
      <c r="A25">
        <v>21</v>
      </c>
      <c r="B25">
        <f>B24+(勿动!A$2-B24)*0.01</f>
        <v>1369.9593488069384</v>
      </c>
    </row>
    <row r="26" spans="1:2" x14ac:dyDescent="0.25">
      <c r="A26">
        <v>22</v>
      </c>
      <c r="B26">
        <f>B25+(勿动!A$2-B25)*0.01</f>
        <v>1428.2597553188689</v>
      </c>
    </row>
    <row r="27" spans="1:2" x14ac:dyDescent="0.25">
      <c r="A27">
        <v>23</v>
      </c>
      <c r="B27">
        <f>B26+(勿动!A$2-B26)*0.01</f>
        <v>1485.9771577656802</v>
      </c>
    </row>
    <row r="28" spans="1:2" x14ac:dyDescent="0.25">
      <c r="A28">
        <v>24</v>
      </c>
      <c r="B28">
        <f>B27+(勿动!A$2-B27)*0.01</f>
        <v>1543.1173861880234</v>
      </c>
    </row>
    <row r="29" spans="1:2" x14ac:dyDescent="0.25">
      <c r="A29">
        <v>25</v>
      </c>
      <c r="B29">
        <f>B28+(勿动!A$2-B28)*0.01</f>
        <v>1599.686212326143</v>
      </c>
    </row>
    <row r="30" spans="1:2" x14ac:dyDescent="0.25">
      <c r="A30">
        <v>26</v>
      </c>
      <c r="B30">
        <f>B29+(勿动!A$2-B29)*0.01</f>
        <v>1655.6893502028815</v>
      </c>
    </row>
    <row r="31" spans="1:2" x14ac:dyDescent="0.25">
      <c r="A31">
        <v>27</v>
      </c>
      <c r="B31">
        <f>B30+(勿动!A$2-B30)*0.01</f>
        <v>1711.1324567008528</v>
      </c>
    </row>
    <row r="32" spans="1:2" x14ac:dyDescent="0.25">
      <c r="A32">
        <v>28</v>
      </c>
      <c r="B32">
        <f>B31+(勿动!A$2-B31)*0.01</f>
        <v>1766.0211321338443</v>
      </c>
    </row>
    <row r="33" spans="1:2" x14ac:dyDescent="0.25">
      <c r="A33">
        <v>29</v>
      </c>
      <c r="B33">
        <f>B32+(勿动!A$2-B32)*0.01</f>
        <v>1820.3609208125058</v>
      </c>
    </row>
    <row r="34" spans="1:2" x14ac:dyDescent="0.25">
      <c r="A34">
        <v>30</v>
      </c>
      <c r="B34">
        <f>B33+(勿动!A$2-B33)*0.01</f>
        <v>1874.1573116043808</v>
      </c>
    </row>
    <row r="35" spans="1:2" x14ac:dyDescent="0.25">
      <c r="A35">
        <v>31</v>
      </c>
      <c r="B35">
        <f>B34+(勿动!A$2-B34)*0.01</f>
        <v>1927.415738488337</v>
      </c>
    </row>
    <row r="36" spans="1:2" x14ac:dyDescent="0.25">
      <c r="A36">
        <v>32</v>
      </c>
      <c r="B36">
        <f>B35+(勿动!A$2-B35)*0.01</f>
        <v>1980.1415811034535</v>
      </c>
    </row>
    <row r="37" spans="1:2" x14ac:dyDescent="0.25">
      <c r="A37">
        <v>33</v>
      </c>
      <c r="B37">
        <f>B36+(勿动!A$2-B36)*0.01</f>
        <v>2032.340165292419</v>
      </c>
    </row>
    <row r="38" spans="1:2" x14ac:dyDescent="0.25">
      <c r="A38">
        <v>34</v>
      </c>
      <c r="B38">
        <f>B37+(勿动!A$2-B37)*0.01</f>
        <v>2084.0167636394949</v>
      </c>
    </row>
    <row r="39" spans="1:2" x14ac:dyDescent="0.25">
      <c r="A39">
        <v>35</v>
      </c>
      <c r="B39">
        <f>B38+(勿动!A$2-B38)*0.01</f>
        <v>2135.1765960030998</v>
      </c>
    </row>
    <row r="40" spans="1:2" x14ac:dyDescent="0.25">
      <c r="A40">
        <v>36</v>
      </c>
      <c r="B40">
        <f>B39+(勿动!A$2-B39)*0.01</f>
        <v>2185.8248300430687</v>
      </c>
    </row>
    <row r="41" spans="1:2" x14ac:dyDescent="0.25">
      <c r="A41">
        <v>37</v>
      </c>
      <c r="B41">
        <f>B40+(勿动!A$2-B40)*0.01</f>
        <v>2235.966581742638</v>
      </c>
    </row>
    <row r="42" spans="1:2" x14ac:dyDescent="0.25">
      <c r="A42">
        <v>38</v>
      </c>
      <c r="B42">
        <f>B41+(勿动!A$2-B41)*0.01</f>
        <v>2285.6069159252115</v>
      </c>
    </row>
    <row r="43" spans="1:2" x14ac:dyDescent="0.25">
      <c r="A43">
        <v>39</v>
      </c>
      <c r="B43">
        <f>B42+(勿动!A$2-B42)*0.01</f>
        <v>2334.7508467659595</v>
      </c>
    </row>
    <row r="44" spans="1:2" x14ac:dyDescent="0.25">
      <c r="A44">
        <v>40</v>
      </c>
      <c r="B44">
        <f>B43+(勿动!A$2-B43)*0.01</f>
        <v>2383.4033382982998</v>
      </c>
    </row>
    <row r="45" spans="1:2" x14ac:dyDescent="0.25">
      <c r="A45">
        <v>41</v>
      </c>
      <c r="B45">
        <f>B44+(勿动!A$2-B44)*0.01</f>
        <v>2431.5693049153169</v>
      </c>
    </row>
    <row r="46" spans="1:2" x14ac:dyDescent="0.25">
      <c r="A46">
        <v>42</v>
      </c>
      <c r="B46">
        <f>B45+(勿动!A$2-B45)*0.01</f>
        <v>2479.2536118661637</v>
      </c>
    </row>
    <row r="47" spans="1:2" x14ac:dyDescent="0.25">
      <c r="A47">
        <v>43</v>
      </c>
      <c r="B47">
        <f>B46+(勿动!A$2-B46)*0.01</f>
        <v>2526.461075747502</v>
      </c>
    </row>
    <row r="48" spans="1:2" x14ac:dyDescent="0.25">
      <c r="A48">
        <v>44</v>
      </c>
      <c r="B48">
        <f>B47+(勿动!A$2-B47)*0.01</f>
        <v>2573.1964649900269</v>
      </c>
    </row>
    <row r="49" spans="1:2" x14ac:dyDescent="0.25">
      <c r="A49">
        <v>45</v>
      </c>
      <c r="B49">
        <f>B48+(勿动!A$2-B48)*0.01</f>
        <v>2619.4645003401265</v>
      </c>
    </row>
    <row r="50" spans="1:2" x14ac:dyDescent="0.25">
      <c r="A50">
        <v>46</v>
      </c>
      <c r="B50">
        <f>B49+(勿动!A$2-B49)*0.01</f>
        <v>2665.2698553367254</v>
      </c>
    </row>
    <row r="51" spans="1:2" x14ac:dyDescent="0.25">
      <c r="A51">
        <v>47</v>
      </c>
      <c r="B51">
        <f>B50+(勿动!A$2-B50)*0.01</f>
        <v>2710.617156783358</v>
      </c>
    </row>
    <row r="52" spans="1:2" x14ac:dyDescent="0.25">
      <c r="A52">
        <v>48</v>
      </c>
      <c r="B52">
        <f>B51+(勿动!A$2-B51)*0.01</f>
        <v>2755.5109852155247</v>
      </c>
    </row>
    <row r="53" spans="1:2" x14ac:dyDescent="0.25">
      <c r="A53">
        <v>49</v>
      </c>
      <c r="B53">
        <f>B52+(勿动!A$2-B52)*0.01</f>
        <v>2799.9558753633696</v>
      </c>
    </row>
    <row r="54" spans="1:2" x14ac:dyDescent="0.25">
      <c r="A54">
        <v>50</v>
      </c>
      <c r="B54">
        <f>B53+(勿动!A$2-B53)*0.01</f>
        <v>2843.9563166097359</v>
      </c>
    </row>
    <row r="55" spans="1:2" x14ac:dyDescent="0.25">
      <c r="A55">
        <v>51</v>
      </c>
      <c r="B55">
        <f>B54+(勿动!A$2-B54)*0.01</f>
        <v>2887.5167534436387</v>
      </c>
    </row>
    <row r="56" spans="1:2" x14ac:dyDescent="0.25">
      <c r="A56">
        <v>52</v>
      </c>
      <c r="B56">
        <f>B55+(勿动!A$2-B55)*0.01</f>
        <v>2930.6415859092021</v>
      </c>
    </row>
    <row r="57" spans="1:2" x14ac:dyDescent="0.25">
      <c r="A57">
        <v>53</v>
      </c>
      <c r="B57">
        <f>B56+(勿动!A$2-B56)*0.01</f>
        <v>2973.3351700501103</v>
      </c>
    </row>
    <row r="58" spans="1:2" x14ac:dyDescent="0.25">
      <c r="A58">
        <v>54</v>
      </c>
      <c r="B58">
        <f>B57+(勿动!A$2-B57)*0.01</f>
        <v>3015.6018183496089</v>
      </c>
    </row>
    <row r="59" spans="1:2" x14ac:dyDescent="0.25">
      <c r="A59">
        <v>55</v>
      </c>
      <c r="B59">
        <f>B58+(勿动!A$2-B58)*0.01</f>
        <v>3057.4458001661128</v>
      </c>
    </row>
    <row r="60" spans="1:2" x14ac:dyDescent="0.25">
      <c r="A60">
        <v>56</v>
      </c>
      <c r="B60">
        <f>B59+(勿动!A$2-B59)*0.01</f>
        <v>3098.8713421644516</v>
      </c>
    </row>
    <row r="61" spans="1:2" x14ac:dyDescent="0.25">
      <c r="A61">
        <v>57</v>
      </c>
      <c r="B61">
        <f>B60+(勿动!A$2-B60)*0.01</f>
        <v>3139.8826287428069</v>
      </c>
    </row>
    <row r="62" spans="1:2" x14ac:dyDescent="0.25">
      <c r="A62">
        <v>58</v>
      </c>
      <c r="B62">
        <f>B61+(勿动!A$2-B61)*0.01</f>
        <v>3180.4838024553787</v>
      </c>
    </row>
    <row r="63" spans="1:2" x14ac:dyDescent="0.25">
      <c r="A63">
        <v>59</v>
      </c>
      <c r="B63">
        <f>B62+(勿动!A$2-B62)*0.01</f>
        <v>3220.6789644308251</v>
      </c>
    </row>
    <row r="64" spans="1:2" x14ac:dyDescent="0.25">
      <c r="A64">
        <v>60</v>
      </c>
      <c r="B64">
        <f>B63+(勿动!A$2-B63)*0.01</f>
        <v>3260.4721747865169</v>
      </c>
    </row>
    <row r="65" spans="1:2" x14ac:dyDescent="0.25">
      <c r="A65">
        <v>61</v>
      </c>
      <c r="B65">
        <f>B64+(勿动!A$2-B64)*0.01</f>
        <v>3299.8674530386515</v>
      </c>
    </row>
    <row r="66" spans="1:2" x14ac:dyDescent="0.25">
      <c r="A66">
        <v>62</v>
      </c>
      <c r="B66">
        <f>B65+(勿动!A$2-B65)*0.01</f>
        <v>3338.8687785082652</v>
      </c>
    </row>
    <row r="67" spans="1:2" x14ac:dyDescent="0.25">
      <c r="A67">
        <v>63</v>
      </c>
      <c r="B67">
        <f>B66+(勿动!A$2-B66)*0.01</f>
        <v>3377.4800907231825</v>
      </c>
    </row>
    <row r="68" spans="1:2" x14ac:dyDescent="0.25">
      <c r="A68">
        <v>64</v>
      </c>
      <c r="B68">
        <f>B67+(勿动!A$2-B67)*0.01</f>
        <v>3415.7052898159504</v>
      </c>
    </row>
    <row r="69" spans="1:2" x14ac:dyDescent="0.25">
      <c r="A69">
        <v>65</v>
      </c>
      <c r="B69">
        <f>B68+(勿动!A$2-B68)*0.01</f>
        <v>3453.5482369177907</v>
      </c>
    </row>
    <row r="70" spans="1:2" x14ac:dyDescent="0.25">
      <c r="A70">
        <v>66</v>
      </c>
      <c r="B70">
        <f>B69+(勿动!A$2-B69)*0.01</f>
        <v>3491.012754548613</v>
      </c>
    </row>
    <row r="71" spans="1:2" x14ac:dyDescent="0.25">
      <c r="A71">
        <v>67</v>
      </c>
      <c r="B71">
        <f>B70+(勿动!A$2-B70)*0.01</f>
        <v>3528.1026270031271</v>
      </c>
    </row>
    <row r="72" spans="1:2" x14ac:dyDescent="0.25">
      <c r="A72">
        <v>68</v>
      </c>
      <c r="B72">
        <f>B71+(勿动!A$2-B71)*0.01</f>
        <v>3564.8216007330957</v>
      </c>
    </row>
    <row r="73" spans="1:2" x14ac:dyDescent="0.25">
      <c r="A73">
        <v>69</v>
      </c>
      <c r="B73">
        <f>B72+(勿动!A$2-B72)*0.01</f>
        <v>3601.1733847257647</v>
      </c>
    </row>
    <row r="74" spans="1:2" x14ac:dyDescent="0.25">
      <c r="A74">
        <v>70</v>
      </c>
      <c r="B74">
        <f>B73+(勿动!A$2-B73)*0.01</f>
        <v>3637.1616508785069</v>
      </c>
    </row>
    <row r="75" spans="1:2" x14ac:dyDescent="0.25">
      <c r="A75">
        <v>71</v>
      </c>
      <c r="B75">
        <f>B74+(勿动!A$2-B74)*0.01</f>
        <v>3672.790034369722</v>
      </c>
    </row>
    <row r="76" spans="1:2" x14ac:dyDescent="0.25">
      <c r="A76">
        <v>72</v>
      </c>
      <c r="B76">
        <f>B75+(勿动!A$2-B75)*0.01</f>
        <v>3708.062134026025</v>
      </c>
    </row>
    <row r="77" spans="1:2" x14ac:dyDescent="0.25">
      <c r="A77">
        <v>73</v>
      </c>
      <c r="B77">
        <f>B76+(勿动!A$2-B76)*0.01</f>
        <v>3742.9815126857648</v>
      </c>
    </row>
    <row r="78" spans="1:2" x14ac:dyDescent="0.25">
      <c r="A78">
        <v>74</v>
      </c>
      <c r="B78">
        <f>B77+(勿动!A$2-B77)*0.01</f>
        <v>3777.5516975589071</v>
      </c>
    </row>
    <row r="79" spans="1:2" x14ac:dyDescent="0.25">
      <c r="A79">
        <v>75</v>
      </c>
      <c r="B79">
        <f>B78+(勿动!A$2-B78)*0.01</f>
        <v>3811.7761805833179</v>
      </c>
    </row>
    <row r="80" spans="1:2" x14ac:dyDescent="0.25">
      <c r="A80">
        <v>76</v>
      </c>
      <c r="B80">
        <f>B79+(勿动!A$2-B79)*0.01</f>
        <v>3845.6584187774847</v>
      </c>
    </row>
    <row r="81" spans="1:2" x14ac:dyDescent="0.25">
      <c r="A81">
        <v>77</v>
      </c>
      <c r="B81">
        <f>B80+(勿动!A$2-B80)*0.01</f>
        <v>3879.20183458971</v>
      </c>
    </row>
    <row r="82" spans="1:2" x14ac:dyDescent="0.25">
      <c r="A82">
        <v>78</v>
      </c>
      <c r="B82">
        <f>B81+(勿动!A$2-B81)*0.01</f>
        <v>3912.4098162438127</v>
      </c>
    </row>
    <row r="83" spans="1:2" x14ac:dyDescent="0.25">
      <c r="A83">
        <v>79</v>
      </c>
      <c r="B83">
        <f>B82+(勿动!A$2-B82)*0.01</f>
        <v>3945.2857180813744</v>
      </c>
    </row>
    <row r="84" spans="1:2" x14ac:dyDescent="0.25">
      <c r="A84">
        <v>80</v>
      </c>
      <c r="B84">
        <f>B83+(勿动!A$2-B83)*0.01</f>
        <v>3977.8328609005607</v>
      </c>
    </row>
    <row r="85" spans="1:2" x14ac:dyDescent="0.25">
      <c r="A85">
        <v>81</v>
      </c>
      <c r="B85">
        <f>B84+(勿动!A$2-B84)*0.01</f>
        <v>4010.054532291555</v>
      </c>
    </row>
    <row r="86" spans="1:2" x14ac:dyDescent="0.25">
      <c r="A86">
        <v>82</v>
      </c>
      <c r="B86">
        <f>B85+(勿动!A$2-B85)*0.01</f>
        <v>4041.9539869686396</v>
      </c>
    </row>
    <row r="87" spans="1:2" x14ac:dyDescent="0.25">
      <c r="A87">
        <v>83</v>
      </c>
      <c r="B87">
        <f>B86+(勿动!A$2-B86)*0.01</f>
        <v>4073.534447098953</v>
      </c>
    </row>
    <row r="88" spans="1:2" x14ac:dyDescent="0.25">
      <c r="A88">
        <v>84</v>
      </c>
      <c r="B88">
        <f>B87+(勿动!A$2-B87)*0.01</f>
        <v>4104.7991026279633</v>
      </c>
    </row>
    <row r="89" spans="1:2" x14ac:dyDescent="0.25">
      <c r="A89">
        <v>85</v>
      </c>
      <c r="B89">
        <f>B88+(勿动!A$2-B88)*0.01</f>
        <v>4135.751111601684</v>
      </c>
    </row>
    <row r="90" spans="1:2" x14ac:dyDescent="0.25">
      <c r="A90">
        <v>86</v>
      </c>
      <c r="B90">
        <f>B89+(勿动!A$2-B89)*0.01</f>
        <v>4166.3936004856669</v>
      </c>
    </row>
    <row r="91" spans="1:2" x14ac:dyDescent="0.25">
      <c r="A91">
        <v>87</v>
      </c>
      <c r="B91">
        <f>B90+(勿动!A$2-B90)*0.01</f>
        <v>4196.7296644808102</v>
      </c>
    </row>
    <row r="92" spans="1:2" x14ac:dyDescent="0.25">
      <c r="A92">
        <v>88</v>
      </c>
      <c r="B92">
        <f>B91+(勿动!A$2-B91)*0.01</f>
        <v>4226.7623678360023</v>
      </c>
    </row>
    <row r="93" spans="1:2" x14ac:dyDescent="0.25">
      <c r="A93">
        <v>89</v>
      </c>
      <c r="B93">
        <f>B92+(勿动!A$2-B92)*0.01</f>
        <v>4256.4947441576423</v>
      </c>
    </row>
    <row r="94" spans="1:2" x14ac:dyDescent="0.25">
      <c r="A94">
        <v>90</v>
      </c>
      <c r="B94">
        <f>B93+(勿动!A$2-B93)*0.01</f>
        <v>4285.9297967160655</v>
      </c>
    </row>
    <row r="95" spans="1:2" x14ac:dyDescent="0.25">
      <c r="A95">
        <v>91</v>
      </c>
      <c r="B95">
        <f>B94+(勿动!A$2-B94)*0.01</f>
        <v>4315.0704987489053</v>
      </c>
    </row>
    <row r="96" spans="1:2" x14ac:dyDescent="0.25">
      <c r="A96">
        <v>92</v>
      </c>
      <c r="B96">
        <f>B95+(勿动!A$2-B95)*0.01</f>
        <v>4343.9197937614163</v>
      </c>
    </row>
    <row r="97" spans="1:2" x14ac:dyDescent="0.25">
      <c r="A97">
        <v>93</v>
      </c>
      <c r="B97">
        <f>B96+(勿动!A$2-B96)*0.01</f>
        <v>4372.4805958238021</v>
      </c>
    </row>
    <row r="98" spans="1:2" x14ac:dyDescent="0.25">
      <c r="A98">
        <v>94</v>
      </c>
      <c r="B98">
        <f>B97+(勿动!A$2-B97)*0.01</f>
        <v>4400.7557898655641</v>
      </c>
    </row>
    <row r="99" spans="1:2" x14ac:dyDescent="0.25">
      <c r="A99">
        <v>95</v>
      </c>
      <c r="B99">
        <f>B98+(勿动!A$2-B98)*0.01</f>
        <v>4428.7482319669089</v>
      </c>
    </row>
    <row r="100" spans="1:2" x14ac:dyDescent="0.25">
      <c r="A100">
        <v>96</v>
      </c>
      <c r="B100">
        <f>B99+(勿动!A$2-B99)*0.01</f>
        <v>4456.4607496472399</v>
      </c>
    </row>
    <row r="101" spans="1:2" x14ac:dyDescent="0.25">
      <c r="A101">
        <v>97</v>
      </c>
      <c r="B101">
        <f>B100+(勿动!A$2-B100)*0.01</f>
        <v>4483.8961421507674</v>
      </c>
    </row>
    <row r="102" spans="1:2" x14ac:dyDescent="0.25">
      <c r="A102">
        <v>98</v>
      </c>
      <c r="B102">
        <f>B101+(勿动!A$2-B101)*0.01</f>
        <v>4511.0571807292599</v>
      </c>
    </row>
    <row r="103" spans="1:2" x14ac:dyDescent="0.25">
      <c r="A103">
        <v>99</v>
      </c>
      <c r="B103">
        <f>B102+(勿动!A$2-B102)*0.01</f>
        <v>4537.9466089219677</v>
      </c>
    </row>
    <row r="104" spans="1:2" x14ac:dyDescent="0.25">
      <c r="A104">
        <v>100</v>
      </c>
      <c r="B104">
        <f>B103+(勿动!A$2-B103)*0.01</f>
        <v>4564.5671428327478</v>
      </c>
    </row>
  </sheetData>
  <mergeCells count="1">
    <mergeCell ref="A3:B3"/>
  </mergeCells>
  <phoneticPr fontId="20" type="noConversion"/>
  <dataValidations count="2">
    <dataValidation type="list" allowBlank="1" showInputMessage="1" showErrorMessage="1" sqref="B2:B3" xr:uid="{2480B4E3-94AE-4614-A561-47A8FE0344E9}">
      <formula1>"1,2,3,4"</formula1>
    </dataValidation>
    <dataValidation type="list" allowBlank="1" showInputMessage="1" showErrorMessage="1" sqref="A2:A3" xr:uid="{60B7D0EF-54BD-4BBB-9E39-C17138DDF17D}">
      <formula1>"黄带,绿带,蓝带"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opLeftCell="B10" zoomScale="80" zoomScaleNormal="80" workbookViewId="0">
      <selection activeCell="R25" sqref="R25"/>
    </sheetView>
  </sheetViews>
  <sheetFormatPr defaultColWidth="9" defaultRowHeight="13.8" x14ac:dyDescent="0.25"/>
  <cols>
    <col min="1" max="26" width="9.6640625" customWidth="1"/>
  </cols>
  <sheetData>
    <row r="1" spans="1:26" x14ac:dyDescent="0.25">
      <c r="B1" s="88" t="s">
        <v>263</v>
      </c>
      <c r="C1" s="2" t="s">
        <v>264</v>
      </c>
      <c r="D1" t="s">
        <v>1</v>
      </c>
      <c r="E1" s="3"/>
      <c r="F1" s="30" t="s">
        <v>2</v>
      </c>
      <c r="G1" s="31"/>
      <c r="H1" s="32"/>
    </row>
    <row r="2" spans="1:26" x14ac:dyDescent="0.25">
      <c r="A2" s="97" t="s">
        <v>0</v>
      </c>
      <c r="B2" s="88"/>
      <c r="C2" s="4" t="s">
        <v>5</v>
      </c>
      <c r="D2" t="s">
        <v>113</v>
      </c>
      <c r="F2" s="33">
        <v>0.75</v>
      </c>
      <c r="I2" s="54" t="s">
        <v>109</v>
      </c>
      <c r="O2" s="103" t="s">
        <v>3</v>
      </c>
      <c r="P2" s="103"/>
      <c r="S2" s="104" t="s">
        <v>4</v>
      </c>
      <c r="T2" s="104"/>
    </row>
    <row r="3" spans="1:26" x14ac:dyDescent="0.25">
      <c r="A3" s="97"/>
      <c r="B3" s="82" t="s">
        <v>265</v>
      </c>
      <c r="C3" s="6" t="s">
        <v>11</v>
      </c>
      <c r="I3" t="s">
        <v>110</v>
      </c>
      <c r="O3" s="36" t="s">
        <v>6</v>
      </c>
      <c r="P3" s="37" t="s">
        <v>7</v>
      </c>
      <c r="S3" s="7" t="s">
        <v>8</v>
      </c>
      <c r="T3" s="8" t="s">
        <v>9</v>
      </c>
    </row>
    <row r="4" spans="1:26" x14ac:dyDescent="0.25">
      <c r="A4" s="5" t="s">
        <v>10</v>
      </c>
      <c r="O4" s="38">
        <f>IF(O11=0,0,O11*2/4*勿动!A1-(P10+P9))</f>
        <v>0</v>
      </c>
      <c r="P4" s="39">
        <f>IF(O11=0,0,O11/4*勿动!A1-(P13+P12))</f>
        <v>0</v>
      </c>
      <c r="R4">
        <f>IF(O11+T13=0,0,T13/2*勿动!A1+O11/4*勿动!A1-(P12+P13))</f>
        <v>0</v>
      </c>
      <c r="S4" s="11">
        <f>IF(T13=0,0,T13/2*勿动!A1-(P13+P12))</f>
        <v>0</v>
      </c>
      <c r="T4" s="12">
        <f>IF(T13=0,0,T13*勿动!A1-(T10+T9))</f>
        <v>0</v>
      </c>
    </row>
    <row r="5" spans="1:26" x14ac:dyDescent="0.25">
      <c r="C5" s="7"/>
      <c r="D5" s="8"/>
      <c r="E5" s="7"/>
      <c r="F5" s="8"/>
      <c r="G5" s="7"/>
      <c r="H5" s="8"/>
      <c r="I5" s="7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89" t="s">
        <v>12</v>
      </c>
      <c r="V5" s="21"/>
      <c r="W5" s="89" t="s">
        <v>13</v>
      </c>
      <c r="X5" s="21"/>
    </row>
    <row r="6" spans="1:26" ht="15" customHeight="1" x14ac:dyDescent="0.25">
      <c r="C6" s="9" t="s">
        <v>14</v>
      </c>
      <c r="D6" s="10">
        <f>(D9+D10)+(D12+D13)</f>
        <v>0</v>
      </c>
      <c r="E6" s="9" t="s">
        <v>15</v>
      </c>
      <c r="F6" s="10">
        <f>(F9+F10)</f>
        <v>0</v>
      </c>
      <c r="G6" s="9" t="s">
        <v>16</v>
      </c>
      <c r="H6" s="10">
        <f>(H9+H10)*2</f>
        <v>0</v>
      </c>
      <c r="I6" s="9" t="s">
        <v>17</v>
      </c>
      <c r="J6" s="10">
        <f>(J9+J10)*2</f>
        <v>0</v>
      </c>
      <c r="K6" s="9" t="s">
        <v>18</v>
      </c>
      <c r="L6" s="10">
        <f>IF(N17="化工设备",(L9+L10)+(L12+L13)*2+(N18+N19)*2,(L9+L10)+(L12+L13)*2)</f>
        <v>0</v>
      </c>
      <c r="M6" s="9" t="s">
        <v>19</v>
      </c>
      <c r="N6" s="10">
        <f>(N9+N10)*2</f>
        <v>0</v>
      </c>
      <c r="O6" s="9" t="s">
        <v>20</v>
      </c>
      <c r="P6" s="10">
        <f>IF(P11="原油",IF((P9+P10)&gt;(P12+P13)*2,(P9+P10),(P12+P13)*2),(P9+P10))</f>
        <v>0</v>
      </c>
      <c r="Q6" s="9" t="s">
        <v>21</v>
      </c>
      <c r="R6" s="10">
        <f>IF(R11="化工设备",IF(N17="化工设备",(N18+N19)+(R12+R13)+(J16+J15),(R12+R13)+(J16+J15)),IF(N17="化工设备",(N18+N19)+(J16+J15),(J16+J15)))</f>
        <v>0</v>
      </c>
      <c r="S6" s="9"/>
      <c r="T6" s="10"/>
      <c r="U6" s="90"/>
      <c r="V6" s="22">
        <f>(X7+X6)*2</f>
        <v>0</v>
      </c>
      <c r="W6" s="90"/>
      <c r="X6" s="22">
        <f>(L28+L27)/2</f>
        <v>0</v>
      </c>
    </row>
    <row r="7" spans="1:26" ht="15" customHeight="1" x14ac:dyDescent="0.25"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23">
        <f>(V7+V6)*12/F2/勿动!A1</f>
        <v>0</v>
      </c>
      <c r="V7" s="20"/>
      <c r="W7" s="23">
        <f>(X7+X6)*6/F2/勿动!A1</f>
        <v>0</v>
      </c>
      <c r="X7" s="20"/>
    </row>
    <row r="8" spans="1:26" ht="15" customHeight="1" x14ac:dyDescent="0.25">
      <c r="A8" s="5"/>
      <c r="C8" s="100" t="s">
        <v>22</v>
      </c>
      <c r="D8" s="13"/>
      <c r="E8" s="100" t="s">
        <v>23</v>
      </c>
      <c r="F8" s="17"/>
      <c r="G8" s="100" t="s">
        <v>24</v>
      </c>
      <c r="H8" s="17"/>
      <c r="I8" s="100" t="s">
        <v>25</v>
      </c>
      <c r="J8" s="17"/>
      <c r="K8" s="100" t="s">
        <v>26</v>
      </c>
      <c r="L8" s="17"/>
      <c r="M8" s="100" t="s">
        <v>27</v>
      </c>
      <c r="N8" s="17"/>
      <c r="O8" s="105" t="s">
        <v>6</v>
      </c>
      <c r="P8" s="40"/>
      <c r="Q8" s="95" t="s">
        <v>28</v>
      </c>
      <c r="R8" s="48"/>
      <c r="S8" s="95" t="s">
        <v>9</v>
      </c>
      <c r="T8" s="45" t="s">
        <v>29</v>
      </c>
      <c r="U8" s="89"/>
      <c r="V8" s="21"/>
      <c r="W8" s="89"/>
      <c r="X8" s="21"/>
      <c r="Y8" s="89"/>
      <c r="Z8" s="21"/>
    </row>
    <row r="9" spans="1:26" ht="15" customHeight="1" x14ac:dyDescent="0.25">
      <c r="A9" s="1"/>
      <c r="C9" s="101"/>
      <c r="D9" s="14">
        <f>(D16+D15)*3+(D18+D19)+(J18+J19)+(F15+F16)*2+(V18+V19)*5+(D31+D32)*2+(D35+D34)*2/3+(D38+D37)+(J35+J34)*3+(J32+J31)*6+(L32+L31)*10+(P32+P31)*6+(L35+L34)*4+(P35+P34)*8+(J38+J37)*4+(L38+L37)*8+(D41+D40)*4+(J41+J40)*4+(R41+R40)*8+(Z19+Z18)*2</f>
        <v>0</v>
      </c>
      <c r="E9" s="101" t="s">
        <v>23</v>
      </c>
      <c r="F9" s="18">
        <f>(F13+F12)*0.5+(J18+J19)*0.5+(H24+H25)+(N21+N22)*2+(V15+V16)*3+(N32+N31)*6</f>
        <v>0</v>
      </c>
      <c r="G9" s="101" t="s">
        <v>24</v>
      </c>
      <c r="H9" s="18">
        <f>(H12+H13)+(H24+H25)*2+(N32+N31)*6+(R32+R31)*20</f>
        <v>0</v>
      </c>
      <c r="I9" s="101" t="s">
        <v>25</v>
      </c>
      <c r="J9" s="18">
        <f>(J12+J13)+(T15+T16)*3+(V12+V13)+(T35+T34)*40+(T19+T18)/2+(J16+J15)</f>
        <v>0</v>
      </c>
      <c r="K9" s="101" t="s">
        <v>26</v>
      </c>
      <c r="L9" s="18">
        <f>(Z27+Z28)*3+(L32+L31)*4+(L35+L34)*4+(N35+N34)*8+(P35+P34)*4+(L38+L37)*4+(N38+N37)*12+(P38+P37)*10+(J41+J40)*2+(N41+N40)*4+(P41+P40)*8</f>
        <v>0</v>
      </c>
      <c r="M9" s="101" t="s">
        <v>27</v>
      </c>
      <c r="N9" s="18">
        <f>IF(T8="化工设备",IF(N11="石墨",(N12+N13)+(F21+F22)+(R9+R10)+(T9+T10)*3/2+(F27+F28)*2,(F21+F22)+(R9+R10)+(T9+T10)*3/2+(F27+F28)*2),IF(N11="石墨",(N12+N13)+(F21+F22)+(R9+R10)+(F27+F28)*2,(F21+F22)+(R9+R10)+(F27+F28)*2))</f>
        <v>0</v>
      </c>
      <c r="O9" s="106"/>
      <c r="P9" s="41">
        <f>IF(R11="化工设备",IF(N17="化工设备",(N18+N19)*6/4+(R9+R10)*2+(R12+R13),(R9+R10)*2+(R12+R13)),IF(N17="化工设备",(N18+N19)*6/4+(R9+R10)*2,(R9+R10)*2))</f>
        <v>0</v>
      </c>
      <c r="Q9" s="96" t="s">
        <v>28</v>
      </c>
      <c r="R9" s="46">
        <f>IF(R11="化工设备",(R12+R13)*2+(H22+H21),(H22+H21))</f>
        <v>0</v>
      </c>
      <c r="S9" s="96" t="s">
        <v>9</v>
      </c>
      <c r="T9" s="46">
        <f>IF(N20="电磁涡轮",(N21+N22)*2+(V21+V22)*1/2+(H35+H34)/3+(F41+F40)*8+(T19+T18)*3/2+(L22+L21)*2,(V21+V22)*1/2+(H35+H34)/3+(F41+F40)*8+(T19+T18)*3/2+(L22+L21)*2)</f>
        <v>0</v>
      </c>
      <c r="U9" s="90"/>
      <c r="V9" s="22"/>
      <c r="W9" s="90"/>
      <c r="X9" s="22"/>
      <c r="Y9" s="90"/>
      <c r="Z9" s="22"/>
    </row>
    <row r="10" spans="1:26" ht="15" customHeight="1" x14ac:dyDescent="0.25">
      <c r="C10" s="15">
        <f>(D9+D10)/勿动!A1</f>
        <v>0</v>
      </c>
      <c r="D10" s="16"/>
      <c r="E10" s="19">
        <f>(F9+F10)/勿动!A1</f>
        <v>0</v>
      </c>
      <c r="F10" s="20"/>
      <c r="G10" s="19">
        <f>(H10+H9)*2/勿动!A1</f>
        <v>0</v>
      </c>
      <c r="H10" s="20"/>
      <c r="I10" s="19">
        <f>(J10+J9)*2/勿动!A1</f>
        <v>0</v>
      </c>
      <c r="J10" s="20"/>
      <c r="K10" s="19">
        <f>(L10+L9)/勿动!A1</f>
        <v>0</v>
      </c>
      <c r="L10" s="20"/>
      <c r="M10" s="19">
        <f>(N10+N9)*2/勿动!A1</f>
        <v>0</v>
      </c>
      <c r="N10" s="20"/>
      <c r="O10" s="37" t="s">
        <v>30</v>
      </c>
      <c r="P10" s="20"/>
      <c r="Q10" s="47">
        <f>(R10+R9)*3/勿动!A1</f>
        <v>0</v>
      </c>
      <c r="R10" s="20"/>
      <c r="S10" s="47">
        <f>(T10+T9)*3/2/勿动!A1</f>
        <v>0</v>
      </c>
      <c r="T10" s="20"/>
      <c r="U10" s="23"/>
      <c r="V10" s="20"/>
      <c r="W10" s="23"/>
      <c r="X10" s="20"/>
      <c r="Y10" s="23"/>
      <c r="Z10" s="20"/>
    </row>
    <row r="11" spans="1:26" ht="15" customHeight="1" x14ac:dyDescent="0.25">
      <c r="C11" s="100" t="s">
        <v>31</v>
      </c>
      <c r="D11" s="17"/>
      <c r="E11" s="89" t="s">
        <v>32</v>
      </c>
      <c r="F11" s="21"/>
      <c r="G11" s="100" t="s">
        <v>33</v>
      </c>
      <c r="H11" s="17"/>
      <c r="I11" s="100" t="s">
        <v>34</v>
      </c>
      <c r="J11" s="17"/>
      <c r="K11" s="100" t="s">
        <v>35</v>
      </c>
      <c r="L11" s="17"/>
      <c r="M11" s="100" t="s">
        <v>36</v>
      </c>
      <c r="N11" s="42" t="s">
        <v>27</v>
      </c>
      <c r="O11" s="43">
        <f>ROUNDUP(IF(P11="原油",IF((P10+P9)/2&gt;(P12+P13),(P10+P9)*4/2/勿动!A1,(P13+P12)*4/勿动!A1),(P10+P9)*4/2/勿动!A1),0)</f>
        <v>0</v>
      </c>
      <c r="P11" s="44" t="s">
        <v>37</v>
      </c>
      <c r="Q11" s="95" t="s">
        <v>38</v>
      </c>
      <c r="R11" s="45" t="s">
        <v>39</v>
      </c>
      <c r="S11" s="97" t="s">
        <v>29</v>
      </c>
      <c r="U11" s="93" t="s">
        <v>40</v>
      </c>
      <c r="V11" s="21"/>
      <c r="W11" s="89"/>
      <c r="X11" s="21"/>
      <c r="Y11" s="89"/>
      <c r="Z11" s="21"/>
    </row>
    <row r="12" spans="1:26" ht="15" customHeight="1" x14ac:dyDescent="0.25">
      <c r="C12" s="101" t="s">
        <v>31</v>
      </c>
      <c r="D12" s="18">
        <f>(F13+F12)+(F21+F22)*3</f>
        <v>0</v>
      </c>
      <c r="E12" s="90" t="s">
        <v>32</v>
      </c>
      <c r="F12" s="22">
        <f>(D21+D22)*4+(F15+F16)+(F18+F19)*2+(D31+D32)+(D28+D27)+(J32+J31)*3+(L32+L31)*4+(J38+J37)*2+(J41+J40)*2+(R41+R40)*4</f>
        <v>0</v>
      </c>
      <c r="G12" s="101" t="s">
        <v>33</v>
      </c>
      <c r="H12" s="18">
        <f>(P32+P31)*4+(H22+H21)*2</f>
        <v>0</v>
      </c>
      <c r="I12" s="101" t="s">
        <v>34</v>
      </c>
      <c r="J12" s="18">
        <f>(X15+X16)*5+(X18+X19)*10+(T38+T37)*40</f>
        <v>0</v>
      </c>
      <c r="K12" s="101" t="s">
        <v>35</v>
      </c>
      <c r="L12" s="18">
        <f>(L15+L16)*3/2+(P35+P34)*4+(N41+N40)*4+(P41+P40)*8+(R41+R40)*4+(J16+J15)</f>
        <v>0</v>
      </c>
      <c r="M12" s="101" t="s">
        <v>36</v>
      </c>
      <c r="N12" s="18">
        <f>(H28+H27)+(L19+L18)*4</f>
        <v>0</v>
      </c>
      <c r="O12" s="105" t="s">
        <v>7</v>
      </c>
      <c r="P12" s="41">
        <f>(V12+V13)*5+(F27+F28)*2+(L22+L21)*12</f>
        <v>0</v>
      </c>
      <c r="Q12" s="96"/>
      <c r="R12" s="46">
        <f>(T15+T16)</f>
        <v>0</v>
      </c>
      <c r="S12" s="97"/>
      <c r="T12">
        <f>IF(IF(T8="可燃冰",(T10+T9),0)&gt;IF(P11="可燃冰",(P12+P13)*2,0),IF(T8="可燃冰",(T10+T9),0),IF(P11="可燃冰",(P12+P13)*2,0))</f>
        <v>0</v>
      </c>
      <c r="U12" s="94" t="s">
        <v>40</v>
      </c>
      <c r="V12" s="22"/>
      <c r="W12" s="90"/>
      <c r="X12" s="22"/>
      <c r="Y12" s="90"/>
      <c r="Z12" s="22"/>
    </row>
    <row r="13" spans="1:26" ht="15" customHeight="1" x14ac:dyDescent="0.25">
      <c r="C13" s="19">
        <f>(D12+D13)*1.5/勿动!A1</f>
        <v>0</v>
      </c>
      <c r="D13" s="20"/>
      <c r="E13" s="23">
        <f>(F13+F12)/2/勿动!A1/F2</f>
        <v>0</v>
      </c>
      <c r="F13" s="20"/>
      <c r="G13" s="19">
        <f>(H13+H12)*2/勿动!A1</f>
        <v>0</v>
      </c>
      <c r="H13" s="20"/>
      <c r="I13" s="19">
        <f>(J13+J12)*12/4/勿动!A1</f>
        <v>0</v>
      </c>
      <c r="J13" s="20"/>
      <c r="K13" s="19">
        <f>(L13+L12)*2/勿动!A1</f>
        <v>0</v>
      </c>
      <c r="L13" s="20"/>
      <c r="M13" s="19">
        <f>(N13+N12)*2/勿动!A1</f>
        <v>0</v>
      </c>
      <c r="N13" s="20"/>
      <c r="O13" s="107"/>
      <c r="P13" s="20"/>
      <c r="Q13" s="47">
        <f>(R13+R12)*6/勿动!A1</f>
        <v>0</v>
      </c>
      <c r="R13" s="20"/>
      <c r="S13" s="49" t="s">
        <v>41</v>
      </c>
      <c r="T13" s="50">
        <f>ROUNDUP(IF(IF(T8="可燃冰",(T9+T10),0)&gt;IF(P11="可燃冰",(P12+P13)*2,0),IF(T8="可燃冰",(T9+T10)/勿动!A1,0),IF(P11="可燃冰",(P12+P13)*2/勿动!A1,0)),0)</f>
        <v>0</v>
      </c>
      <c r="U13" s="23">
        <f>(V13+V12)*3/F2/勿动!A1</f>
        <v>0</v>
      </c>
      <c r="V13" s="20"/>
      <c r="W13" s="23"/>
      <c r="X13" s="20"/>
      <c r="Y13" s="23"/>
      <c r="Z13" s="20"/>
    </row>
    <row r="14" spans="1:26" ht="15" customHeight="1" x14ac:dyDescent="0.25">
      <c r="C14" s="100" t="s">
        <v>42</v>
      </c>
      <c r="D14" s="17"/>
      <c r="E14" s="89" t="s">
        <v>43</v>
      </c>
      <c r="F14" s="21"/>
      <c r="G14" s="89"/>
      <c r="H14" s="21"/>
      <c r="I14" s="89" t="s">
        <v>44</v>
      </c>
      <c r="J14" s="21"/>
      <c r="K14" s="89" t="s">
        <v>45</v>
      </c>
      <c r="L14" s="21"/>
      <c r="M14" s="102" t="s">
        <v>46</v>
      </c>
      <c r="O14" s="89"/>
      <c r="P14" s="21"/>
      <c r="Q14" s="89"/>
      <c r="R14" s="21"/>
      <c r="S14" s="89" t="s">
        <v>47</v>
      </c>
      <c r="T14" s="21"/>
      <c r="U14" s="93" t="s">
        <v>48</v>
      </c>
      <c r="V14" s="21"/>
      <c r="W14" s="93" t="s">
        <v>49</v>
      </c>
      <c r="X14" s="21"/>
      <c r="Y14" s="89"/>
      <c r="Z14" s="21"/>
    </row>
    <row r="15" spans="1:26" ht="15" customHeight="1" x14ac:dyDescent="0.25">
      <c r="C15" s="101" t="s">
        <v>42</v>
      </c>
      <c r="D15" s="18">
        <f>(J12+J13)+(V15+V16)*2+(Z27+Z28)*1+(R32+R31)*20+(N35+N34)*8+(R35+R34)*20+(T35+T34)*40+(N38+N37)*12+(P38+P37)*10+(N41+N40)*8+(P41+P40)*8</f>
        <v>0</v>
      </c>
      <c r="E15" s="90" t="s">
        <v>43</v>
      </c>
      <c r="F15" s="22">
        <f>(F18+F19)*2+(F38+F37)/2+(L38+L37)*4</f>
        <v>0</v>
      </c>
      <c r="G15" s="90"/>
      <c r="H15" s="22"/>
      <c r="I15" s="90"/>
      <c r="J15" s="22">
        <f>(V7+V6)*2</f>
        <v>0</v>
      </c>
      <c r="K15" s="90" t="s">
        <v>45</v>
      </c>
      <c r="L15" s="22">
        <f>IF(D23="棱镜",(D21+D22)*2+(D24+D25)*2,(D21+D22)*2)</f>
        <v>0</v>
      </c>
      <c r="M15" s="102"/>
      <c r="N15">
        <f>IF(N11="金伯利矿石",(N13+N12),0)</f>
        <v>0</v>
      </c>
      <c r="O15" s="90"/>
      <c r="P15" s="22"/>
      <c r="Q15" s="90"/>
      <c r="R15" s="22"/>
      <c r="S15" s="90" t="s">
        <v>47</v>
      </c>
      <c r="T15" s="22">
        <f>(H28+H27)+(L22+L21)</f>
        <v>0</v>
      </c>
      <c r="U15" s="94" t="s">
        <v>48</v>
      </c>
      <c r="V15" s="22">
        <f>(V18+V19)*2</f>
        <v>0</v>
      </c>
      <c r="W15" s="94" t="s">
        <v>49</v>
      </c>
      <c r="X15" s="22">
        <f>(X18+X19)*2</f>
        <v>0</v>
      </c>
      <c r="Y15" s="90"/>
      <c r="Z15" s="22"/>
    </row>
    <row r="16" spans="1:26" ht="15" customHeight="1" x14ac:dyDescent="0.25">
      <c r="C16" s="19">
        <f>(D15+D16)*3/勿动!A1</f>
        <v>0</v>
      </c>
      <c r="D16" s="20"/>
      <c r="E16" s="23">
        <f>(F16+F15)*2/勿动!A1/F2</f>
        <v>0</v>
      </c>
      <c r="F16" s="20"/>
      <c r="G16" s="23"/>
      <c r="H16" s="20"/>
      <c r="I16" s="23">
        <f>(J16+J15)*5/2/F2/勿动!A1</f>
        <v>0</v>
      </c>
      <c r="J16" s="20"/>
      <c r="K16" s="23">
        <f>(L16+L15)/F2/勿动!A1</f>
        <v>0</v>
      </c>
      <c r="L16" s="20"/>
      <c r="O16" s="23"/>
      <c r="P16" s="20"/>
      <c r="Q16" s="23"/>
      <c r="R16" s="20"/>
      <c r="S16" s="23">
        <f>(T16+T15)*4/F2/勿动!A1</f>
        <v>0</v>
      </c>
      <c r="T16" s="20"/>
      <c r="U16" s="23">
        <f>(V16+V15)*4/F2/勿动!A1</f>
        <v>0</v>
      </c>
      <c r="V16" s="20"/>
      <c r="W16" s="23">
        <f>(X16+X15)*6/F2/勿动!A1</f>
        <v>0</v>
      </c>
      <c r="X16" s="20"/>
      <c r="Y16" s="23"/>
      <c r="Z16" s="20"/>
    </row>
    <row r="17" spans="3:26" ht="15" customHeight="1" x14ac:dyDescent="0.25">
      <c r="C17" s="89" t="s">
        <v>50</v>
      </c>
      <c r="D17" s="21"/>
      <c r="E17" s="93" t="s">
        <v>51</v>
      </c>
      <c r="F17" s="21"/>
      <c r="G17" s="89"/>
      <c r="H17" s="21"/>
      <c r="I17" s="89" t="s">
        <v>52</v>
      </c>
      <c r="J17" s="21"/>
      <c r="K17" s="89" t="s">
        <v>53</v>
      </c>
      <c r="L17" s="21"/>
      <c r="M17" s="95" t="s">
        <v>54</v>
      </c>
      <c r="N17" s="45" t="s">
        <v>39</v>
      </c>
      <c r="O17" s="89" t="s">
        <v>55</v>
      </c>
      <c r="P17" s="21"/>
      <c r="Q17" s="89"/>
      <c r="R17" s="21"/>
      <c r="S17" s="93" t="s">
        <v>56</v>
      </c>
      <c r="T17" s="21"/>
      <c r="U17" s="93" t="s">
        <v>57</v>
      </c>
      <c r="V17" s="21"/>
      <c r="W17" s="93" t="s">
        <v>58</v>
      </c>
      <c r="X17" s="21"/>
      <c r="Y17" s="91" t="s">
        <v>59</v>
      </c>
      <c r="Z17" s="51"/>
    </row>
    <row r="18" spans="3:26" ht="15" customHeight="1" x14ac:dyDescent="0.25">
      <c r="C18" s="90"/>
      <c r="D18" s="22">
        <f>(F15+F16)+(D35+D34)/3+(J35+J34)*2+(J32+J31)+(L31+L32)*4+(R35+R34)*20+(J38+J37)*2+(D41+D40)*8</f>
        <v>0</v>
      </c>
      <c r="E18" s="94" t="s">
        <v>51</v>
      </c>
      <c r="F18" s="22">
        <f>IF(N20="电磁涡轮",(F21+F22)*2+(N21+N22)*2+(X15+X16)*5+(F35+F34)/3+(H38+H37)/2,(F21+F22)*2+(X15+X16)*5+(F35+F34)/3+(H38+H37)/2)</f>
        <v>0</v>
      </c>
      <c r="G18" s="90"/>
      <c r="H18" s="22"/>
      <c r="I18" s="90" t="s">
        <v>52</v>
      </c>
      <c r="J18" s="22">
        <f>(J21+J22)*2+(D24+D25)+(D28+D27)+(D38+D37)+(J35+J34)+(N32+N31)*4+(J38+J37)*2+(L38+L37)*2+(N38+N37)*6+(P38+P37)*6+(D41+D40)*4+(J41+J40)*4+(P41+P40)*2+(R41+R40)*4</f>
        <v>0</v>
      </c>
      <c r="K18" s="90"/>
      <c r="L18" s="22">
        <f>(L28+L27)/2</f>
        <v>0</v>
      </c>
      <c r="M18" s="96" t="s">
        <v>54</v>
      </c>
      <c r="N18" s="46">
        <f>IF(T8="化工设备",(J12+J13)*2+(T9+T10)*1/2,(J12+J13)*2)</f>
        <v>0</v>
      </c>
      <c r="O18" s="90"/>
      <c r="P18" s="22">
        <f>(Z19+Z18)*10</f>
        <v>0</v>
      </c>
      <c r="Q18" s="90"/>
      <c r="R18" s="22"/>
      <c r="S18" s="94"/>
      <c r="T18" s="22">
        <f>(H22+H21)*2</f>
        <v>0</v>
      </c>
      <c r="U18" s="94" t="s">
        <v>57</v>
      </c>
      <c r="V18" s="22"/>
      <c r="W18" s="94" t="s">
        <v>58</v>
      </c>
      <c r="X18" s="22"/>
      <c r="Y18" s="92"/>
      <c r="Z18" s="52">
        <f>(L19+L18)</f>
        <v>0</v>
      </c>
    </row>
    <row r="19" spans="3:26" ht="15" customHeight="1" x14ac:dyDescent="0.25">
      <c r="C19" s="23">
        <f>(D19+D18)/勿动!A1/F2</f>
        <v>0</v>
      </c>
      <c r="D19" s="20"/>
      <c r="E19" s="23">
        <f>(F19+F18)*2/勿动!A1/F2</f>
        <v>0</v>
      </c>
      <c r="F19" s="20"/>
      <c r="G19" s="23"/>
      <c r="H19" s="20"/>
      <c r="I19" s="23">
        <f>(J19+J18)/2/F2/勿动!A1</f>
        <v>0</v>
      </c>
      <c r="J19" s="20"/>
      <c r="K19" s="23">
        <f>(L19+L18)*6/F2/勿动!A1</f>
        <v>0</v>
      </c>
      <c r="L19" s="20"/>
      <c r="M19" s="47">
        <f>(N19+N18)*6/4/勿动!A1</f>
        <v>0</v>
      </c>
      <c r="N19" s="20"/>
      <c r="O19" s="23"/>
      <c r="P19" s="20"/>
      <c r="Q19" s="23"/>
      <c r="R19" s="20"/>
      <c r="S19" s="23">
        <f>(T19+T18)*4/2/F2/勿动!A1</f>
        <v>0</v>
      </c>
      <c r="T19" s="20"/>
      <c r="U19" s="23">
        <f>(V19+V18)*4/F2/勿动!A1</f>
        <v>0</v>
      </c>
      <c r="V19" s="20"/>
      <c r="W19" s="23">
        <f>(X19+X18)*6/F2/勿动!A1</f>
        <v>0</v>
      </c>
      <c r="X19" s="34"/>
      <c r="Y19" s="53">
        <f>(Z19+Z18)*8/勿动!A1</f>
        <v>0</v>
      </c>
      <c r="Z19" s="20"/>
    </row>
    <row r="20" spans="3:26" ht="15" customHeight="1" x14ac:dyDescent="0.25">
      <c r="C20" s="93" t="s">
        <v>60</v>
      </c>
      <c r="D20" s="21"/>
      <c r="E20" s="93" t="s">
        <v>61</v>
      </c>
      <c r="F20" s="21"/>
      <c r="G20" s="89" t="s">
        <v>62</v>
      </c>
      <c r="H20" s="21"/>
      <c r="I20" s="89" t="s">
        <v>63</v>
      </c>
      <c r="J20" s="21"/>
      <c r="K20" s="93" t="s">
        <v>64</v>
      </c>
      <c r="L20" s="21"/>
      <c r="M20" s="93" t="s">
        <v>65</v>
      </c>
      <c r="N20" s="24" t="s">
        <v>51</v>
      </c>
      <c r="O20" s="89"/>
      <c r="P20" s="21"/>
      <c r="Q20" s="89"/>
      <c r="R20" s="21"/>
      <c r="S20" s="89"/>
      <c r="T20" s="21"/>
      <c r="U20" s="93" t="s">
        <v>66</v>
      </c>
      <c r="V20" s="21"/>
      <c r="W20" s="89"/>
      <c r="X20" s="21"/>
      <c r="Y20" s="89"/>
      <c r="Z20" s="21"/>
    </row>
    <row r="21" spans="3:26" ht="15" customHeight="1" x14ac:dyDescent="0.25">
      <c r="C21" s="94" t="s">
        <v>60</v>
      </c>
      <c r="D21" s="22">
        <f>(F31+F32)*3+(N38+N37)*4+(P38+P37)*6</f>
        <v>0</v>
      </c>
      <c r="E21" s="94" t="s">
        <v>67</v>
      </c>
      <c r="F21" s="22">
        <f>(H35+H34)/3+(P32+P31)*6+(R32+R31)*20+(R35+R34)*10</f>
        <v>0</v>
      </c>
      <c r="G21" s="90"/>
      <c r="H21" s="22">
        <f>(J28+J27)</f>
        <v>0</v>
      </c>
      <c r="I21" s="90" t="s">
        <v>63</v>
      </c>
      <c r="J21" s="22">
        <f>(V18+V19)*2+(X18+X19)*10+(R32+R31)*5+(R35+R34)*5+(T35+T34)*40+(F41+F40)*4+(N41+N40)+(J28+J27)*2+(X7+X6)*2</f>
        <v>0</v>
      </c>
      <c r="K21" s="94"/>
      <c r="L21" s="22">
        <f>(V7+V6)</f>
        <v>0</v>
      </c>
      <c r="M21" s="94" t="s">
        <v>65</v>
      </c>
      <c r="N21" s="22">
        <f>(T35+T34)*20+(T38+T37)*20+(Z19+Z18)*2</f>
        <v>0</v>
      </c>
      <c r="O21" s="90"/>
      <c r="P21" s="22"/>
      <c r="Q21" s="90"/>
      <c r="R21" s="22"/>
      <c r="S21" s="90"/>
      <c r="T21" s="22"/>
      <c r="U21" s="94" t="s">
        <v>66</v>
      </c>
      <c r="V21" s="22"/>
      <c r="W21" s="90"/>
      <c r="X21" s="22"/>
      <c r="Y21" s="90"/>
      <c r="Z21" s="22"/>
    </row>
    <row r="22" spans="3:26" ht="15" customHeight="1" x14ac:dyDescent="0.25">
      <c r="C22" s="23">
        <f>(D22+D21)*2/勿动!A1/F2</f>
        <v>0</v>
      </c>
      <c r="D22" s="20"/>
      <c r="E22" s="23">
        <f>(F22+F21)*3/勿动!A1/F2</f>
        <v>0</v>
      </c>
      <c r="F22" s="20"/>
      <c r="G22" s="23">
        <f>(H22+H21)*8/F2/勿动!A1</f>
        <v>0</v>
      </c>
      <c r="H22" s="20"/>
      <c r="I22" s="23">
        <f>(J22+J21)*3/F2/勿动!A1</f>
        <v>0</v>
      </c>
      <c r="J22" s="20"/>
      <c r="K22" s="23">
        <f>(L22+L21)*4/F2/勿动!A1</f>
        <v>0</v>
      </c>
      <c r="L22" s="20"/>
      <c r="M22" s="23">
        <f>(N22+N21)*4/F2/勿动!A1</f>
        <v>0</v>
      </c>
      <c r="N22" s="20"/>
      <c r="O22" s="23"/>
      <c r="P22" s="20"/>
      <c r="Q22" s="23"/>
      <c r="R22" s="20"/>
      <c r="S22" s="23"/>
      <c r="T22" s="20"/>
      <c r="U22" s="23">
        <f>(V22+V21)*4/2/F2/勿动!A1</f>
        <v>0</v>
      </c>
      <c r="V22" s="20"/>
      <c r="W22" s="23"/>
      <c r="X22" s="20"/>
      <c r="Y22" s="23"/>
      <c r="Z22" s="20"/>
    </row>
    <row r="23" spans="3:26" ht="15" customHeight="1" x14ac:dyDescent="0.25">
      <c r="C23" s="93" t="s">
        <v>68</v>
      </c>
      <c r="D23" s="24" t="s">
        <v>45</v>
      </c>
      <c r="E23" s="97" t="s">
        <v>69</v>
      </c>
      <c r="G23" s="89" t="s">
        <v>70</v>
      </c>
      <c r="H23" s="21"/>
      <c r="I23" s="89"/>
      <c r="J23" s="21"/>
      <c r="K23" s="89"/>
      <c r="L23" s="21"/>
      <c r="M23" s="97" t="s">
        <v>71</v>
      </c>
      <c r="O23" s="89"/>
      <c r="P23" s="21"/>
      <c r="Q23" s="89"/>
      <c r="R23" s="21"/>
      <c r="S23" s="89"/>
      <c r="T23" s="21"/>
      <c r="U23" s="89"/>
      <c r="V23" s="21"/>
      <c r="W23" s="89"/>
      <c r="X23" s="21"/>
      <c r="Y23" s="89"/>
      <c r="Z23" s="21"/>
    </row>
    <row r="24" spans="3:26" ht="15" customHeight="1" x14ac:dyDescent="0.25">
      <c r="C24" s="94" t="s">
        <v>68</v>
      </c>
      <c r="D24" s="22">
        <f>(V21+V22)*1/2+(R32+R31)*10</f>
        <v>0</v>
      </c>
      <c r="E24" s="97"/>
      <c r="F24" s="10">
        <f>IF(D23="光栅石",(D24+D25),0)</f>
        <v>0</v>
      </c>
      <c r="G24" s="90" t="s">
        <v>70</v>
      </c>
      <c r="H24" s="22">
        <f>(J21+J22)*2</f>
        <v>0</v>
      </c>
      <c r="I24" s="90"/>
      <c r="J24" s="22"/>
      <c r="K24" s="90"/>
      <c r="L24" s="22"/>
      <c r="M24" s="97"/>
      <c r="N24" s="10">
        <f>IF(N20="单极磁石",(N22+N21)*10,0)</f>
        <v>0</v>
      </c>
      <c r="O24" s="90"/>
      <c r="P24" s="22"/>
      <c r="Q24" s="90"/>
      <c r="R24" s="22"/>
      <c r="S24" s="90"/>
      <c r="T24" s="22"/>
      <c r="U24" s="90"/>
      <c r="V24" s="22"/>
      <c r="W24" s="90"/>
      <c r="X24" s="22"/>
      <c r="Y24" s="90"/>
      <c r="Z24" s="22"/>
    </row>
    <row r="25" spans="3:26" ht="15" customHeight="1" x14ac:dyDescent="0.25">
      <c r="C25" s="23">
        <f>(D25+D24)*3/勿动!A1/F2</f>
        <v>0</v>
      </c>
      <c r="D25" s="20"/>
      <c r="G25" s="23">
        <f>(H25+H24)*2/F2/勿动!A1</f>
        <v>0</v>
      </c>
      <c r="H25" s="20"/>
      <c r="I25" s="23"/>
      <c r="J25" s="20"/>
      <c r="K25" s="23"/>
      <c r="L25" s="20"/>
      <c r="O25" s="23"/>
      <c r="P25" s="20"/>
      <c r="Q25" s="23"/>
      <c r="R25" s="20"/>
      <c r="S25" s="23"/>
      <c r="T25" s="20"/>
      <c r="U25" s="23"/>
      <c r="V25" s="20"/>
      <c r="W25" s="23"/>
      <c r="X25" s="20"/>
      <c r="Y25" s="23"/>
      <c r="Z25" s="20"/>
    </row>
    <row r="26" spans="3:26" ht="15" customHeight="1" x14ac:dyDescent="0.25">
      <c r="C26" s="98" t="s">
        <v>72</v>
      </c>
      <c r="D26" s="25"/>
      <c r="E26" s="98" t="s">
        <v>73</v>
      </c>
      <c r="F26" s="25"/>
      <c r="G26" s="98" t="s">
        <v>74</v>
      </c>
      <c r="H26" s="25"/>
      <c r="I26" s="98" t="s">
        <v>75</v>
      </c>
      <c r="J26" s="25"/>
      <c r="K26" s="98" t="s">
        <v>76</v>
      </c>
      <c r="L26" s="25"/>
      <c r="M26" s="89"/>
      <c r="N26" s="21"/>
      <c r="O26" s="89"/>
      <c r="P26" s="21"/>
      <c r="Q26" s="89"/>
      <c r="R26" s="21"/>
      <c r="S26" s="89"/>
      <c r="T26" s="21"/>
      <c r="U26" s="89"/>
      <c r="V26" s="21"/>
      <c r="W26" s="89"/>
      <c r="X26" s="21"/>
      <c r="Y26" s="93" t="s">
        <v>77</v>
      </c>
      <c r="Z26" s="21"/>
    </row>
    <row r="27" spans="3:26" ht="15" customHeight="1" x14ac:dyDescent="0.25">
      <c r="C27" s="99"/>
      <c r="D27" s="26">
        <f>N27+N28</f>
        <v>0</v>
      </c>
      <c r="E27" s="99"/>
      <c r="F27" s="26">
        <f>N27+N28</f>
        <v>0</v>
      </c>
      <c r="G27" s="99"/>
      <c r="H27" s="26">
        <f>N27+N28</f>
        <v>0</v>
      </c>
      <c r="I27" s="99"/>
      <c r="J27" s="26">
        <f>N27+N28</f>
        <v>0</v>
      </c>
      <c r="K27" s="99"/>
      <c r="L27" s="26">
        <f>N27+N28</f>
        <v>0</v>
      </c>
      <c r="M27" s="90"/>
      <c r="N27" s="22"/>
      <c r="O27" s="90"/>
      <c r="P27" s="22"/>
      <c r="Q27" s="90"/>
      <c r="R27" s="22"/>
      <c r="S27" s="90"/>
      <c r="T27" s="22"/>
      <c r="U27" s="90"/>
      <c r="V27" s="22"/>
      <c r="W27" s="90"/>
      <c r="X27" s="22"/>
      <c r="Y27" s="94" t="s">
        <v>77</v>
      </c>
      <c r="Z27" s="22"/>
    </row>
    <row r="28" spans="3:26" ht="15" customHeight="1" x14ac:dyDescent="0.25">
      <c r="C28" s="27">
        <f>(D28+D27)*3/勿动!A1</f>
        <v>0</v>
      </c>
      <c r="D28" s="20"/>
      <c r="E28" s="27">
        <f>(F28+F27)*6/勿动!A1</f>
        <v>0</v>
      </c>
      <c r="F28" s="20"/>
      <c r="G28" s="27">
        <f>(H28+H27)*8/勿动!A1</f>
        <v>0</v>
      </c>
      <c r="H28" s="20"/>
      <c r="I28" s="35">
        <f>(J28+J27)*10/勿动!A1</f>
        <v>0</v>
      </c>
      <c r="J28" s="20"/>
      <c r="K28" s="35">
        <f>(L28+L27)*24/2/勿动!A1</f>
        <v>0</v>
      </c>
      <c r="L28" s="20"/>
      <c r="M28" s="23"/>
      <c r="N28" s="20"/>
      <c r="O28" s="23"/>
      <c r="P28" s="20"/>
      <c r="Q28" s="23"/>
      <c r="R28" s="20"/>
      <c r="S28" s="23"/>
      <c r="T28" s="20"/>
      <c r="U28" s="23"/>
      <c r="V28" s="20"/>
      <c r="W28" s="23"/>
      <c r="X28" s="20"/>
      <c r="Y28" s="23">
        <f>(Z28+Z27)/F2/勿动!A1</f>
        <v>0</v>
      </c>
      <c r="Z28" s="20"/>
    </row>
    <row r="29" spans="3:26" ht="5.0999999999999996" customHeight="1" x14ac:dyDescent="0.25"/>
    <row r="30" spans="3:26" ht="15" customHeight="1" x14ac:dyDescent="0.25">
      <c r="C30" s="93" t="s">
        <v>78</v>
      </c>
      <c r="D30" s="28"/>
      <c r="E30" s="93" t="s">
        <v>79</v>
      </c>
      <c r="F30" s="28"/>
      <c r="G30" s="89"/>
      <c r="H30" s="28"/>
      <c r="I30" s="93" t="s">
        <v>80</v>
      </c>
      <c r="J30" s="28"/>
      <c r="K30" s="93" t="s">
        <v>81</v>
      </c>
      <c r="L30" s="28"/>
      <c r="M30" s="93" t="s">
        <v>82</v>
      </c>
      <c r="N30" s="28"/>
      <c r="O30" s="93" t="s">
        <v>83</v>
      </c>
      <c r="P30" s="28"/>
      <c r="Q30" s="93" t="s">
        <v>84</v>
      </c>
      <c r="R30" s="28"/>
      <c r="S30" s="89"/>
      <c r="T30" s="28"/>
      <c r="U30" s="89"/>
      <c r="V30" s="28"/>
      <c r="W30" s="89"/>
      <c r="X30" s="28"/>
      <c r="Y30" s="89"/>
      <c r="Z30" s="28"/>
    </row>
    <row r="31" spans="3:26" ht="15" customHeight="1" x14ac:dyDescent="0.25">
      <c r="C31" s="94" t="s">
        <v>78</v>
      </c>
      <c r="D31" s="29">
        <f>(F31+F32)</f>
        <v>0</v>
      </c>
      <c r="E31" s="94" t="s">
        <v>79</v>
      </c>
      <c r="F31" s="22"/>
      <c r="G31" s="90"/>
      <c r="H31" s="22"/>
      <c r="I31" s="94"/>
      <c r="J31" s="22"/>
      <c r="K31" s="94"/>
      <c r="L31" s="22"/>
      <c r="M31" s="94"/>
      <c r="N31" s="22"/>
      <c r="O31" s="94"/>
      <c r="P31" s="22"/>
      <c r="Q31" s="94"/>
      <c r="R31" s="22"/>
      <c r="S31" s="90"/>
      <c r="T31" s="22"/>
      <c r="U31" s="90"/>
      <c r="V31" s="22"/>
      <c r="W31" s="90"/>
      <c r="X31" s="22"/>
      <c r="Y31" s="90"/>
      <c r="Z31" s="22"/>
    </row>
    <row r="32" spans="3:26" ht="15" customHeight="1" x14ac:dyDescent="0.25">
      <c r="C32" s="23">
        <f>(D32+D31)/F2/勿动!A1</f>
        <v>0</v>
      </c>
      <c r="D32" s="20"/>
      <c r="E32" s="23">
        <f>(F32+F31)*3/F2/勿动!A1</f>
        <v>0</v>
      </c>
      <c r="F32" s="34"/>
      <c r="G32" s="23"/>
      <c r="H32" s="20"/>
      <c r="I32" s="23">
        <f>(J32+J31)*4/F2/勿动!A1</f>
        <v>0</v>
      </c>
      <c r="J32" s="20"/>
      <c r="K32" s="23">
        <f>(L32+L31)*5/F2/勿动!A1</f>
        <v>0</v>
      </c>
      <c r="L32" s="20"/>
      <c r="M32" s="23">
        <f>(N32+N31)*5/F2/勿动!A1</f>
        <v>0</v>
      </c>
      <c r="N32" s="20"/>
      <c r="O32" s="23">
        <f>(P32+P31)*5/F2/勿动!A1</f>
        <v>0</v>
      </c>
      <c r="P32" s="20"/>
      <c r="Q32" s="23">
        <f>(R32+R31)*8/F2/勿动!A1</f>
        <v>0</v>
      </c>
      <c r="R32" s="20"/>
      <c r="S32" s="23"/>
      <c r="T32" s="20"/>
      <c r="U32" s="23"/>
      <c r="V32" s="20"/>
      <c r="W32" s="23"/>
      <c r="X32" s="20"/>
      <c r="Y32" s="23"/>
      <c r="Z32" s="20"/>
    </row>
    <row r="33" spans="3:26" ht="15" customHeight="1" x14ac:dyDescent="0.25">
      <c r="C33" s="93" t="s">
        <v>85</v>
      </c>
      <c r="D33" s="28"/>
      <c r="E33" s="93" t="s">
        <v>86</v>
      </c>
      <c r="F33" s="28"/>
      <c r="G33" s="93" t="s">
        <v>87</v>
      </c>
      <c r="H33" s="28"/>
      <c r="I33" s="93" t="s">
        <v>88</v>
      </c>
      <c r="J33" s="28"/>
      <c r="K33" s="93" t="s">
        <v>89</v>
      </c>
      <c r="L33" s="28"/>
      <c r="M33" s="93" t="s">
        <v>90</v>
      </c>
      <c r="N33" s="28"/>
      <c r="O33" s="93" t="s">
        <v>91</v>
      </c>
      <c r="P33" s="28"/>
      <c r="Q33" s="93" t="s">
        <v>92</v>
      </c>
      <c r="R33" s="28"/>
      <c r="S33" s="93" t="s">
        <v>93</v>
      </c>
      <c r="T33" s="28"/>
      <c r="U33" s="89"/>
      <c r="V33" s="28"/>
      <c r="W33" s="89"/>
      <c r="X33" s="28"/>
      <c r="Y33" s="89"/>
      <c r="Z33" s="28"/>
    </row>
    <row r="34" spans="3:26" ht="15" customHeight="1" x14ac:dyDescent="0.25">
      <c r="C34" s="94"/>
      <c r="D34" s="22">
        <f>(F35+F34)</f>
        <v>0</v>
      </c>
      <c r="E34" s="94"/>
      <c r="F34" s="22">
        <f>(H35+H34)</f>
        <v>0</v>
      </c>
      <c r="G34" s="94"/>
      <c r="H34" s="22"/>
      <c r="I34" s="94"/>
      <c r="J34" s="22"/>
      <c r="K34" s="94"/>
      <c r="L34" s="22"/>
      <c r="M34" s="94"/>
      <c r="N34" s="22"/>
      <c r="O34" s="94"/>
      <c r="P34" s="22"/>
      <c r="Q34" s="94"/>
      <c r="R34" s="22"/>
      <c r="S34" s="94"/>
      <c r="T34" s="22">
        <f>(T38+T37)</f>
        <v>0</v>
      </c>
      <c r="U34" s="90"/>
      <c r="V34" s="22"/>
      <c r="W34" s="90"/>
      <c r="X34" s="22"/>
      <c r="Y34" s="90"/>
      <c r="Z34" s="22"/>
    </row>
    <row r="35" spans="3:26" ht="15" customHeight="1" x14ac:dyDescent="0.25">
      <c r="C35" s="23">
        <f>(D35+D34)/3/F2/勿动!A1</f>
        <v>0</v>
      </c>
      <c r="D35" s="20"/>
      <c r="E35" s="23">
        <f>(F35+F34)/3/$F$2/勿动!$A$1</f>
        <v>0</v>
      </c>
      <c r="F35" s="20"/>
      <c r="G35" s="23">
        <f>(H35+H34)/3/$F$2/勿动!$A$1</f>
        <v>0</v>
      </c>
      <c r="H35" s="20"/>
      <c r="I35" s="23">
        <f>(J35+J34)*2/F2/勿动!A1</f>
        <v>0</v>
      </c>
      <c r="J35" s="34"/>
      <c r="K35" s="23">
        <f>(L35+L34)*2/F2/勿动!A1</f>
        <v>0</v>
      </c>
      <c r="L35" s="20"/>
      <c r="M35" s="23">
        <f>(N35+N34)*4/F2/勿动!A1</f>
        <v>0</v>
      </c>
      <c r="N35" s="20"/>
      <c r="O35" s="23">
        <f>(P35+P34)*2/F2/勿动!A1</f>
        <v>0</v>
      </c>
      <c r="P35" s="20"/>
      <c r="Q35" s="23">
        <f>(R35+R34)*6/F2/勿动!A1</f>
        <v>0</v>
      </c>
      <c r="R35" s="20"/>
      <c r="S35" s="23">
        <f>(T35+T34)*20/F2/勿动!A1</f>
        <v>0</v>
      </c>
      <c r="T35" s="20"/>
      <c r="U35" s="23"/>
      <c r="V35" s="20"/>
      <c r="W35" s="23"/>
      <c r="X35" s="20"/>
      <c r="Y35" s="23"/>
      <c r="Z35" s="20"/>
    </row>
    <row r="36" spans="3:26" ht="15" customHeight="1" x14ac:dyDescent="0.25">
      <c r="C36" s="93" t="s">
        <v>94</v>
      </c>
      <c r="D36" s="28"/>
      <c r="E36" s="93" t="s">
        <v>95</v>
      </c>
      <c r="F36" s="28"/>
      <c r="G36" s="93" t="s">
        <v>96</v>
      </c>
      <c r="H36" s="28"/>
      <c r="I36" s="89" t="s">
        <v>97</v>
      </c>
      <c r="J36" s="28"/>
      <c r="K36" s="89" t="s">
        <v>98</v>
      </c>
      <c r="L36" s="28"/>
      <c r="M36" s="89" t="s">
        <v>99</v>
      </c>
      <c r="N36" s="28"/>
      <c r="O36" s="89" t="s">
        <v>100</v>
      </c>
      <c r="P36" s="28"/>
      <c r="Q36" s="89"/>
      <c r="R36" s="28"/>
      <c r="S36" s="93" t="s">
        <v>101</v>
      </c>
      <c r="T36" s="28"/>
      <c r="U36" s="89"/>
      <c r="V36" s="28"/>
      <c r="W36" s="89"/>
      <c r="X36" s="28"/>
      <c r="Y36" s="89"/>
      <c r="Z36" s="28"/>
    </row>
    <row r="37" spans="3:26" ht="15" customHeight="1" x14ac:dyDescent="0.25">
      <c r="C37" s="94"/>
      <c r="D37" s="22">
        <f>(F38+F37)</f>
        <v>0</v>
      </c>
      <c r="E37" s="94"/>
      <c r="F37" s="22">
        <f>(H38+H37)</f>
        <v>0</v>
      </c>
      <c r="G37" s="94"/>
      <c r="H37" s="22"/>
      <c r="I37" s="90"/>
      <c r="J37" s="22"/>
      <c r="K37" s="90"/>
      <c r="L37" s="22"/>
      <c r="M37" s="90"/>
      <c r="N37" s="22"/>
      <c r="O37" s="90"/>
      <c r="P37" s="22"/>
      <c r="Q37" s="90"/>
      <c r="R37" s="22"/>
      <c r="S37" s="94"/>
      <c r="T37" s="22"/>
      <c r="U37" s="90"/>
      <c r="V37" s="22"/>
      <c r="W37" s="90"/>
      <c r="X37" s="22"/>
      <c r="Y37" s="90"/>
      <c r="Z37" s="22"/>
    </row>
    <row r="38" spans="3:26" ht="15" customHeight="1" x14ac:dyDescent="0.25">
      <c r="C38" s="23">
        <f>(D38+D37)/F2/勿动!A1</f>
        <v>0</v>
      </c>
      <c r="D38" s="20"/>
      <c r="E38" s="23">
        <f>(F38+F37)/2/F2/勿动!A1</f>
        <v>0</v>
      </c>
      <c r="F38" s="20"/>
      <c r="G38" s="23">
        <f>(H38+H37)/2/F2/勿动!A1</f>
        <v>0</v>
      </c>
      <c r="H38" s="20"/>
      <c r="I38" s="23">
        <f>(J38+J37)*3/F2/勿动!A1</f>
        <v>0</v>
      </c>
      <c r="J38" s="20"/>
      <c r="K38" s="23">
        <f>(L38+L37)*4/F2/勿动!A1</f>
        <v>0</v>
      </c>
      <c r="L38" s="20"/>
      <c r="M38" s="23">
        <f>(N38+N37)*8/F2/勿动!A1</f>
        <v>0</v>
      </c>
      <c r="N38" s="20"/>
      <c r="O38" s="23">
        <f>(P38+P37)*6/F2/勿动!A1</f>
        <v>0</v>
      </c>
      <c r="P38" s="20"/>
      <c r="Q38" s="23"/>
      <c r="R38" s="20"/>
      <c r="S38" s="23">
        <f>(T38+T37)*30/F2/勿动!A1</f>
        <v>0</v>
      </c>
      <c r="T38" s="20"/>
      <c r="U38" s="23"/>
      <c r="V38" s="20"/>
      <c r="W38" s="23"/>
      <c r="X38" s="20"/>
      <c r="Y38" s="23"/>
      <c r="Z38" s="20"/>
    </row>
    <row r="39" spans="3:26" x14ac:dyDescent="0.25">
      <c r="C39" s="93" t="s">
        <v>102</v>
      </c>
      <c r="D39" s="28"/>
      <c r="E39" s="93" t="s">
        <v>103</v>
      </c>
      <c r="F39" s="28"/>
      <c r="G39" s="93" t="s">
        <v>104</v>
      </c>
      <c r="H39" s="28"/>
      <c r="I39" s="89" t="s">
        <v>105</v>
      </c>
      <c r="J39" s="28"/>
      <c r="K39" s="89"/>
      <c r="L39" s="28"/>
      <c r="M39" s="89" t="s">
        <v>106</v>
      </c>
      <c r="N39" s="28"/>
      <c r="O39" s="89" t="s">
        <v>107</v>
      </c>
      <c r="P39" s="28"/>
      <c r="Q39" s="89" t="s">
        <v>108</v>
      </c>
      <c r="R39" s="28"/>
      <c r="S39" s="89"/>
      <c r="T39" s="28"/>
      <c r="U39" s="89"/>
      <c r="V39" s="28"/>
      <c r="W39" s="89"/>
      <c r="X39" s="28"/>
      <c r="Y39" s="89"/>
      <c r="Z39" s="28"/>
    </row>
    <row r="40" spans="3:26" x14ac:dyDescent="0.25">
      <c r="C40" s="94"/>
      <c r="D40" s="22">
        <f>(F41+F40)</f>
        <v>0</v>
      </c>
      <c r="E40" s="94"/>
      <c r="F40" s="22"/>
      <c r="G40" s="94"/>
      <c r="H40" s="22"/>
      <c r="I40" s="90"/>
      <c r="J40" s="22"/>
      <c r="K40" s="90"/>
      <c r="L40" s="22"/>
      <c r="M40" s="90"/>
      <c r="N40" s="22"/>
      <c r="O40" s="90"/>
      <c r="P40" s="22"/>
      <c r="Q40" s="90"/>
      <c r="R40" s="22"/>
      <c r="S40" s="90"/>
      <c r="T40" s="22"/>
      <c r="U40" s="90"/>
      <c r="V40" s="22"/>
      <c r="W40" s="90"/>
      <c r="X40" s="22"/>
      <c r="Y40" s="90"/>
      <c r="Z40" s="22"/>
    </row>
    <row r="41" spans="3:26" x14ac:dyDescent="0.25">
      <c r="C41" s="23">
        <f>(D41+D40)*2/F2/勿动!A1</f>
        <v>0</v>
      </c>
      <c r="D41" s="20"/>
      <c r="E41" s="23">
        <f>(F41+F40)*3/F2/勿动!A1</f>
        <v>0</v>
      </c>
      <c r="F41" s="20"/>
      <c r="G41" s="23"/>
      <c r="H41" s="20"/>
      <c r="I41" s="23">
        <f>(J41+J40)*3/F2/勿动!A1</f>
        <v>0</v>
      </c>
      <c r="J41" s="20"/>
      <c r="K41" s="23"/>
      <c r="L41" s="20"/>
      <c r="M41" s="23">
        <f>(N41+N40)*3/F2/勿动!A1</f>
        <v>0</v>
      </c>
      <c r="N41" s="20"/>
      <c r="O41" s="23">
        <f>(P41+P40)*5/F2/勿动!A1</f>
        <v>0</v>
      </c>
      <c r="P41" s="20"/>
      <c r="Q41" s="23">
        <f>(R41+R40)*3/F2/勿动!A1</f>
        <v>0</v>
      </c>
      <c r="R41" s="20"/>
      <c r="S41" s="23"/>
      <c r="T41" s="20"/>
      <c r="U41" s="23"/>
      <c r="V41" s="20"/>
      <c r="W41" s="23"/>
      <c r="X41" s="20"/>
      <c r="Y41" s="23"/>
      <c r="Z41" s="20"/>
    </row>
    <row r="42" spans="3:26" x14ac:dyDescent="0.25">
      <c r="C42" s="89"/>
      <c r="D42" s="28"/>
      <c r="E42" s="89"/>
      <c r="F42" s="28"/>
      <c r="G42" s="89"/>
      <c r="H42" s="28"/>
      <c r="I42" s="89"/>
      <c r="J42" s="28"/>
      <c r="K42" s="89"/>
      <c r="L42" s="28"/>
      <c r="M42" s="89"/>
      <c r="N42" s="28"/>
      <c r="O42" s="89"/>
      <c r="P42" s="28"/>
      <c r="Q42" s="89"/>
      <c r="R42" s="28"/>
      <c r="S42" s="89"/>
      <c r="T42" s="28"/>
      <c r="U42" s="89"/>
      <c r="V42" s="28"/>
      <c r="W42" s="89"/>
      <c r="X42" s="28"/>
      <c r="Y42" s="89"/>
      <c r="Z42" s="28"/>
    </row>
    <row r="43" spans="3:26" x14ac:dyDescent="0.25">
      <c r="C43" s="90"/>
      <c r="D43" s="22"/>
      <c r="E43" s="90"/>
      <c r="F43" s="22"/>
      <c r="G43" s="90"/>
      <c r="H43" s="22"/>
      <c r="I43" s="90"/>
      <c r="J43" s="22"/>
      <c r="K43" s="90"/>
      <c r="L43" s="22"/>
      <c r="M43" s="90"/>
      <c r="N43" s="22"/>
      <c r="O43" s="90"/>
      <c r="P43" s="22"/>
      <c r="Q43" s="90"/>
      <c r="R43" s="22"/>
      <c r="S43" s="90"/>
      <c r="T43" s="22"/>
      <c r="U43" s="90"/>
      <c r="V43" s="22"/>
      <c r="W43" s="90"/>
      <c r="X43" s="22"/>
      <c r="Y43" s="90"/>
      <c r="Z43" s="22"/>
    </row>
    <row r="44" spans="3:26" x14ac:dyDescent="0.25">
      <c r="C44" s="23"/>
      <c r="D44" s="20"/>
      <c r="E44" s="23"/>
      <c r="F44" s="20"/>
      <c r="G44" s="23"/>
      <c r="H44" s="20"/>
      <c r="I44" s="23"/>
      <c r="J44" s="20"/>
      <c r="K44" s="23"/>
      <c r="L44" s="20"/>
      <c r="M44" s="23"/>
      <c r="N44" s="20"/>
      <c r="O44" s="23"/>
      <c r="P44" s="20"/>
      <c r="Q44" s="23"/>
      <c r="R44" s="20"/>
      <c r="S44" s="23"/>
      <c r="T44" s="20"/>
      <c r="U44" s="23"/>
      <c r="V44" s="20"/>
      <c r="W44" s="23"/>
      <c r="X44" s="20"/>
      <c r="Y44" s="23"/>
      <c r="Z44" s="20"/>
    </row>
  </sheetData>
  <mergeCells count="150">
    <mergeCell ref="O2:P2"/>
    <mergeCell ref="S2:T2"/>
    <mergeCell ref="A2:A3"/>
    <mergeCell ref="C8:C9"/>
    <mergeCell ref="C11:C12"/>
    <mergeCell ref="C14:C15"/>
    <mergeCell ref="C17:C18"/>
    <mergeCell ref="C20:C21"/>
    <mergeCell ref="C23:C24"/>
    <mergeCell ref="G8:G9"/>
    <mergeCell ref="G11:G12"/>
    <mergeCell ref="G14:G15"/>
    <mergeCell ref="G17:G18"/>
    <mergeCell ref="G20:G21"/>
    <mergeCell ref="G23:G24"/>
    <mergeCell ref="K8:K9"/>
    <mergeCell ref="K11:K12"/>
    <mergeCell ref="K14:K15"/>
    <mergeCell ref="K17:K18"/>
    <mergeCell ref="K20:K21"/>
    <mergeCell ref="K23:K24"/>
    <mergeCell ref="O8:O9"/>
    <mergeCell ref="O12:O13"/>
    <mergeCell ref="O14:O15"/>
    <mergeCell ref="C26:C27"/>
    <mergeCell ref="C30:C31"/>
    <mergeCell ref="C33:C34"/>
    <mergeCell ref="C36:C37"/>
    <mergeCell ref="C39:C40"/>
    <mergeCell ref="C42:C43"/>
    <mergeCell ref="E8:E9"/>
    <mergeCell ref="E11:E12"/>
    <mergeCell ref="E14:E15"/>
    <mergeCell ref="E17:E18"/>
    <mergeCell ref="E20:E21"/>
    <mergeCell ref="E23:E24"/>
    <mergeCell ref="E26:E27"/>
    <mergeCell ref="E30:E31"/>
    <mergeCell ref="E33:E34"/>
    <mergeCell ref="E36:E37"/>
    <mergeCell ref="E39:E40"/>
    <mergeCell ref="E42:E43"/>
    <mergeCell ref="G26:G27"/>
    <mergeCell ref="G30:G31"/>
    <mergeCell ref="G33:G34"/>
    <mergeCell ref="G36:G37"/>
    <mergeCell ref="G39:G40"/>
    <mergeCell ref="G42:G43"/>
    <mergeCell ref="I8:I9"/>
    <mergeCell ref="I11:I12"/>
    <mergeCell ref="I14:I15"/>
    <mergeCell ref="I17:I18"/>
    <mergeCell ref="I20:I21"/>
    <mergeCell ref="I23:I24"/>
    <mergeCell ref="I26:I27"/>
    <mergeCell ref="I30:I31"/>
    <mergeCell ref="I33:I34"/>
    <mergeCell ref="I36:I37"/>
    <mergeCell ref="I39:I40"/>
    <mergeCell ref="I42:I43"/>
    <mergeCell ref="K26:K27"/>
    <mergeCell ref="K30:K31"/>
    <mergeCell ref="K33:K34"/>
    <mergeCell ref="K36:K37"/>
    <mergeCell ref="K39:K40"/>
    <mergeCell ref="K42:K43"/>
    <mergeCell ref="M8:M9"/>
    <mergeCell ref="M11:M12"/>
    <mergeCell ref="M14:M15"/>
    <mergeCell ref="M17:M18"/>
    <mergeCell ref="M20:M21"/>
    <mergeCell ref="M23:M24"/>
    <mergeCell ref="M26:M27"/>
    <mergeCell ref="M30:M31"/>
    <mergeCell ref="M33:M34"/>
    <mergeCell ref="M36:M37"/>
    <mergeCell ref="M39:M40"/>
    <mergeCell ref="M42:M43"/>
    <mergeCell ref="O17:O18"/>
    <mergeCell ref="O20:O21"/>
    <mergeCell ref="O23:O24"/>
    <mergeCell ref="O26:O27"/>
    <mergeCell ref="O30:O31"/>
    <mergeCell ref="O33:O34"/>
    <mergeCell ref="O36:O37"/>
    <mergeCell ref="O39:O40"/>
    <mergeCell ref="O42:O43"/>
    <mergeCell ref="Q36:Q37"/>
    <mergeCell ref="Q39:Q40"/>
    <mergeCell ref="Q42:Q43"/>
    <mergeCell ref="S8:S9"/>
    <mergeCell ref="S11:S12"/>
    <mergeCell ref="S14:S15"/>
    <mergeCell ref="S17:S18"/>
    <mergeCell ref="S20:S21"/>
    <mergeCell ref="S23:S24"/>
    <mergeCell ref="S26:S27"/>
    <mergeCell ref="S30:S31"/>
    <mergeCell ref="S33:S34"/>
    <mergeCell ref="S36:S37"/>
    <mergeCell ref="S39:S40"/>
    <mergeCell ref="S42:S43"/>
    <mergeCell ref="Q8:Q9"/>
    <mergeCell ref="Q11:Q12"/>
    <mergeCell ref="Q14:Q15"/>
    <mergeCell ref="Q17:Q18"/>
    <mergeCell ref="Q20:Q21"/>
    <mergeCell ref="Q23:Q24"/>
    <mergeCell ref="Q26:Q27"/>
    <mergeCell ref="Q30:Q31"/>
    <mergeCell ref="Q33:Q34"/>
    <mergeCell ref="W26:W27"/>
    <mergeCell ref="W30:W31"/>
    <mergeCell ref="W33:W34"/>
    <mergeCell ref="W36:W37"/>
    <mergeCell ref="W39:W40"/>
    <mergeCell ref="W42:W43"/>
    <mergeCell ref="U5:U6"/>
    <mergeCell ref="U8:U9"/>
    <mergeCell ref="U11:U12"/>
    <mergeCell ref="U14:U15"/>
    <mergeCell ref="U17:U18"/>
    <mergeCell ref="U20:U21"/>
    <mergeCell ref="U23:U24"/>
    <mergeCell ref="U26:U27"/>
    <mergeCell ref="U30:U31"/>
    <mergeCell ref="B1:B2"/>
    <mergeCell ref="Y36:Y37"/>
    <mergeCell ref="Y39:Y40"/>
    <mergeCell ref="Y42:Y43"/>
    <mergeCell ref="Y8:Y9"/>
    <mergeCell ref="Y11:Y12"/>
    <mergeCell ref="Y14:Y15"/>
    <mergeCell ref="Y17:Y18"/>
    <mergeCell ref="Y20:Y21"/>
    <mergeCell ref="Y23:Y24"/>
    <mergeCell ref="Y26:Y27"/>
    <mergeCell ref="Y30:Y31"/>
    <mergeCell ref="Y33:Y34"/>
    <mergeCell ref="U33:U34"/>
    <mergeCell ref="U36:U37"/>
    <mergeCell ref="U39:U40"/>
    <mergeCell ref="U42:U43"/>
    <mergeCell ref="W5:W6"/>
    <mergeCell ref="W8:W9"/>
    <mergeCell ref="W11:W12"/>
    <mergeCell ref="W14:W15"/>
    <mergeCell ref="W17:W18"/>
    <mergeCell ref="W20:W21"/>
    <mergeCell ref="W23:W24"/>
  </mergeCells>
  <phoneticPr fontId="19" type="noConversion"/>
  <conditionalFormatting sqref="C10">
    <cfRule type="cellIs" dxfId="303" priority="714" operator="greaterThan">
      <formula>0</formula>
    </cfRule>
  </conditionalFormatting>
  <conditionalFormatting sqref="C13">
    <cfRule type="cellIs" dxfId="302" priority="446" operator="greaterThan">
      <formula>0</formula>
    </cfRule>
  </conditionalFormatting>
  <conditionalFormatting sqref="C16">
    <cfRule type="cellIs" dxfId="301" priority="443" operator="greaterThan">
      <formula>0</formula>
    </cfRule>
  </conditionalFormatting>
  <conditionalFormatting sqref="C19">
    <cfRule type="cellIs" dxfId="300" priority="164" operator="greaterThan">
      <formula>0</formula>
    </cfRule>
  </conditionalFormatting>
  <conditionalFormatting sqref="C22">
    <cfRule type="cellIs" dxfId="299" priority="163" operator="greaterThan">
      <formula>0</formula>
    </cfRule>
  </conditionalFormatting>
  <conditionalFormatting sqref="C25">
    <cfRule type="cellIs" dxfId="298" priority="162" operator="greaterThan">
      <formula>0</formula>
    </cfRule>
  </conditionalFormatting>
  <conditionalFormatting sqref="C28">
    <cfRule type="cellIs" dxfId="297" priority="161" operator="greaterThan">
      <formula>0</formula>
    </cfRule>
  </conditionalFormatting>
  <conditionalFormatting sqref="C32">
    <cfRule type="cellIs" dxfId="296" priority="62" operator="greaterThan">
      <formula>0</formula>
    </cfRule>
  </conditionalFormatting>
  <conditionalFormatting sqref="C35">
    <cfRule type="cellIs" dxfId="295" priority="61" operator="greaterThan">
      <formula>0</formula>
    </cfRule>
  </conditionalFormatting>
  <conditionalFormatting sqref="C38">
    <cfRule type="cellIs" dxfId="294" priority="60" operator="greaterThan">
      <formula>0</formula>
    </cfRule>
  </conditionalFormatting>
  <conditionalFormatting sqref="C41">
    <cfRule type="cellIs" dxfId="293" priority="59" operator="greaterThan">
      <formula>0</formula>
    </cfRule>
  </conditionalFormatting>
  <conditionalFormatting sqref="C44">
    <cfRule type="cellIs" dxfId="292" priority="58" operator="greaterThan">
      <formula>0</formula>
    </cfRule>
  </conditionalFormatting>
  <conditionalFormatting sqref="D6">
    <cfRule type="cellIs" dxfId="291" priority="96" operator="greaterThan">
      <formula>0</formula>
    </cfRule>
  </conditionalFormatting>
  <conditionalFormatting sqref="D8:D9">
    <cfRule type="cellIs" dxfId="290" priority="472" operator="greaterThan">
      <formula>0</formula>
    </cfRule>
  </conditionalFormatting>
  <conditionalFormatting sqref="D11:D12">
    <cfRule type="cellIs" dxfId="289" priority="445" operator="greaterThan">
      <formula>0</formula>
    </cfRule>
  </conditionalFormatting>
  <conditionalFormatting sqref="D14:D15">
    <cfRule type="cellIs" dxfId="288" priority="442" operator="greaterThan">
      <formula>0</formula>
    </cfRule>
  </conditionalFormatting>
  <conditionalFormatting sqref="D18">
    <cfRule type="cellIs" dxfId="287" priority="867" operator="greaterThan">
      <formula>0</formula>
    </cfRule>
  </conditionalFormatting>
  <conditionalFormatting sqref="D21">
    <cfRule type="cellIs" dxfId="286" priority="422" operator="greaterThan">
      <formula>0</formula>
    </cfRule>
  </conditionalFormatting>
  <conditionalFormatting sqref="D24">
    <cfRule type="cellIs" dxfId="285" priority="420" operator="greaterThan">
      <formula>0</formula>
    </cfRule>
  </conditionalFormatting>
  <conditionalFormatting sqref="D27">
    <cfRule type="cellIs" dxfId="284" priority="379" operator="greaterThan">
      <formula>0</formula>
    </cfRule>
  </conditionalFormatting>
  <conditionalFormatting sqref="D30:D31">
    <cfRule type="cellIs" dxfId="283" priority="292" operator="greaterThan">
      <formula>0</formula>
    </cfRule>
  </conditionalFormatting>
  <conditionalFormatting sqref="D33:D34">
    <cfRule type="cellIs" dxfId="282" priority="268" operator="greaterThan">
      <formula>0</formula>
    </cfRule>
  </conditionalFormatting>
  <conditionalFormatting sqref="D36:D37">
    <cfRule type="cellIs" dxfId="281" priority="244" operator="greaterThan">
      <formula>0</formula>
    </cfRule>
  </conditionalFormatting>
  <conditionalFormatting sqref="D39:D40">
    <cfRule type="cellIs" dxfId="280" priority="220" operator="greaterThan">
      <formula>0</formula>
    </cfRule>
  </conditionalFormatting>
  <conditionalFormatting sqref="D42:D43">
    <cfRule type="cellIs" dxfId="279" priority="196" operator="greaterThan">
      <formula>0</formula>
    </cfRule>
  </conditionalFormatting>
  <conditionalFormatting sqref="E10">
    <cfRule type="cellIs" dxfId="278" priority="470" operator="greaterThan">
      <formula>0</formula>
    </cfRule>
  </conditionalFormatting>
  <conditionalFormatting sqref="E13">
    <cfRule type="cellIs" dxfId="277" priority="160" operator="greaterThan">
      <formula>0</formula>
    </cfRule>
  </conditionalFormatting>
  <conditionalFormatting sqref="E16">
    <cfRule type="cellIs" dxfId="276" priority="159" operator="greaterThan">
      <formula>0</formula>
    </cfRule>
  </conditionalFormatting>
  <conditionalFormatting sqref="E19">
    <cfRule type="cellIs" dxfId="275" priority="158" operator="greaterThan">
      <formula>0</formula>
    </cfRule>
  </conditionalFormatting>
  <conditionalFormatting sqref="E22">
    <cfRule type="cellIs" dxfId="274" priority="157" operator="greaterThan">
      <formula>0</formula>
    </cfRule>
  </conditionalFormatting>
  <conditionalFormatting sqref="E25">
    <cfRule type="cellIs" dxfId="273" priority="156" operator="greaterThan">
      <formula>0</formula>
    </cfRule>
  </conditionalFormatting>
  <conditionalFormatting sqref="E28">
    <cfRule type="cellIs" dxfId="272" priority="76" operator="greaterThan">
      <formula>0</formula>
    </cfRule>
  </conditionalFormatting>
  <conditionalFormatting sqref="E32">
    <cfRule type="cellIs" dxfId="271" priority="63" operator="greaterThan">
      <formula>0</formula>
    </cfRule>
  </conditionalFormatting>
  <conditionalFormatting sqref="E35">
    <cfRule type="cellIs" dxfId="270" priority="57" operator="greaterThan">
      <formula>0</formula>
    </cfRule>
  </conditionalFormatting>
  <conditionalFormatting sqref="E38">
    <cfRule type="cellIs" dxfId="269" priority="56" operator="greaterThan">
      <formula>0</formula>
    </cfRule>
  </conditionalFormatting>
  <conditionalFormatting sqref="E41">
    <cfRule type="cellIs" dxfId="268" priority="55" operator="greaterThan">
      <formula>0</formula>
    </cfRule>
  </conditionalFormatting>
  <conditionalFormatting sqref="E44">
    <cfRule type="cellIs" dxfId="267" priority="54" operator="greaterThan">
      <formula>0</formula>
    </cfRule>
  </conditionalFormatting>
  <conditionalFormatting sqref="F6">
    <cfRule type="cellIs" dxfId="266" priority="95" operator="greaterThan">
      <formula>0</formula>
    </cfRule>
  </conditionalFormatting>
  <conditionalFormatting sqref="F8:F9">
    <cfRule type="cellIs" dxfId="265" priority="469" operator="greaterThan">
      <formula>0</formula>
    </cfRule>
  </conditionalFormatting>
  <conditionalFormatting sqref="F12">
    <cfRule type="cellIs" dxfId="264" priority="428" operator="greaterThan">
      <formula>0</formula>
    </cfRule>
  </conditionalFormatting>
  <conditionalFormatting sqref="F15">
    <cfRule type="cellIs" dxfId="263" priority="426" operator="greaterThan">
      <formula>0</formula>
    </cfRule>
  </conditionalFormatting>
  <conditionalFormatting sqref="F18">
    <cfRule type="cellIs" dxfId="262" priority="424" operator="greaterThan">
      <formula>0</formula>
    </cfRule>
  </conditionalFormatting>
  <conditionalFormatting sqref="F21">
    <cfRule type="cellIs" dxfId="261" priority="418" operator="greaterThan">
      <formula>0</formula>
    </cfRule>
  </conditionalFormatting>
  <conditionalFormatting sqref="F24">
    <cfRule type="cellIs" dxfId="260" priority="86" operator="greaterThan">
      <formula>0</formula>
    </cfRule>
  </conditionalFormatting>
  <conditionalFormatting sqref="F27">
    <cfRule type="cellIs" dxfId="259" priority="79" operator="greaterThan">
      <formula>0</formula>
    </cfRule>
  </conditionalFormatting>
  <conditionalFormatting sqref="F29:F31">
    <cfRule type="cellIs" dxfId="258" priority="290" operator="greaterThan">
      <formula>0</formula>
    </cfRule>
  </conditionalFormatting>
  <conditionalFormatting sqref="F33:F34">
    <cfRule type="cellIs" dxfId="257" priority="11" operator="greaterThan">
      <formula>0</formula>
    </cfRule>
  </conditionalFormatting>
  <conditionalFormatting sqref="F36:F37">
    <cfRule type="cellIs" dxfId="256" priority="10" operator="greaterThan">
      <formula>0</formula>
    </cfRule>
  </conditionalFormatting>
  <conditionalFormatting sqref="F39:F40">
    <cfRule type="cellIs" dxfId="255" priority="218" operator="greaterThan">
      <formula>0</formula>
    </cfRule>
  </conditionalFormatting>
  <conditionalFormatting sqref="F42:F43">
    <cfRule type="cellIs" dxfId="254" priority="194" operator="greaterThan">
      <formula>0</formula>
    </cfRule>
  </conditionalFormatting>
  <conditionalFormatting sqref="G10">
    <cfRule type="cellIs" dxfId="253" priority="467" operator="greaterThan">
      <formula>0</formula>
    </cfRule>
  </conditionalFormatting>
  <conditionalFormatting sqref="G13">
    <cfRule type="cellIs" dxfId="252" priority="440" operator="greaterThan">
      <formula>0</formula>
    </cfRule>
  </conditionalFormatting>
  <conditionalFormatting sqref="G16">
    <cfRule type="cellIs" dxfId="251" priority="154" operator="greaterThan">
      <formula>0</formula>
    </cfRule>
  </conditionalFormatting>
  <conditionalFormatting sqref="G19">
    <cfRule type="cellIs" dxfId="250" priority="153" operator="greaterThan">
      <formula>0</formula>
    </cfRule>
  </conditionalFormatting>
  <conditionalFormatting sqref="G22">
    <cfRule type="cellIs" dxfId="249" priority="152" operator="greaterThan">
      <formula>0</formula>
    </cfRule>
  </conditionalFormatting>
  <conditionalFormatting sqref="G25">
    <cfRule type="cellIs" dxfId="248" priority="151" operator="greaterThan">
      <formula>0</formula>
    </cfRule>
  </conditionalFormatting>
  <conditionalFormatting sqref="G28">
    <cfRule type="cellIs" dxfId="247" priority="75" operator="greaterThan">
      <formula>0</formula>
    </cfRule>
  </conditionalFormatting>
  <conditionalFormatting sqref="G32">
    <cfRule type="cellIs" dxfId="246" priority="53" operator="greaterThan">
      <formula>0</formula>
    </cfRule>
  </conditionalFormatting>
  <conditionalFormatting sqref="G35">
    <cfRule type="cellIs" dxfId="245" priority="12" operator="greaterThan">
      <formula>0</formula>
    </cfRule>
  </conditionalFormatting>
  <conditionalFormatting sqref="G38">
    <cfRule type="cellIs" dxfId="244" priority="51" operator="greaterThan">
      <formula>0</formula>
    </cfRule>
  </conditionalFormatting>
  <conditionalFormatting sqref="G41">
    <cfRule type="cellIs" dxfId="243" priority="50" operator="greaterThan">
      <formula>0</formula>
    </cfRule>
  </conditionalFormatting>
  <conditionalFormatting sqref="G44">
    <cfRule type="cellIs" dxfId="242" priority="49" operator="greaterThan">
      <formula>0</formula>
    </cfRule>
  </conditionalFormatting>
  <conditionalFormatting sqref="H6">
    <cfRule type="cellIs" dxfId="241" priority="94" operator="greaterThan">
      <formula>0</formula>
    </cfRule>
  </conditionalFormatting>
  <conditionalFormatting sqref="H8:H9">
    <cfRule type="cellIs" dxfId="240" priority="466" operator="greaterThan">
      <formula>0</formula>
    </cfRule>
  </conditionalFormatting>
  <conditionalFormatting sqref="H11:H12">
    <cfRule type="cellIs" dxfId="239" priority="439" operator="greaterThan">
      <formula>0</formula>
    </cfRule>
  </conditionalFormatting>
  <conditionalFormatting sqref="H15">
    <cfRule type="cellIs" dxfId="238" priority="387" operator="greaterThan">
      <formula>0</formula>
    </cfRule>
  </conditionalFormatting>
  <conditionalFormatting sqref="H18">
    <cfRule type="cellIs" dxfId="237" priority="383" operator="greaterThan">
      <formula>0</formula>
    </cfRule>
  </conditionalFormatting>
  <conditionalFormatting sqref="H21">
    <cfRule type="cellIs" dxfId="236" priority="373" operator="greaterThan">
      <formula>0</formula>
    </cfRule>
  </conditionalFormatting>
  <conditionalFormatting sqref="H24">
    <cfRule type="cellIs" dxfId="235" priority="412" operator="greaterThan">
      <formula>0</formula>
    </cfRule>
  </conditionalFormatting>
  <conditionalFormatting sqref="H27">
    <cfRule type="cellIs" dxfId="234" priority="78" operator="greaterThan">
      <formula>0</formula>
    </cfRule>
  </conditionalFormatting>
  <conditionalFormatting sqref="H30:H31">
    <cfRule type="cellIs" dxfId="233" priority="288" operator="greaterThan">
      <formula>0</formula>
    </cfRule>
  </conditionalFormatting>
  <conditionalFormatting sqref="H33:H34">
    <cfRule type="cellIs" dxfId="232" priority="264" operator="greaterThan">
      <formula>0</formula>
    </cfRule>
  </conditionalFormatting>
  <conditionalFormatting sqref="H36:H37">
    <cfRule type="cellIs" dxfId="231" priority="240" operator="greaterThan">
      <formula>0</formula>
    </cfRule>
  </conditionalFormatting>
  <conditionalFormatting sqref="H39:H40">
    <cfRule type="cellIs" dxfId="230" priority="216" operator="greaterThan">
      <formula>0</formula>
    </cfRule>
  </conditionalFormatting>
  <conditionalFormatting sqref="H42:H43">
    <cfRule type="cellIs" dxfId="229" priority="192" operator="greaterThan">
      <formula>0</formula>
    </cfRule>
  </conditionalFormatting>
  <conditionalFormatting sqref="I10">
    <cfRule type="cellIs" dxfId="228" priority="464" operator="greaterThan">
      <formula>0</formula>
    </cfRule>
  </conditionalFormatting>
  <conditionalFormatting sqref="I13">
    <cfRule type="cellIs" dxfId="227" priority="437" operator="greaterThan">
      <formula>0</formula>
    </cfRule>
  </conditionalFormatting>
  <conditionalFormatting sqref="I16">
    <cfRule type="cellIs" dxfId="226" priority="149" operator="greaterThan">
      <formula>0</formula>
    </cfRule>
  </conditionalFormatting>
  <conditionalFormatting sqref="I19">
    <cfRule type="cellIs" dxfId="225" priority="148" operator="greaterThan">
      <formula>0</formula>
    </cfRule>
  </conditionalFormatting>
  <conditionalFormatting sqref="I22">
    <cfRule type="cellIs" dxfId="224" priority="147" operator="greaterThan">
      <formula>0</formula>
    </cfRule>
  </conditionalFormatting>
  <conditionalFormatting sqref="I25">
    <cfRule type="cellIs" dxfId="223" priority="146" operator="greaterThan">
      <formula>0</formula>
    </cfRule>
  </conditionalFormatting>
  <conditionalFormatting sqref="I28">
    <cfRule type="cellIs" dxfId="222" priority="74" operator="greaterThan">
      <formula>0</formula>
    </cfRule>
  </conditionalFormatting>
  <conditionalFormatting sqref="I32">
    <cfRule type="cellIs" dxfId="221" priority="48" operator="greaterThan">
      <formula>0</formula>
    </cfRule>
  </conditionalFormatting>
  <conditionalFormatting sqref="I35">
    <cfRule type="cellIs" dxfId="220" priority="47" operator="greaterThan">
      <formula>0</formula>
    </cfRule>
  </conditionalFormatting>
  <conditionalFormatting sqref="I38">
    <cfRule type="cellIs" dxfId="219" priority="46" operator="greaterThan">
      <formula>0</formula>
    </cfRule>
  </conditionalFormatting>
  <conditionalFormatting sqref="I41">
    <cfRule type="cellIs" dxfId="218" priority="45" operator="greaterThan">
      <formula>0</formula>
    </cfRule>
  </conditionalFormatting>
  <conditionalFormatting sqref="I44">
    <cfRule type="cellIs" dxfId="217" priority="44" operator="greaterThan">
      <formula>0</formula>
    </cfRule>
  </conditionalFormatting>
  <conditionalFormatting sqref="J6">
    <cfRule type="cellIs" dxfId="216" priority="93" operator="greaterThan">
      <formula>0</formula>
    </cfRule>
  </conditionalFormatting>
  <conditionalFormatting sqref="J8:J9">
    <cfRule type="cellIs" dxfId="215" priority="463" operator="greaterThan">
      <formula>0</formula>
    </cfRule>
  </conditionalFormatting>
  <conditionalFormatting sqref="J11:J12">
    <cfRule type="cellIs" dxfId="214" priority="436" operator="greaterThan">
      <formula>0</formula>
    </cfRule>
  </conditionalFormatting>
  <conditionalFormatting sqref="J15">
    <cfRule type="cellIs" dxfId="213" priority="385" operator="greaterThan">
      <formula>0</formula>
    </cfRule>
  </conditionalFormatting>
  <conditionalFormatting sqref="J18">
    <cfRule type="cellIs" dxfId="212" priority="416" operator="greaterThan">
      <formula>0</formula>
    </cfRule>
  </conditionalFormatting>
  <conditionalFormatting sqref="J21">
    <cfRule type="cellIs" dxfId="211" priority="414" operator="greaterThan">
      <formula>0</formula>
    </cfRule>
  </conditionalFormatting>
  <conditionalFormatting sqref="J24">
    <cfRule type="cellIs" dxfId="210" priority="369" operator="greaterThan">
      <formula>0</formula>
    </cfRule>
  </conditionalFormatting>
  <conditionalFormatting sqref="J27">
    <cfRule type="cellIs" dxfId="209" priority="77" operator="greaterThan">
      <formula>0</formula>
    </cfRule>
  </conditionalFormatting>
  <conditionalFormatting sqref="J30:J31">
    <cfRule type="cellIs" dxfId="208" priority="286" operator="greaterThan">
      <formula>0</formula>
    </cfRule>
  </conditionalFormatting>
  <conditionalFormatting sqref="J33:J34">
    <cfRule type="cellIs" dxfId="207" priority="262" operator="greaterThan">
      <formula>0</formula>
    </cfRule>
  </conditionalFormatting>
  <conditionalFormatting sqref="J36:J37">
    <cfRule type="cellIs" dxfId="206" priority="238" operator="greaterThan">
      <formula>0</formula>
    </cfRule>
  </conditionalFormatting>
  <conditionalFormatting sqref="J39:J40">
    <cfRule type="cellIs" dxfId="205" priority="214" operator="greaterThan">
      <formula>0</formula>
    </cfRule>
  </conditionalFormatting>
  <conditionalFormatting sqref="J42:J43">
    <cfRule type="cellIs" dxfId="204" priority="190" operator="greaterThan">
      <formula>0</formula>
    </cfRule>
  </conditionalFormatting>
  <conditionalFormatting sqref="K10">
    <cfRule type="cellIs" dxfId="203" priority="461" operator="greaterThan">
      <formula>0</formula>
    </cfRule>
  </conditionalFormatting>
  <conditionalFormatting sqref="K13">
    <cfRule type="cellIs" dxfId="202" priority="434" operator="greaterThan">
      <formula>0</formula>
    </cfRule>
  </conditionalFormatting>
  <conditionalFormatting sqref="K16">
    <cfRule type="cellIs" dxfId="201" priority="144" operator="greaterThan">
      <formula>0</formula>
    </cfRule>
  </conditionalFormatting>
  <conditionalFormatting sqref="K19">
    <cfRule type="cellIs" dxfId="200" priority="143" operator="greaterThan">
      <formula>0</formula>
    </cfRule>
  </conditionalFormatting>
  <conditionalFormatting sqref="K22">
    <cfRule type="cellIs" dxfId="199" priority="142" operator="greaterThan">
      <formula>0</formula>
    </cfRule>
  </conditionalFormatting>
  <conditionalFormatting sqref="K25">
    <cfRule type="cellIs" dxfId="198" priority="141" operator="greaterThan">
      <formula>0</formula>
    </cfRule>
  </conditionalFormatting>
  <conditionalFormatting sqref="K28">
    <cfRule type="cellIs" dxfId="197" priority="1" operator="greaterThan">
      <formula>0</formula>
    </cfRule>
  </conditionalFormatting>
  <conditionalFormatting sqref="K32">
    <cfRule type="cellIs" dxfId="196" priority="43" operator="greaterThan">
      <formula>0</formula>
    </cfRule>
  </conditionalFormatting>
  <conditionalFormatting sqref="K35">
    <cfRule type="cellIs" dxfId="195" priority="42" operator="greaterThan">
      <formula>0</formula>
    </cfRule>
  </conditionalFormatting>
  <conditionalFormatting sqref="K38">
    <cfRule type="cellIs" dxfId="194" priority="41" operator="greaterThan">
      <formula>0</formula>
    </cfRule>
  </conditionalFormatting>
  <conditionalFormatting sqref="K41">
    <cfRule type="cellIs" dxfId="193" priority="40" operator="greaterThan">
      <formula>0</formula>
    </cfRule>
  </conditionalFormatting>
  <conditionalFormatting sqref="K44">
    <cfRule type="cellIs" dxfId="192" priority="39" operator="greaterThan">
      <formula>0</formula>
    </cfRule>
  </conditionalFormatting>
  <conditionalFormatting sqref="L6">
    <cfRule type="cellIs" dxfId="191" priority="92" operator="greaterThan">
      <formula>0</formula>
    </cfRule>
  </conditionalFormatting>
  <conditionalFormatting sqref="L8:L9">
    <cfRule type="cellIs" dxfId="190" priority="460" operator="greaterThan">
      <formula>0</formula>
    </cfRule>
  </conditionalFormatting>
  <conditionalFormatting sqref="L11:L12">
    <cfRule type="cellIs" dxfId="189" priority="433" operator="greaterThan">
      <formula>0</formula>
    </cfRule>
  </conditionalFormatting>
  <conditionalFormatting sqref="L15">
    <cfRule type="cellIs" dxfId="188" priority="410" operator="greaterThan">
      <formula>0</formula>
    </cfRule>
  </conditionalFormatting>
  <conditionalFormatting sqref="L18">
    <cfRule type="cellIs" dxfId="187" priority="381" operator="greaterThan">
      <formula>0</formula>
    </cfRule>
  </conditionalFormatting>
  <conditionalFormatting sqref="L21">
    <cfRule type="cellIs" dxfId="186" priority="365" operator="greaterThan">
      <formula>0</formula>
    </cfRule>
  </conditionalFormatting>
  <conditionalFormatting sqref="L24">
    <cfRule type="cellIs" dxfId="185" priority="363" operator="greaterThan">
      <formula>0</formula>
    </cfRule>
  </conditionalFormatting>
  <conditionalFormatting sqref="L27">
    <cfRule type="cellIs" dxfId="184" priority="2" operator="greaterThan">
      <formula>0</formula>
    </cfRule>
  </conditionalFormatting>
  <conditionalFormatting sqref="L29:L31">
    <cfRule type="cellIs" dxfId="183" priority="284" operator="greaterThan">
      <formula>0</formula>
    </cfRule>
  </conditionalFormatting>
  <conditionalFormatting sqref="L33:L34">
    <cfRule type="cellIs" dxfId="182" priority="260" operator="greaterThan">
      <formula>0</formula>
    </cfRule>
  </conditionalFormatting>
  <conditionalFormatting sqref="L36:L37">
    <cfRule type="cellIs" dxfId="181" priority="236" operator="greaterThan">
      <formula>0</formula>
    </cfRule>
  </conditionalFormatting>
  <conditionalFormatting sqref="L39:L40">
    <cfRule type="cellIs" dxfId="180" priority="212" operator="greaterThan">
      <formula>0</formula>
    </cfRule>
  </conditionalFormatting>
  <conditionalFormatting sqref="L42:L43">
    <cfRule type="cellIs" dxfId="179" priority="188" operator="greaterThan">
      <formula>0</formula>
    </cfRule>
  </conditionalFormatting>
  <conditionalFormatting sqref="M10">
    <cfRule type="cellIs" dxfId="178" priority="458" operator="greaterThan">
      <formula>0</formula>
    </cfRule>
  </conditionalFormatting>
  <conditionalFormatting sqref="M13">
    <cfRule type="cellIs" dxfId="177" priority="431" operator="greaterThan">
      <formula>0</formula>
    </cfRule>
  </conditionalFormatting>
  <conditionalFormatting sqref="M16">
    <cfRule type="cellIs" dxfId="176" priority="139" operator="greaterThan">
      <formula>0</formula>
    </cfRule>
  </conditionalFormatting>
  <conditionalFormatting sqref="M19">
    <cfRule type="cellIs" dxfId="175" priority="170" operator="greaterThan">
      <formula>0</formula>
    </cfRule>
  </conditionalFormatting>
  <conditionalFormatting sqref="M22">
    <cfRule type="cellIs" dxfId="174" priority="138" operator="greaterThan">
      <formula>0</formula>
    </cfRule>
  </conditionalFormatting>
  <conditionalFormatting sqref="M25">
    <cfRule type="cellIs" dxfId="173" priority="137" operator="greaterThan">
      <formula>0</formula>
    </cfRule>
  </conditionalFormatting>
  <conditionalFormatting sqref="M28">
    <cfRule type="cellIs" dxfId="172" priority="136" operator="greaterThan">
      <formula>0</formula>
    </cfRule>
  </conditionalFormatting>
  <conditionalFormatting sqref="M32">
    <cfRule type="cellIs" dxfId="171" priority="38" operator="greaterThan">
      <formula>0</formula>
    </cfRule>
  </conditionalFormatting>
  <conditionalFormatting sqref="M35">
    <cfRule type="cellIs" dxfId="170" priority="37" operator="greaterThan">
      <formula>0</formula>
    </cfRule>
  </conditionalFormatting>
  <conditionalFormatting sqref="M38">
    <cfRule type="cellIs" dxfId="169" priority="36" operator="greaterThan">
      <formula>0</formula>
    </cfRule>
  </conditionalFormatting>
  <conditionalFormatting sqref="M41">
    <cfRule type="cellIs" dxfId="168" priority="35" operator="greaterThan">
      <formula>0</formula>
    </cfRule>
  </conditionalFormatting>
  <conditionalFormatting sqref="M44">
    <cfRule type="cellIs" dxfId="167" priority="34" operator="greaterThan">
      <formula>0</formula>
    </cfRule>
  </conditionalFormatting>
  <conditionalFormatting sqref="M17:N19">
    <cfRule type="expression" dxfId="166" priority="171">
      <formula>$N$17="硫酸海洋"</formula>
    </cfRule>
  </conditionalFormatting>
  <conditionalFormatting sqref="N6">
    <cfRule type="cellIs" dxfId="165" priority="91" operator="greaterThan">
      <formula>0</formula>
    </cfRule>
  </conditionalFormatting>
  <conditionalFormatting sqref="N8:N9">
    <cfRule type="cellIs" dxfId="164" priority="457" operator="greaterThan">
      <formula>0</formula>
    </cfRule>
  </conditionalFormatting>
  <conditionalFormatting sqref="N12">
    <cfRule type="cellIs" dxfId="163" priority="432" operator="greaterThan">
      <formula>0</formula>
    </cfRule>
  </conditionalFormatting>
  <conditionalFormatting sqref="N15">
    <cfRule type="cellIs" dxfId="162" priority="359" operator="greaterThan">
      <formula>0</formula>
    </cfRule>
  </conditionalFormatting>
  <conditionalFormatting sqref="N18 M19">
    <cfRule type="expression" dxfId="161" priority="82">
      <formula>$N$17="硫酸海洋"</formula>
    </cfRule>
  </conditionalFormatting>
  <conditionalFormatting sqref="N18">
    <cfRule type="cellIs" dxfId="160" priority="81" operator="greaterThan">
      <formula>0</formula>
    </cfRule>
  </conditionalFormatting>
  <conditionalFormatting sqref="N21">
    <cfRule type="cellIs" dxfId="159" priority="406" operator="greaterThan">
      <formula>0</formula>
    </cfRule>
  </conditionalFormatting>
  <conditionalFormatting sqref="N24">
    <cfRule type="cellIs" dxfId="158" priority="87" operator="greaterThan">
      <formula>0</formula>
    </cfRule>
  </conditionalFormatting>
  <conditionalFormatting sqref="N27">
    <cfRule type="cellIs" dxfId="157" priority="355" operator="greaterThan">
      <formula>0</formula>
    </cfRule>
  </conditionalFormatting>
  <conditionalFormatting sqref="N30:N31">
    <cfRule type="cellIs" dxfId="156" priority="282" operator="greaterThan">
      <formula>0</formula>
    </cfRule>
  </conditionalFormatting>
  <conditionalFormatting sqref="N33:N34">
    <cfRule type="cellIs" dxfId="155" priority="258" operator="greaterThan">
      <formula>0</formula>
    </cfRule>
  </conditionalFormatting>
  <conditionalFormatting sqref="N36:N37">
    <cfRule type="cellIs" dxfId="154" priority="234" operator="greaterThan">
      <formula>0</formula>
    </cfRule>
  </conditionalFormatting>
  <conditionalFormatting sqref="N39:N40">
    <cfRule type="cellIs" dxfId="153" priority="210" operator="greaterThan">
      <formula>0</formula>
    </cfRule>
  </conditionalFormatting>
  <conditionalFormatting sqref="N42:N43">
    <cfRule type="cellIs" dxfId="152" priority="186" operator="greaterThan">
      <formula>0</formula>
    </cfRule>
  </conditionalFormatting>
  <conditionalFormatting sqref="O11">
    <cfRule type="cellIs" dxfId="151" priority="165" operator="greaterThan">
      <formula>0</formula>
    </cfRule>
  </conditionalFormatting>
  <conditionalFormatting sqref="O12:O13">
    <cfRule type="expression" dxfId="150" priority="67">
      <formula>$P$11="可燃冰"</formula>
    </cfRule>
  </conditionalFormatting>
  <conditionalFormatting sqref="O16">
    <cfRule type="cellIs" dxfId="149" priority="135" operator="greaterThan">
      <formula>0</formula>
    </cfRule>
  </conditionalFormatting>
  <conditionalFormatting sqref="O19">
    <cfRule type="cellIs" dxfId="148" priority="134" operator="greaterThan">
      <formula>0</formula>
    </cfRule>
  </conditionalFormatting>
  <conditionalFormatting sqref="O22">
    <cfRule type="cellIs" dxfId="147" priority="133" operator="greaterThan">
      <formula>0</formula>
    </cfRule>
  </conditionalFormatting>
  <conditionalFormatting sqref="O25">
    <cfRule type="cellIs" dxfId="146" priority="132" operator="greaterThan">
      <formula>0</formula>
    </cfRule>
  </conditionalFormatting>
  <conditionalFormatting sqref="O28">
    <cfRule type="cellIs" dxfId="145" priority="131" operator="greaterThan">
      <formula>0</formula>
    </cfRule>
  </conditionalFormatting>
  <conditionalFormatting sqref="O32">
    <cfRule type="cellIs" dxfId="144" priority="33" operator="greaterThan">
      <formula>0</formula>
    </cfRule>
  </conditionalFormatting>
  <conditionalFormatting sqref="O35">
    <cfRule type="cellIs" dxfId="143" priority="32" operator="greaterThan">
      <formula>0</formula>
    </cfRule>
  </conditionalFormatting>
  <conditionalFormatting sqref="O38">
    <cfRule type="cellIs" dxfId="142" priority="31" operator="greaterThan">
      <formula>0</formula>
    </cfRule>
  </conditionalFormatting>
  <conditionalFormatting sqref="O41">
    <cfRule type="cellIs" dxfId="141" priority="30" operator="greaterThan">
      <formula>0</formula>
    </cfRule>
  </conditionalFormatting>
  <conditionalFormatting sqref="O44">
    <cfRule type="cellIs" dxfId="140" priority="29" operator="greaterThan">
      <formula>0</formula>
    </cfRule>
  </conditionalFormatting>
  <conditionalFormatting sqref="O4:P4">
    <cfRule type="cellIs" dxfId="139" priority="8" operator="greaterThan">
      <formula>0</formula>
    </cfRule>
  </conditionalFormatting>
  <conditionalFormatting sqref="P6">
    <cfRule type="cellIs" dxfId="138" priority="90" operator="greaterThan">
      <formula>0</formula>
    </cfRule>
  </conditionalFormatting>
  <conditionalFormatting sqref="P8:P9">
    <cfRule type="cellIs" dxfId="137" priority="173" operator="greaterThan">
      <formula>0</formula>
    </cfRule>
  </conditionalFormatting>
  <conditionalFormatting sqref="P11:P12 O12">
    <cfRule type="expression" dxfId="136" priority="633">
      <formula>$P$11="气态行星"</formula>
    </cfRule>
  </conditionalFormatting>
  <conditionalFormatting sqref="P11:P12">
    <cfRule type="expression" dxfId="135" priority="71">
      <formula>$P$11="可燃冰"</formula>
    </cfRule>
  </conditionalFormatting>
  <conditionalFormatting sqref="P12">
    <cfRule type="cellIs" dxfId="134" priority="64" operator="greaterThan">
      <formula>0</formula>
    </cfRule>
    <cfRule type="expression" dxfId="133" priority="66">
      <formula>$P$11="气态行星"</formula>
    </cfRule>
    <cfRule type="expression" dxfId="132" priority="70">
      <formula>$P$11="可燃冰"</formula>
    </cfRule>
  </conditionalFormatting>
  <conditionalFormatting sqref="P15">
    <cfRule type="cellIs" dxfId="131" priority="353" operator="greaterThan">
      <formula>0</formula>
    </cfRule>
  </conditionalFormatting>
  <conditionalFormatting sqref="P18">
    <cfRule type="cellIs" dxfId="130" priority="351" operator="greaterThan">
      <formula>0</formula>
    </cfRule>
  </conditionalFormatting>
  <conditionalFormatting sqref="P21">
    <cfRule type="cellIs" dxfId="129" priority="349" operator="greaterThan">
      <formula>0</formula>
    </cfRule>
  </conditionalFormatting>
  <conditionalFormatting sqref="P24">
    <cfRule type="cellIs" dxfId="128" priority="347" operator="greaterThan">
      <formula>0</formula>
    </cfRule>
  </conditionalFormatting>
  <conditionalFormatting sqref="P27">
    <cfRule type="cellIs" dxfId="127" priority="345" operator="greaterThan">
      <formula>0</formula>
    </cfRule>
  </conditionalFormatting>
  <conditionalFormatting sqref="P30:P31">
    <cfRule type="cellIs" dxfId="126" priority="280" operator="greaterThan">
      <formula>0</formula>
    </cfRule>
  </conditionalFormatting>
  <conditionalFormatting sqref="P33:P34">
    <cfRule type="cellIs" dxfId="125" priority="256" operator="greaterThan">
      <formula>0</formula>
    </cfRule>
  </conditionalFormatting>
  <conditionalFormatting sqref="P36:P37">
    <cfRule type="cellIs" dxfId="124" priority="232" operator="greaterThan">
      <formula>0</formula>
    </cfRule>
  </conditionalFormatting>
  <conditionalFormatting sqref="P39:P40">
    <cfRule type="cellIs" dxfId="123" priority="208" operator="greaterThan">
      <formula>0</formula>
    </cfRule>
  </conditionalFormatting>
  <conditionalFormatting sqref="P42:P43">
    <cfRule type="cellIs" dxfId="122" priority="184" operator="greaterThan">
      <formula>0</formula>
    </cfRule>
  </conditionalFormatting>
  <conditionalFormatting sqref="Q6">
    <cfRule type="expression" dxfId="121" priority="84">
      <formula>"$R9=“有机晶体矿”"</formula>
    </cfRule>
  </conditionalFormatting>
  <conditionalFormatting sqref="Q10">
    <cfRule type="cellIs" dxfId="120" priority="168" operator="greaterThan">
      <formula>0</formula>
    </cfRule>
  </conditionalFormatting>
  <conditionalFormatting sqref="Q13">
    <cfRule type="cellIs" dxfId="119" priority="628" operator="greaterThan">
      <formula>0</formula>
    </cfRule>
  </conditionalFormatting>
  <conditionalFormatting sqref="Q16">
    <cfRule type="cellIs" dxfId="118" priority="130" operator="greaterThan">
      <formula>0</formula>
    </cfRule>
  </conditionalFormatting>
  <conditionalFormatting sqref="Q19">
    <cfRule type="cellIs" dxfId="117" priority="129" operator="greaterThan">
      <formula>0</formula>
    </cfRule>
  </conditionalFormatting>
  <conditionalFormatting sqref="Q22">
    <cfRule type="cellIs" dxfId="116" priority="128" operator="greaterThan">
      <formula>0</formula>
    </cfRule>
  </conditionalFormatting>
  <conditionalFormatting sqref="Q25">
    <cfRule type="cellIs" dxfId="115" priority="127" operator="greaterThan">
      <formula>0</formula>
    </cfRule>
  </conditionalFormatting>
  <conditionalFormatting sqref="Q28">
    <cfRule type="cellIs" dxfId="114" priority="126" operator="greaterThan">
      <formula>0</formula>
    </cfRule>
  </conditionalFormatting>
  <conditionalFormatting sqref="Q32">
    <cfRule type="cellIs" dxfId="113" priority="28" operator="greaterThan">
      <formula>0</formula>
    </cfRule>
  </conditionalFormatting>
  <conditionalFormatting sqref="Q35">
    <cfRule type="cellIs" dxfId="112" priority="27" operator="greaterThan">
      <formula>0</formula>
    </cfRule>
  </conditionalFormatting>
  <conditionalFormatting sqref="Q38">
    <cfRule type="cellIs" dxfId="111" priority="26" operator="greaterThan">
      <formula>0</formula>
    </cfRule>
  </conditionalFormatting>
  <conditionalFormatting sqref="Q41">
    <cfRule type="cellIs" dxfId="110" priority="25" operator="greaterThan">
      <formula>0</formula>
    </cfRule>
  </conditionalFormatting>
  <conditionalFormatting sqref="Q44">
    <cfRule type="cellIs" dxfId="109" priority="24" operator="greaterThan">
      <formula>0</formula>
    </cfRule>
  </conditionalFormatting>
  <conditionalFormatting sqref="Q11:R13">
    <cfRule type="expression" dxfId="108" priority="629">
      <formula>$R$11="有机晶体矿"</formula>
    </cfRule>
  </conditionalFormatting>
  <conditionalFormatting sqref="R6">
    <cfRule type="cellIs" dxfId="107" priority="89" operator="greaterThan">
      <formula>0</formula>
    </cfRule>
  </conditionalFormatting>
  <conditionalFormatting sqref="R9">
    <cfRule type="cellIs" dxfId="106" priority="169" operator="greaterThan">
      <formula>0</formula>
    </cfRule>
  </conditionalFormatting>
  <conditionalFormatting sqref="R12 Q13">
    <cfRule type="expression" dxfId="105" priority="83">
      <formula>$R$11="有机晶体矿"</formula>
    </cfRule>
  </conditionalFormatting>
  <conditionalFormatting sqref="R12">
    <cfRule type="cellIs" dxfId="104" priority="80" operator="greaterThan">
      <formula>0</formula>
    </cfRule>
  </conditionalFormatting>
  <conditionalFormatting sqref="R15">
    <cfRule type="cellIs" dxfId="103" priority="343" operator="greaterThan">
      <formula>0</formula>
    </cfRule>
  </conditionalFormatting>
  <conditionalFormatting sqref="R18">
    <cfRule type="cellIs" dxfId="102" priority="341" operator="greaterThan">
      <formula>0</formula>
    </cfRule>
  </conditionalFormatting>
  <conditionalFormatting sqref="R21">
    <cfRule type="cellIs" dxfId="101" priority="339" operator="greaterThan">
      <formula>0</formula>
    </cfRule>
  </conditionalFormatting>
  <conditionalFormatting sqref="R24">
    <cfRule type="cellIs" dxfId="100" priority="337" operator="greaterThan">
      <formula>0</formula>
    </cfRule>
  </conditionalFormatting>
  <conditionalFormatting sqref="R27">
    <cfRule type="cellIs" dxfId="99" priority="335" operator="greaterThan">
      <formula>0</formula>
    </cfRule>
  </conditionalFormatting>
  <conditionalFormatting sqref="R30:R31">
    <cfRule type="cellIs" dxfId="98" priority="278" operator="greaterThan">
      <formula>0</formula>
    </cfRule>
  </conditionalFormatting>
  <conditionalFormatting sqref="R33:R34">
    <cfRule type="cellIs" dxfId="97" priority="254" operator="greaterThan">
      <formula>0</formula>
    </cfRule>
  </conditionalFormatting>
  <conditionalFormatting sqref="R36:R37">
    <cfRule type="cellIs" dxfId="96" priority="230" operator="greaterThan">
      <formula>0</formula>
    </cfRule>
  </conditionalFormatting>
  <conditionalFormatting sqref="R39:R40">
    <cfRule type="cellIs" dxfId="95" priority="206" operator="greaterThan">
      <formula>0</formula>
    </cfRule>
  </conditionalFormatting>
  <conditionalFormatting sqref="R42:R43">
    <cfRule type="cellIs" dxfId="94" priority="182" operator="greaterThan">
      <formula>0</formula>
    </cfRule>
  </conditionalFormatting>
  <conditionalFormatting sqref="S10">
    <cfRule type="expression" dxfId="93" priority="73">
      <formula>$T$8="可燃冰"</formula>
    </cfRule>
    <cfRule type="cellIs" dxfId="92" priority="166" operator="greaterThan">
      <formula>0</formula>
    </cfRule>
  </conditionalFormatting>
  <conditionalFormatting sqref="S16">
    <cfRule type="cellIs" dxfId="91" priority="124" operator="greaterThan">
      <formula>0</formula>
    </cfRule>
  </conditionalFormatting>
  <conditionalFormatting sqref="S19">
    <cfRule type="cellIs" dxfId="90" priority="123" operator="greaterThan">
      <formula>0</formula>
    </cfRule>
  </conditionalFormatting>
  <conditionalFormatting sqref="S22">
    <cfRule type="cellIs" dxfId="89" priority="122" operator="greaterThan">
      <formula>0</formula>
    </cfRule>
  </conditionalFormatting>
  <conditionalFormatting sqref="S25">
    <cfRule type="cellIs" dxfId="88" priority="121" operator="greaterThan">
      <formula>0</formula>
    </cfRule>
  </conditionalFormatting>
  <conditionalFormatting sqref="S28">
    <cfRule type="cellIs" dxfId="87" priority="120" operator="greaterThan">
      <formula>0</formula>
    </cfRule>
  </conditionalFormatting>
  <conditionalFormatting sqref="S32">
    <cfRule type="cellIs" dxfId="86" priority="23" operator="greaterThan">
      <formula>0</formula>
    </cfRule>
  </conditionalFormatting>
  <conditionalFormatting sqref="S35">
    <cfRule type="cellIs" dxfId="85" priority="22" operator="greaterThan">
      <formula>0</formula>
    </cfRule>
  </conditionalFormatting>
  <conditionalFormatting sqref="S38">
    <cfRule type="cellIs" dxfId="84" priority="21" operator="greaterThan">
      <formula>0</formula>
    </cfRule>
  </conditionalFormatting>
  <conditionalFormatting sqref="S41">
    <cfRule type="cellIs" dxfId="83" priority="20" operator="greaterThan">
      <formula>0</formula>
    </cfRule>
  </conditionalFormatting>
  <conditionalFormatting sqref="S44">
    <cfRule type="cellIs" dxfId="82" priority="19" operator="greaterThan">
      <formula>0</formula>
    </cfRule>
  </conditionalFormatting>
  <conditionalFormatting sqref="T4">
    <cfRule type="cellIs" dxfId="81" priority="7" operator="greaterThan">
      <formula>0</formula>
    </cfRule>
  </conditionalFormatting>
  <conditionalFormatting sqref="T6">
    <cfRule type="cellIs" dxfId="80" priority="88" operator="greaterThan">
      <formula>0</formula>
    </cfRule>
  </conditionalFormatting>
  <conditionalFormatting sqref="T9">
    <cfRule type="cellIs" dxfId="79" priority="167" operator="greaterThan">
      <formula>0</formula>
    </cfRule>
  </conditionalFormatting>
  <conditionalFormatting sqref="T12">
    <cfRule type="cellIs" dxfId="78" priority="333" operator="greaterThan">
      <formula>0</formula>
    </cfRule>
  </conditionalFormatting>
  <conditionalFormatting sqref="T15">
    <cfRule type="cellIs" dxfId="77" priority="404" operator="greaterThan">
      <formula>0</formula>
    </cfRule>
  </conditionalFormatting>
  <conditionalFormatting sqref="T18">
    <cfRule type="cellIs" dxfId="76" priority="331" operator="greaterThan">
      <formula>0</formula>
    </cfRule>
  </conditionalFormatting>
  <conditionalFormatting sqref="T21">
    <cfRule type="cellIs" dxfId="75" priority="329" operator="greaterThan">
      <formula>0</formula>
    </cfRule>
  </conditionalFormatting>
  <conditionalFormatting sqref="T24">
    <cfRule type="cellIs" dxfId="74" priority="327" operator="greaterThan">
      <formula>0</formula>
    </cfRule>
  </conditionalFormatting>
  <conditionalFormatting sqref="T27">
    <cfRule type="cellIs" dxfId="73" priority="325" operator="greaterThan">
      <formula>0</formula>
    </cfRule>
  </conditionalFormatting>
  <conditionalFormatting sqref="T30:T31">
    <cfRule type="cellIs" dxfId="72" priority="276" operator="greaterThan">
      <formula>0</formula>
    </cfRule>
  </conditionalFormatting>
  <conditionalFormatting sqref="T33:T34">
    <cfRule type="cellIs" dxfId="71" priority="252" operator="greaterThan">
      <formula>0</formula>
    </cfRule>
  </conditionalFormatting>
  <conditionalFormatting sqref="T36:T37">
    <cfRule type="cellIs" dxfId="70" priority="228" operator="greaterThan">
      <formula>0</formula>
    </cfRule>
  </conditionalFormatting>
  <conditionalFormatting sqref="T39:T40">
    <cfRule type="cellIs" dxfId="69" priority="204" operator="greaterThan">
      <formula>0</formula>
    </cfRule>
  </conditionalFormatting>
  <conditionalFormatting sqref="T42:T43">
    <cfRule type="cellIs" dxfId="68" priority="180" operator="greaterThan">
      <formula>0</formula>
    </cfRule>
  </conditionalFormatting>
  <conditionalFormatting sqref="T13:U13">
    <cfRule type="cellIs" dxfId="67" priority="116" operator="greaterThan">
      <formula>0</formula>
    </cfRule>
  </conditionalFormatting>
  <conditionalFormatting sqref="U7">
    <cfRule type="cellIs" dxfId="66" priority="4" operator="greaterThan">
      <formula>0</formula>
    </cfRule>
  </conditionalFormatting>
  <conditionalFormatting sqref="U10">
    <cfRule type="cellIs" dxfId="65" priority="117" operator="greaterThan">
      <formula>0</formula>
    </cfRule>
  </conditionalFormatting>
  <conditionalFormatting sqref="U16">
    <cfRule type="cellIs" dxfId="64" priority="115" operator="greaterThan">
      <formula>0</formula>
    </cfRule>
  </conditionalFormatting>
  <conditionalFormatting sqref="U19">
    <cfRule type="cellIs" dxfId="63" priority="114" operator="greaterThan">
      <formula>0</formula>
    </cfRule>
  </conditionalFormatting>
  <conditionalFormatting sqref="U22">
    <cfRule type="cellIs" dxfId="62" priority="113" operator="greaterThan">
      <formula>0</formula>
    </cfRule>
  </conditionalFormatting>
  <conditionalFormatting sqref="U25">
    <cfRule type="cellIs" dxfId="61" priority="112" operator="greaterThan">
      <formula>0</formula>
    </cfRule>
  </conditionalFormatting>
  <conditionalFormatting sqref="U28">
    <cfRule type="cellIs" dxfId="60" priority="111" operator="greaterThan">
      <formula>0</formula>
    </cfRule>
  </conditionalFormatting>
  <conditionalFormatting sqref="U32">
    <cfRule type="cellIs" dxfId="59" priority="18" operator="greaterThan">
      <formula>0</formula>
    </cfRule>
  </conditionalFormatting>
  <conditionalFormatting sqref="U35">
    <cfRule type="cellIs" dxfId="58" priority="17" operator="greaterThan">
      <formula>0</formula>
    </cfRule>
  </conditionalFormatting>
  <conditionalFormatting sqref="U38">
    <cfRule type="cellIs" dxfId="57" priority="16" operator="greaterThan">
      <formula>0</formula>
    </cfRule>
  </conditionalFormatting>
  <conditionalFormatting sqref="U41">
    <cfRule type="cellIs" dxfId="56" priority="15" operator="greaterThan">
      <formula>0</formula>
    </cfRule>
  </conditionalFormatting>
  <conditionalFormatting sqref="U44">
    <cfRule type="cellIs" dxfId="55" priority="14" operator="greaterThan">
      <formula>0</formula>
    </cfRule>
  </conditionalFormatting>
  <conditionalFormatting sqref="V6">
    <cfRule type="cellIs" dxfId="54" priority="6" operator="greaterThan">
      <formula>0</formula>
    </cfRule>
  </conditionalFormatting>
  <conditionalFormatting sqref="V9">
    <cfRule type="cellIs" dxfId="53" priority="323" operator="greaterThan">
      <formula>0</formula>
    </cfRule>
  </conditionalFormatting>
  <conditionalFormatting sqref="V12">
    <cfRule type="cellIs" dxfId="52" priority="402" operator="greaterThan">
      <formula>0</formula>
    </cfRule>
  </conditionalFormatting>
  <conditionalFormatting sqref="V15">
    <cfRule type="cellIs" dxfId="51" priority="400" operator="greaterThan">
      <formula>0</formula>
    </cfRule>
  </conditionalFormatting>
  <conditionalFormatting sqref="V18">
    <cfRule type="cellIs" dxfId="50" priority="398" operator="greaterThan">
      <formula>0</formula>
    </cfRule>
  </conditionalFormatting>
  <conditionalFormatting sqref="V21">
    <cfRule type="cellIs" dxfId="49" priority="389" operator="greaterThan">
      <formula>0</formula>
    </cfRule>
  </conditionalFormatting>
  <conditionalFormatting sqref="V24">
    <cfRule type="cellIs" dxfId="48" priority="305" operator="greaterThan">
      <formula>0</formula>
    </cfRule>
  </conditionalFormatting>
  <conditionalFormatting sqref="V27">
    <cfRule type="cellIs" dxfId="47" priority="299" operator="greaterThan">
      <formula>0</formula>
    </cfRule>
  </conditionalFormatting>
  <conditionalFormatting sqref="V30:V31">
    <cfRule type="cellIs" dxfId="46" priority="274" operator="greaterThan">
      <formula>0</formula>
    </cfRule>
  </conditionalFormatting>
  <conditionalFormatting sqref="V33:V34">
    <cfRule type="cellIs" dxfId="45" priority="250" operator="greaterThan">
      <formula>0</formula>
    </cfRule>
  </conditionalFormatting>
  <conditionalFormatting sqref="V36:V37">
    <cfRule type="cellIs" dxfId="44" priority="226" operator="greaterThan">
      <formula>0</formula>
    </cfRule>
  </conditionalFormatting>
  <conditionalFormatting sqref="V39:V40">
    <cfRule type="cellIs" dxfId="43" priority="202" operator="greaterThan">
      <formula>0</formula>
    </cfRule>
  </conditionalFormatting>
  <conditionalFormatting sqref="V42:V43">
    <cfRule type="cellIs" dxfId="42" priority="178" operator="greaterThan">
      <formula>0</formula>
    </cfRule>
  </conditionalFormatting>
  <conditionalFormatting sqref="W7">
    <cfRule type="cellIs" dxfId="41" priority="3" operator="greaterThan">
      <formula>0</formula>
    </cfRule>
  </conditionalFormatting>
  <conditionalFormatting sqref="W10">
    <cfRule type="cellIs" dxfId="40" priority="110" operator="greaterThan">
      <formula>0</formula>
    </cfRule>
  </conditionalFormatting>
  <conditionalFormatting sqref="W13">
    <cfRule type="cellIs" dxfId="39" priority="109" operator="greaterThan">
      <formula>0</formula>
    </cfRule>
  </conditionalFormatting>
  <conditionalFormatting sqref="W16">
    <cfRule type="cellIs" dxfId="38" priority="108" operator="greaterThan">
      <formula>0</formula>
    </cfRule>
  </conditionalFormatting>
  <conditionalFormatting sqref="W19">
    <cfRule type="cellIs" dxfId="37" priority="107" operator="greaterThan">
      <formula>0</formula>
    </cfRule>
  </conditionalFormatting>
  <conditionalFormatting sqref="W22">
    <cfRule type="cellIs" dxfId="36" priority="106" operator="greaterThan">
      <formula>0</formula>
    </cfRule>
  </conditionalFormatting>
  <conditionalFormatting sqref="W25">
    <cfRule type="cellIs" dxfId="35" priority="105" operator="greaterThan">
      <formula>0</formula>
    </cfRule>
  </conditionalFormatting>
  <conditionalFormatting sqref="W28">
    <cfRule type="cellIs" dxfId="34" priority="104" operator="greaterThan">
      <formula>0</formula>
    </cfRule>
  </conditionalFormatting>
  <conditionalFormatting sqref="W32">
    <cfRule type="cellIs" dxfId="33" priority="13" operator="greaterThan">
      <formula>0</formula>
    </cfRule>
  </conditionalFormatting>
  <conditionalFormatting sqref="X6">
    <cfRule type="cellIs" dxfId="32" priority="5" operator="greaterThan">
      <formula>0</formula>
    </cfRule>
  </conditionalFormatting>
  <conditionalFormatting sqref="X9">
    <cfRule type="cellIs" dxfId="31" priority="321" operator="greaterThan">
      <formula>0</formula>
    </cfRule>
  </conditionalFormatting>
  <conditionalFormatting sqref="X12">
    <cfRule type="cellIs" dxfId="30" priority="317" operator="greaterThan">
      <formula>0</formula>
    </cfRule>
  </conditionalFormatting>
  <conditionalFormatting sqref="X15">
    <cfRule type="cellIs" dxfId="29" priority="396" operator="greaterThan">
      <formula>0</formula>
    </cfRule>
  </conditionalFormatting>
  <conditionalFormatting sqref="X18">
    <cfRule type="cellIs" dxfId="28" priority="394" operator="greaterThan">
      <formula>0</formula>
    </cfRule>
  </conditionalFormatting>
  <conditionalFormatting sqref="X21">
    <cfRule type="cellIs" dxfId="27" priority="307" operator="greaterThan">
      <formula>0</formula>
    </cfRule>
  </conditionalFormatting>
  <conditionalFormatting sqref="X24">
    <cfRule type="cellIs" dxfId="26" priority="303" operator="greaterThan">
      <formula>0</formula>
    </cfRule>
  </conditionalFormatting>
  <conditionalFormatting sqref="X27">
    <cfRule type="cellIs" dxfId="25" priority="297" operator="greaterThan">
      <formula>0</formula>
    </cfRule>
  </conditionalFormatting>
  <conditionalFormatting sqref="X30:X31">
    <cfRule type="cellIs" dxfId="24" priority="272" operator="greaterThan">
      <formula>0</formula>
    </cfRule>
  </conditionalFormatting>
  <conditionalFormatting sqref="X33:X34">
    <cfRule type="cellIs" dxfId="23" priority="248" operator="greaterThan">
      <formula>0</formula>
    </cfRule>
  </conditionalFormatting>
  <conditionalFormatting sqref="X36:X37">
    <cfRule type="cellIs" dxfId="22" priority="224" operator="greaterThan">
      <formula>0</formula>
    </cfRule>
  </conditionalFormatting>
  <conditionalFormatting sqref="X39:X40">
    <cfRule type="cellIs" dxfId="21" priority="200" operator="greaterThan">
      <formula>0</formula>
    </cfRule>
  </conditionalFormatting>
  <conditionalFormatting sqref="X42:X43">
    <cfRule type="cellIs" dxfId="20" priority="176" operator="greaterThan">
      <formula>0</formula>
    </cfRule>
  </conditionalFormatting>
  <conditionalFormatting sqref="Y10">
    <cfRule type="cellIs" dxfId="19" priority="103" operator="greaterThan">
      <formula>0</formula>
    </cfRule>
  </conditionalFormatting>
  <conditionalFormatting sqref="Y13">
    <cfRule type="cellIs" dxfId="18" priority="102" operator="greaterThan">
      <formula>0</formula>
    </cfRule>
  </conditionalFormatting>
  <conditionalFormatting sqref="Y16">
    <cfRule type="cellIs" dxfId="17" priority="101" operator="greaterThan">
      <formula>0</formula>
    </cfRule>
  </conditionalFormatting>
  <conditionalFormatting sqref="Y19">
    <cfRule type="cellIs" dxfId="16" priority="100" operator="greaterThan">
      <formula>0</formula>
    </cfRule>
  </conditionalFormatting>
  <conditionalFormatting sqref="Y22">
    <cfRule type="cellIs" dxfId="15" priority="99" operator="greaterThan">
      <formula>0</formula>
    </cfRule>
  </conditionalFormatting>
  <conditionalFormatting sqref="Y25">
    <cfRule type="cellIs" dxfId="14" priority="98" operator="greaterThan">
      <formula>0</formula>
    </cfRule>
  </conditionalFormatting>
  <conditionalFormatting sqref="Y28">
    <cfRule type="cellIs" dxfId="13" priority="97" operator="greaterThan">
      <formula>0</formula>
    </cfRule>
  </conditionalFormatting>
  <conditionalFormatting sqref="Z9">
    <cfRule type="cellIs" dxfId="12" priority="319" operator="greaterThan">
      <formula>0</formula>
    </cfRule>
  </conditionalFormatting>
  <conditionalFormatting sqref="Z12">
    <cfRule type="cellIs" dxfId="11" priority="315" operator="greaterThan">
      <formula>0</formula>
    </cfRule>
  </conditionalFormatting>
  <conditionalFormatting sqref="Z15">
    <cfRule type="cellIs" dxfId="10" priority="313" operator="greaterThan">
      <formula>0</formula>
    </cfRule>
  </conditionalFormatting>
  <conditionalFormatting sqref="Z18">
    <cfRule type="cellIs" dxfId="9" priority="311" operator="greaterThan">
      <formula>0</formula>
    </cfRule>
  </conditionalFormatting>
  <conditionalFormatting sqref="Z21">
    <cfRule type="cellIs" dxfId="8" priority="309" operator="greaterThan">
      <formula>0</formula>
    </cfRule>
  </conditionalFormatting>
  <conditionalFormatting sqref="Z24">
    <cfRule type="cellIs" dxfId="7" priority="301" operator="greaterThan">
      <formula>0</formula>
    </cfRule>
  </conditionalFormatting>
  <conditionalFormatting sqref="Z27">
    <cfRule type="cellIs" dxfId="6" priority="391" operator="greaterThan">
      <formula>0</formula>
    </cfRule>
  </conditionalFormatting>
  <conditionalFormatting sqref="Z30:Z31">
    <cfRule type="cellIs" dxfId="5" priority="294" operator="greaterThan">
      <formula>0</formula>
    </cfRule>
  </conditionalFormatting>
  <conditionalFormatting sqref="Z33:Z34">
    <cfRule type="cellIs" dxfId="4" priority="270" operator="greaterThan">
      <formula>0</formula>
    </cfRule>
  </conditionalFormatting>
  <conditionalFormatting sqref="Z36:Z37">
    <cfRule type="cellIs" dxfId="3" priority="246" operator="greaterThan">
      <formula>0</formula>
    </cfRule>
  </conditionalFormatting>
  <conditionalFormatting sqref="Z39:Z40">
    <cfRule type="cellIs" dxfId="2" priority="222" operator="greaterThan">
      <formula>0</formula>
    </cfRule>
  </conditionalFormatting>
  <conditionalFormatting sqref="Z42:Z43">
    <cfRule type="cellIs" dxfId="1" priority="198" operator="greaterThan">
      <formula>0</formula>
    </cfRule>
  </conditionalFormatting>
  <conditionalFormatting sqref="AD13">
    <cfRule type="cellIs" dxfId="0" priority="118" operator="greaterThan">
      <formula>0</formula>
    </cfRule>
  </conditionalFormatting>
  <dataValidations count="9">
    <dataValidation type="list" allowBlank="1" showInputMessage="1" showErrorMessage="1" sqref="D23" xr:uid="{00000000-0002-0000-0000-000001000000}">
      <formula1>"棱镜,光栅石"</formula1>
    </dataValidation>
    <dataValidation type="list" allowBlank="1" showInputMessage="1" showErrorMessage="1" sqref="N20" xr:uid="{00000000-0002-0000-0000-000002000000}">
      <formula1>"电磁涡轮,单极磁石"</formula1>
    </dataValidation>
    <dataValidation type="list" allowBlank="1" showInputMessage="1" showErrorMessage="1" sqref="N17" xr:uid="{00000000-0002-0000-0000-000003000000}">
      <formula1>"化工设备,硫酸海洋"</formula1>
    </dataValidation>
    <dataValidation type="list" allowBlank="1" showInputMessage="1" showErrorMessage="1" sqref="P11" xr:uid="{00000000-0002-0000-0000-000004000000}">
      <formula1>"原油,气态行星,可燃冰"</formula1>
    </dataValidation>
    <dataValidation type="list" allowBlank="1" showInputMessage="1" showErrorMessage="1" sqref="D2 E3 D5" xr:uid="{00000000-0002-0000-0000-000005000000}">
      <formula1>"个/S,个/min"</formula1>
    </dataValidation>
    <dataValidation type="list" allowBlank="1" showInputMessage="1" showErrorMessage="1" sqref="N11" xr:uid="{00000000-0002-0000-0000-000006000000}">
      <formula1>"石墨,金伯利矿石"</formula1>
    </dataValidation>
    <dataValidation type="list" allowBlank="1" showInputMessage="1" showErrorMessage="1" sqref="R11" xr:uid="{00000000-0002-0000-0000-000007000000}">
      <formula1>"化工设备,有机晶体矿"</formula1>
    </dataValidation>
    <dataValidation type="list" allowBlank="1" showInputMessage="1" showErrorMessage="1" sqref="T8" xr:uid="{00000000-0002-0000-0000-000008000000}">
      <formula1>"化工设备,可燃冰"</formula1>
    </dataValidation>
    <dataValidation type="list" allowBlank="1" showInputMessage="1" showErrorMessage="1" sqref="E5 F2:F3" xr:uid="{00000000-0002-0000-0000-000000000000}">
      <formula1>"0.75,1,1.5"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EFF5-A914-418A-ABE2-0CF277931A86}">
  <dimension ref="A1:AM66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A54" sqref="AA54"/>
    </sheetView>
  </sheetViews>
  <sheetFormatPr defaultRowHeight="13.8" x14ac:dyDescent="0.25"/>
  <cols>
    <col min="1" max="1" width="11.6640625" style="66" bestFit="1" customWidth="1"/>
    <col min="2" max="2" width="19" style="67" bestFit="1" customWidth="1"/>
    <col min="3" max="3" width="8.88671875" style="67" customWidth="1"/>
    <col min="4" max="5" width="8.88671875" style="67"/>
    <col min="6" max="6" width="8.88671875" style="67" customWidth="1"/>
    <col min="7" max="16384" width="8.88671875" style="67"/>
  </cols>
  <sheetData>
    <row r="1" spans="1:39" s="66" customFormat="1" x14ac:dyDescent="0.25">
      <c r="A1" s="66" t="s">
        <v>175</v>
      </c>
      <c r="B1" s="66" t="s">
        <v>162</v>
      </c>
      <c r="C1" s="66" t="s">
        <v>172</v>
      </c>
      <c r="D1" s="66" t="s">
        <v>134</v>
      </c>
      <c r="E1" s="66" t="s">
        <v>170</v>
      </c>
      <c r="F1" s="66" t="s">
        <v>179</v>
      </c>
      <c r="G1" s="66" t="s">
        <v>130</v>
      </c>
      <c r="H1" s="66" t="s">
        <v>167</v>
      </c>
      <c r="I1" s="66" t="s">
        <v>161</v>
      </c>
      <c r="J1" s="66" t="s">
        <v>197</v>
      </c>
      <c r="K1" s="66" t="s">
        <v>192</v>
      </c>
      <c r="L1" s="66" t="s">
        <v>164</v>
      </c>
      <c r="M1" s="66" t="s">
        <v>186</v>
      </c>
      <c r="N1" s="66" t="s">
        <v>174</v>
      </c>
      <c r="O1" s="66" t="s">
        <v>182</v>
      </c>
      <c r="P1" s="66" t="s">
        <v>190</v>
      </c>
      <c r="Q1" s="66" t="s">
        <v>163</v>
      </c>
      <c r="R1" s="66" t="s">
        <v>180</v>
      </c>
      <c r="S1" s="66" t="s">
        <v>146</v>
      </c>
      <c r="T1" s="66" t="s">
        <v>181</v>
      </c>
      <c r="U1" s="66" t="s">
        <v>165</v>
      </c>
      <c r="V1" s="66" t="s">
        <v>224</v>
      </c>
      <c r="W1" s="66" t="s">
        <v>173</v>
      </c>
      <c r="X1" s="66" t="s">
        <v>177</v>
      </c>
      <c r="Y1" s="66" t="s">
        <v>206</v>
      </c>
      <c r="Z1" s="66" t="s">
        <v>244</v>
      </c>
      <c r="AA1" s="66" t="s">
        <v>48</v>
      </c>
      <c r="AB1" s="66" t="s">
        <v>49</v>
      </c>
      <c r="AC1" s="66" t="s">
        <v>196</v>
      </c>
      <c r="AD1" s="66" t="s">
        <v>183</v>
      </c>
      <c r="AE1" s="66" t="s">
        <v>235</v>
      </c>
      <c r="AF1" s="66" t="s">
        <v>229</v>
      </c>
      <c r="AG1" s="66" t="s">
        <v>241</v>
      </c>
      <c r="AH1" s="66" t="s">
        <v>225</v>
      </c>
      <c r="AI1" s="66" t="s">
        <v>251</v>
      </c>
      <c r="AJ1" s="83" t="s">
        <v>189</v>
      </c>
      <c r="AK1" s="66" t="s">
        <v>216</v>
      </c>
      <c r="AL1" s="66" t="s">
        <v>217</v>
      </c>
      <c r="AM1" s="66" t="s">
        <v>230</v>
      </c>
    </row>
    <row r="2" spans="1:39" x14ac:dyDescent="0.25">
      <c r="A2" s="75" t="s">
        <v>191</v>
      </c>
      <c r="G2" s="67">
        <v>2</v>
      </c>
      <c r="H2" s="67">
        <v>1</v>
      </c>
    </row>
    <row r="3" spans="1:39" x14ac:dyDescent="0.25">
      <c r="A3" s="75" t="s">
        <v>193</v>
      </c>
      <c r="B3" s="67" t="str">
        <f>A2</f>
        <v>黄带</v>
      </c>
      <c r="K3" s="67">
        <v>1</v>
      </c>
    </row>
    <row r="4" spans="1:39" x14ac:dyDescent="0.25">
      <c r="A4" s="75" t="s">
        <v>195</v>
      </c>
      <c r="B4" s="67" t="str">
        <f>A3</f>
        <v>绿带</v>
      </c>
      <c r="L4" s="67">
        <v>1</v>
      </c>
      <c r="AC4" s="67">
        <v>1</v>
      </c>
    </row>
    <row r="5" spans="1:39" x14ac:dyDescent="0.25">
      <c r="A5" s="75" t="s">
        <v>198</v>
      </c>
      <c r="G5" s="67">
        <v>1</v>
      </c>
      <c r="N5" s="67">
        <v>1</v>
      </c>
    </row>
    <row r="6" spans="1:39" x14ac:dyDescent="0.25">
      <c r="A6" s="75" t="s">
        <v>199</v>
      </c>
      <c r="B6" s="67" t="str">
        <f>A5</f>
        <v>黄爪</v>
      </c>
      <c r="J6" s="67">
        <v>1</v>
      </c>
    </row>
    <row r="7" spans="1:39" x14ac:dyDescent="0.25">
      <c r="A7" s="75" t="s">
        <v>200</v>
      </c>
      <c r="B7" s="67" t="str">
        <f>A6</f>
        <v>绿爪</v>
      </c>
      <c r="K7" s="67">
        <v>1</v>
      </c>
    </row>
    <row r="8" spans="1:39" x14ac:dyDescent="0.25">
      <c r="A8" s="75" t="s">
        <v>201</v>
      </c>
      <c r="B8" s="67" t="str">
        <f>A7</f>
        <v>蓝爪</v>
      </c>
      <c r="L8" s="67">
        <v>1</v>
      </c>
      <c r="O8" s="67">
        <v>1</v>
      </c>
    </row>
    <row r="9" spans="1:39" x14ac:dyDescent="0.25">
      <c r="A9" s="74" t="s">
        <v>227</v>
      </c>
      <c r="E9" s="67">
        <v>2</v>
      </c>
      <c r="G9" s="67">
        <v>4</v>
      </c>
      <c r="I9" s="67">
        <v>2</v>
      </c>
      <c r="N9" s="67">
        <v>4</v>
      </c>
    </row>
    <row r="10" spans="1:39" x14ac:dyDescent="0.25">
      <c r="A10" s="74" t="s">
        <v>228</v>
      </c>
      <c r="B10" s="67" t="str">
        <f>A9</f>
        <v>电弧熔炉</v>
      </c>
      <c r="U10" s="67">
        <v>5</v>
      </c>
      <c r="AF10" s="67">
        <v>4</v>
      </c>
      <c r="AL10" s="67">
        <v>15</v>
      </c>
    </row>
    <row r="11" spans="1:39" x14ac:dyDescent="0.25">
      <c r="A11" s="74" t="s">
        <v>231</v>
      </c>
      <c r="B11" s="67" t="str">
        <f>A10</f>
        <v>位面熔炉</v>
      </c>
      <c r="O11" s="67">
        <v>4</v>
      </c>
      <c r="AM11" s="67">
        <v>40</v>
      </c>
    </row>
    <row r="12" spans="1:39" x14ac:dyDescent="0.25">
      <c r="A12" s="74" t="s">
        <v>232</v>
      </c>
      <c r="G12" s="67">
        <v>4</v>
      </c>
      <c r="H12" s="67">
        <v>8</v>
      </c>
      <c r="N12" s="67">
        <v>4</v>
      </c>
    </row>
    <row r="13" spans="1:39" x14ac:dyDescent="0.25">
      <c r="A13" s="74" t="s">
        <v>233</v>
      </c>
      <c r="B13" s="67" t="str">
        <f>A12</f>
        <v>一级台</v>
      </c>
      <c r="O13" s="67">
        <v>4</v>
      </c>
      <c r="AC13" s="67">
        <v>8</v>
      </c>
    </row>
    <row r="14" spans="1:39" x14ac:dyDescent="0.25">
      <c r="A14" s="74" t="s">
        <v>234</v>
      </c>
      <c r="B14" s="67" t="str">
        <f>A13</f>
        <v>二级台</v>
      </c>
      <c r="P14" s="67">
        <v>2</v>
      </c>
      <c r="AE14" s="67">
        <v>8</v>
      </c>
    </row>
    <row r="15" spans="1:39" x14ac:dyDescent="0.25">
      <c r="A15" s="74" t="s">
        <v>236</v>
      </c>
      <c r="B15" s="67" t="str">
        <f>A14</f>
        <v>三级台</v>
      </c>
      <c r="P15" s="67">
        <v>4</v>
      </c>
      <c r="AM15" s="67">
        <v>40</v>
      </c>
    </row>
    <row r="16" spans="1:39" x14ac:dyDescent="0.25">
      <c r="A16" s="74" t="s">
        <v>237</v>
      </c>
      <c r="D16" s="67">
        <v>4</v>
      </c>
      <c r="G16" s="67">
        <v>8</v>
      </c>
      <c r="I16" s="67">
        <v>4</v>
      </c>
      <c r="N16" s="67">
        <v>4</v>
      </c>
    </row>
    <row r="17" spans="1:39" x14ac:dyDescent="0.25">
      <c r="A17" s="74" t="s">
        <v>238</v>
      </c>
      <c r="B17" s="67" t="str">
        <f>A16</f>
        <v>研究站</v>
      </c>
      <c r="P17" s="67">
        <v>4</v>
      </c>
      <c r="AM17" s="67">
        <v>30</v>
      </c>
    </row>
    <row r="18" spans="1:39" x14ac:dyDescent="0.25">
      <c r="A18" s="74" t="s">
        <v>220</v>
      </c>
      <c r="E18" s="67">
        <v>10</v>
      </c>
      <c r="F18" s="67">
        <v>10</v>
      </c>
      <c r="N18" s="67">
        <v>6</v>
      </c>
      <c r="Q18" s="67">
        <v>6</v>
      </c>
    </row>
    <row r="19" spans="1:39" x14ac:dyDescent="0.25">
      <c r="A19" s="74" t="s">
        <v>221</v>
      </c>
      <c r="D19" s="67">
        <v>4</v>
      </c>
      <c r="E19" s="67">
        <v>4</v>
      </c>
      <c r="F19" s="67">
        <v>8</v>
      </c>
      <c r="O19" s="67">
        <v>1</v>
      </c>
    </row>
    <row r="20" spans="1:39" x14ac:dyDescent="0.25">
      <c r="A20" s="74" t="s">
        <v>222</v>
      </c>
      <c r="D20" s="67">
        <v>8</v>
      </c>
      <c r="E20" s="67">
        <v>8</v>
      </c>
      <c r="F20" s="67">
        <v>8</v>
      </c>
      <c r="N20" s="67">
        <v>2</v>
      </c>
    </row>
    <row r="21" spans="1:39" x14ac:dyDescent="0.25">
      <c r="A21" s="74" t="s">
        <v>223</v>
      </c>
      <c r="B21" s="67" t="str">
        <f>A20</f>
        <v>化工厂</v>
      </c>
      <c r="P21" s="67">
        <v>3</v>
      </c>
      <c r="V21" s="67">
        <v>10</v>
      </c>
      <c r="AH21" s="67">
        <v>3</v>
      </c>
    </row>
    <row r="22" spans="1:39" x14ac:dyDescent="0.25">
      <c r="A22" s="74" t="s">
        <v>226</v>
      </c>
      <c r="L22" s="67">
        <v>25</v>
      </c>
      <c r="O22" s="67">
        <v>8</v>
      </c>
      <c r="T22" s="67">
        <v>20</v>
      </c>
      <c r="U22" s="67">
        <v>20</v>
      </c>
      <c r="AC22" s="67">
        <v>10</v>
      </c>
    </row>
    <row r="23" spans="1:39" x14ac:dyDescent="0.25">
      <c r="A23" s="74" t="s">
        <v>205</v>
      </c>
      <c r="F23" s="67">
        <v>4</v>
      </c>
      <c r="N23" s="67">
        <v>2</v>
      </c>
      <c r="Q23" s="67">
        <v>2</v>
      </c>
      <c r="Y23" s="67">
        <v>2</v>
      </c>
    </row>
    <row r="24" spans="1:39" x14ac:dyDescent="0.25">
      <c r="A24" s="72" t="s">
        <v>187</v>
      </c>
      <c r="F24" s="67">
        <v>20</v>
      </c>
      <c r="L24" s="67">
        <v>20</v>
      </c>
      <c r="O24" s="67">
        <v>5</v>
      </c>
      <c r="R24" s="67">
        <v>10</v>
      </c>
      <c r="W24" s="67">
        <v>20</v>
      </c>
    </row>
    <row r="25" spans="1:39" x14ac:dyDescent="0.25">
      <c r="A25" s="72" t="s">
        <v>239</v>
      </c>
      <c r="F25" s="67">
        <v>20</v>
      </c>
      <c r="H25" s="67">
        <v>20</v>
      </c>
      <c r="L25" s="67">
        <v>10</v>
      </c>
      <c r="O25" s="67">
        <v>5</v>
      </c>
    </row>
    <row r="26" spans="1:39" x14ac:dyDescent="0.25">
      <c r="A26" s="72" t="s">
        <v>240</v>
      </c>
      <c r="P26" s="67">
        <v>10</v>
      </c>
      <c r="T26" s="67">
        <v>80</v>
      </c>
      <c r="U26" s="67">
        <v>30</v>
      </c>
      <c r="AG26" s="67">
        <v>20</v>
      </c>
    </row>
    <row r="27" spans="1:39" x14ac:dyDescent="0.25">
      <c r="A27" s="73" t="s">
        <v>159</v>
      </c>
      <c r="G27" s="67">
        <v>2</v>
      </c>
      <c r="I27" s="67">
        <v>1</v>
      </c>
    </row>
    <row r="28" spans="1:39" x14ac:dyDescent="0.25">
      <c r="A28" s="73" t="s">
        <v>160</v>
      </c>
      <c r="B28" s="67" t="str">
        <f>A27</f>
        <v>一级电线杆</v>
      </c>
      <c r="Q28" s="67">
        <v>3</v>
      </c>
    </row>
    <row r="29" spans="1:39" x14ac:dyDescent="0.25">
      <c r="A29" s="73" t="s">
        <v>166</v>
      </c>
      <c r="B29" s="67" t="str">
        <f>A28</f>
        <v>二级电线杆</v>
      </c>
      <c r="L29" s="67">
        <v>10</v>
      </c>
      <c r="U29" s="67">
        <v>2</v>
      </c>
    </row>
    <row r="30" spans="1:39" x14ac:dyDescent="0.25">
      <c r="A30" s="73" t="s">
        <v>168</v>
      </c>
      <c r="G30" s="67">
        <v>6</v>
      </c>
      <c r="H30" s="67">
        <v>1</v>
      </c>
      <c r="I30" s="67">
        <v>3</v>
      </c>
    </row>
    <row r="31" spans="1:39" x14ac:dyDescent="0.25">
      <c r="A31" s="73" t="s">
        <v>169</v>
      </c>
      <c r="E31" s="67">
        <v>4</v>
      </c>
      <c r="G31" s="67">
        <v>10</v>
      </c>
      <c r="H31" s="67">
        <v>4</v>
      </c>
      <c r="I31" s="67">
        <v>4</v>
      </c>
    </row>
    <row r="32" spans="1:39" x14ac:dyDescent="0.25">
      <c r="A32" s="73" t="s">
        <v>171</v>
      </c>
      <c r="C32" s="67">
        <v>10</v>
      </c>
      <c r="N32" s="67">
        <v>5</v>
      </c>
      <c r="W32" s="67">
        <v>10</v>
      </c>
    </row>
    <row r="33" spans="1:37" x14ac:dyDescent="0.25">
      <c r="A33" s="73" t="s">
        <v>176</v>
      </c>
      <c r="G33" s="67">
        <v>6</v>
      </c>
      <c r="L33" s="67">
        <v>1</v>
      </c>
      <c r="X33" s="67">
        <v>3</v>
      </c>
    </row>
    <row r="34" spans="1:37" x14ac:dyDescent="0.25">
      <c r="A34" s="73" t="s">
        <v>178</v>
      </c>
      <c r="C34" s="67">
        <v>20</v>
      </c>
      <c r="F34" s="67">
        <v>15</v>
      </c>
      <c r="L34" s="67">
        <v>1</v>
      </c>
      <c r="R34" s="67">
        <v>4</v>
      </c>
    </row>
    <row r="35" spans="1:37" x14ac:dyDescent="0.25">
      <c r="A35" s="73" t="s">
        <v>184</v>
      </c>
      <c r="L35" s="67">
        <v>10</v>
      </c>
      <c r="O35" s="67">
        <v>4</v>
      </c>
      <c r="T35" s="67">
        <v>12</v>
      </c>
      <c r="AD35" s="67">
        <v>8</v>
      </c>
    </row>
    <row r="36" spans="1:37" x14ac:dyDescent="0.25">
      <c r="A36" s="73" t="s">
        <v>185</v>
      </c>
      <c r="F36" s="67">
        <v>40</v>
      </c>
      <c r="M36" s="67">
        <v>8</v>
      </c>
      <c r="O36" s="67">
        <v>40</v>
      </c>
      <c r="T36" s="67">
        <v>40</v>
      </c>
    </row>
    <row r="37" spans="1:37" x14ac:dyDescent="0.25">
      <c r="A37" s="73" t="s">
        <v>188</v>
      </c>
      <c r="P37" s="67">
        <v>10</v>
      </c>
      <c r="T37" s="67">
        <v>20</v>
      </c>
      <c r="U37" s="67">
        <v>20</v>
      </c>
      <c r="AJ37" s="67">
        <v>10</v>
      </c>
    </row>
    <row r="38" spans="1:37" x14ac:dyDescent="0.25">
      <c r="A38" s="71" t="s">
        <v>210</v>
      </c>
      <c r="G38" s="67">
        <v>8</v>
      </c>
      <c r="O38" s="67">
        <v>4</v>
      </c>
      <c r="Q38" s="67">
        <v>4</v>
      </c>
    </row>
    <row r="39" spans="1:37" x14ac:dyDescent="0.25">
      <c r="A39" s="71" t="s">
        <v>211</v>
      </c>
      <c r="F39" s="67">
        <v>40</v>
      </c>
      <c r="M39" s="67">
        <v>20</v>
      </c>
      <c r="O39" s="67">
        <v>40</v>
      </c>
      <c r="S39" s="67">
        <v>40</v>
      </c>
    </row>
    <row r="40" spans="1:37" x14ac:dyDescent="0.25">
      <c r="A40" s="71" t="s">
        <v>212</v>
      </c>
      <c r="B40" s="67" t="str">
        <f>A39</f>
        <v>行星物流塔</v>
      </c>
      <c r="M40" s="67">
        <v>20</v>
      </c>
      <c r="T40" s="67">
        <v>40</v>
      </c>
    </row>
    <row r="41" spans="1:37" x14ac:dyDescent="0.25">
      <c r="A41" s="71" t="s">
        <v>213</v>
      </c>
      <c r="B41" s="67" t="str">
        <f>A40&amp;"+"&amp;A33</f>
        <v>星际物流塔+电池</v>
      </c>
      <c r="L41" s="67">
        <v>50</v>
      </c>
      <c r="AB41" s="67">
        <v>20</v>
      </c>
    </row>
    <row r="42" spans="1:37" x14ac:dyDescent="0.25">
      <c r="A42" s="71" t="s">
        <v>254</v>
      </c>
      <c r="G42" s="67">
        <v>2</v>
      </c>
      <c r="O42" s="67">
        <v>1</v>
      </c>
      <c r="Z42" s="67">
        <v>1</v>
      </c>
    </row>
    <row r="43" spans="1:37" x14ac:dyDescent="0.25">
      <c r="A43" s="71" t="s">
        <v>255</v>
      </c>
      <c r="G43" s="67">
        <v>5</v>
      </c>
      <c r="O43" s="67">
        <v>2</v>
      </c>
      <c r="AA43" s="67">
        <v>2</v>
      </c>
    </row>
    <row r="44" spans="1:37" x14ac:dyDescent="0.25">
      <c r="A44" s="71" t="s">
        <v>256</v>
      </c>
      <c r="O44" s="67">
        <v>10</v>
      </c>
      <c r="T44" s="67">
        <v>10</v>
      </c>
      <c r="AB44" s="67">
        <v>2</v>
      </c>
    </row>
    <row r="45" spans="1:37" x14ac:dyDescent="0.25">
      <c r="A45" s="76" t="s">
        <v>214</v>
      </c>
      <c r="G45" s="67">
        <v>4</v>
      </c>
      <c r="H45" s="67">
        <v>2</v>
      </c>
      <c r="I45" s="67">
        <v>2</v>
      </c>
      <c r="N45" s="67">
        <v>2</v>
      </c>
    </row>
    <row r="46" spans="1:37" x14ac:dyDescent="0.25">
      <c r="A46" s="76" t="s">
        <v>215</v>
      </c>
      <c r="L46" s="67">
        <v>10</v>
      </c>
      <c r="P46" s="67">
        <v>4</v>
      </c>
      <c r="T46" s="67">
        <v>20</v>
      </c>
      <c r="U46" s="67">
        <v>10</v>
      </c>
      <c r="AK46" s="67">
        <v>40</v>
      </c>
    </row>
    <row r="47" spans="1:37" x14ac:dyDescent="0.25">
      <c r="A47" s="76" t="s">
        <v>218</v>
      </c>
      <c r="E47" s="67">
        <v>4</v>
      </c>
      <c r="G47" s="67">
        <v>8</v>
      </c>
      <c r="J47" s="67">
        <v>4</v>
      </c>
      <c r="N47" s="67">
        <v>2</v>
      </c>
    </row>
    <row r="48" spans="1:37" x14ac:dyDescent="0.25">
      <c r="A48" s="76" t="s">
        <v>219</v>
      </c>
      <c r="E48" s="67">
        <v>12</v>
      </c>
      <c r="F48" s="67">
        <v>12</v>
      </c>
      <c r="N48" s="67">
        <v>6</v>
      </c>
      <c r="Q48" s="67">
        <v>4</v>
      </c>
    </row>
    <row r="49" spans="1:35" x14ac:dyDescent="0.25">
      <c r="A49" s="77" t="s">
        <v>202</v>
      </c>
      <c r="G49" s="67">
        <v>3</v>
      </c>
      <c r="H49" s="67">
        <v>2</v>
      </c>
      <c r="N49" s="67">
        <v>1</v>
      </c>
    </row>
    <row r="50" spans="1:35" x14ac:dyDescent="0.25">
      <c r="A50" s="77" t="s">
        <v>203</v>
      </c>
      <c r="F50" s="67">
        <v>3</v>
      </c>
      <c r="H50" s="67">
        <v>4</v>
      </c>
      <c r="L50" s="67">
        <v>1</v>
      </c>
      <c r="O50" s="67">
        <v>1</v>
      </c>
    </row>
    <row r="51" spans="1:35" x14ac:dyDescent="0.25">
      <c r="A51" s="77" t="s">
        <v>204</v>
      </c>
      <c r="D51" s="67">
        <v>1</v>
      </c>
      <c r="G51" s="67">
        <v>3</v>
      </c>
      <c r="H51" s="67">
        <v>2</v>
      </c>
      <c r="N51" s="67">
        <v>2</v>
      </c>
    </row>
    <row r="52" spans="1:35" x14ac:dyDescent="0.25">
      <c r="A52" s="77" t="s">
        <v>207</v>
      </c>
      <c r="E52" s="67">
        <v>4</v>
      </c>
      <c r="G52" s="67">
        <v>4</v>
      </c>
    </row>
    <row r="53" spans="1:35" x14ac:dyDescent="0.25">
      <c r="A53" s="77" t="s">
        <v>208</v>
      </c>
      <c r="E53" s="67">
        <v>8</v>
      </c>
      <c r="F53" s="67">
        <v>8</v>
      </c>
    </row>
    <row r="54" spans="1:35" x14ac:dyDescent="0.25">
      <c r="A54" s="77" t="s">
        <v>209</v>
      </c>
      <c r="D54" s="67">
        <v>4</v>
      </c>
      <c r="E54" s="67">
        <v>4</v>
      </c>
      <c r="G54" s="67">
        <v>8</v>
      </c>
    </row>
    <row r="55" spans="1:35" x14ac:dyDescent="0.25">
      <c r="A55" s="70" t="s">
        <v>242</v>
      </c>
      <c r="G55" s="67">
        <v>8</v>
      </c>
      <c r="H55" s="67">
        <v>8</v>
      </c>
      <c r="I55" s="67">
        <v>2</v>
      </c>
      <c r="N55" s="67">
        <v>2</v>
      </c>
    </row>
    <row r="56" spans="1:35" x14ac:dyDescent="0.25">
      <c r="A56" s="70" t="s">
        <v>243</v>
      </c>
      <c r="F56" s="67">
        <v>8</v>
      </c>
      <c r="J56" s="67">
        <v>6</v>
      </c>
      <c r="N56" s="67">
        <v>12</v>
      </c>
      <c r="Z56" s="67">
        <v>6</v>
      </c>
    </row>
    <row r="57" spans="1:35" x14ac:dyDescent="0.25">
      <c r="A57" s="70" t="s">
        <v>245</v>
      </c>
      <c r="F57" s="67">
        <v>10</v>
      </c>
      <c r="J57" s="67">
        <v>8</v>
      </c>
      <c r="L57" s="67">
        <v>2</v>
      </c>
      <c r="N57" s="67">
        <v>10</v>
      </c>
    </row>
    <row r="58" spans="1:35" x14ac:dyDescent="0.25">
      <c r="A58" s="70" t="s">
        <v>246</v>
      </c>
      <c r="F58" s="67">
        <v>9</v>
      </c>
      <c r="N58" s="67">
        <v>6</v>
      </c>
      <c r="Q58" s="67">
        <v>6</v>
      </c>
      <c r="R58" s="67">
        <v>9</v>
      </c>
    </row>
    <row r="59" spans="1:35" x14ac:dyDescent="0.25">
      <c r="A59" s="70" t="s">
        <v>247</v>
      </c>
      <c r="L59" s="67">
        <v>10</v>
      </c>
      <c r="O59" s="67">
        <v>5</v>
      </c>
      <c r="Q59" s="67">
        <v>5</v>
      </c>
      <c r="T59" s="67">
        <v>20</v>
      </c>
      <c r="V59" s="67">
        <v>10</v>
      </c>
    </row>
    <row r="60" spans="1:35" x14ac:dyDescent="0.25">
      <c r="A60" s="70" t="s">
        <v>248</v>
      </c>
      <c r="F60" s="67">
        <v>15</v>
      </c>
      <c r="L60" s="67">
        <v>5</v>
      </c>
      <c r="O60" s="67">
        <v>5</v>
      </c>
      <c r="Q60" s="67">
        <v>5</v>
      </c>
    </row>
    <row r="61" spans="1:35" x14ac:dyDescent="0.25">
      <c r="A61" s="70" t="s">
        <v>249</v>
      </c>
      <c r="F61" s="67">
        <v>12</v>
      </c>
      <c r="N61" s="67">
        <v>18</v>
      </c>
      <c r="Y61" s="67">
        <v>6</v>
      </c>
      <c r="Z61" s="67">
        <v>12</v>
      </c>
    </row>
    <row r="62" spans="1:35" x14ac:dyDescent="0.25">
      <c r="A62" s="70" t="s">
        <v>250</v>
      </c>
      <c r="C62" s="67">
        <v>12</v>
      </c>
      <c r="O62" s="67">
        <v>3</v>
      </c>
      <c r="Q62" s="67">
        <v>9</v>
      </c>
      <c r="AI62" s="67">
        <v>6</v>
      </c>
    </row>
    <row r="63" spans="1:35" x14ac:dyDescent="0.25">
      <c r="A63" s="70" t="s">
        <v>252</v>
      </c>
      <c r="B63" s="67" t="str">
        <f>A28</f>
        <v>二级电线杆</v>
      </c>
      <c r="F63" s="67">
        <v>12</v>
      </c>
      <c r="X63" s="67">
        <v>6</v>
      </c>
    </row>
    <row r="64" spans="1:35" x14ac:dyDescent="0.25">
      <c r="A64" s="70" t="s">
        <v>253</v>
      </c>
      <c r="F64" s="67">
        <v>20</v>
      </c>
      <c r="K64" s="67">
        <v>20</v>
      </c>
      <c r="L64" s="67">
        <v>5</v>
      </c>
      <c r="M64" s="67">
        <v>5</v>
      </c>
    </row>
    <row r="66" spans="1:39" x14ac:dyDescent="0.25">
      <c r="A66" s="66" t="s">
        <v>257</v>
      </c>
      <c r="C66" s="67">
        <f>COUNTIF(C27:C64,"&gt;0")</f>
        <v>3</v>
      </c>
      <c r="D66" s="67">
        <f>COUNTIF(D2:D64,"&gt;0")</f>
        <v>5</v>
      </c>
      <c r="E66" s="67">
        <f>COUNTIF(E2:E64,"&gt;0")</f>
        <v>10</v>
      </c>
      <c r="F66" s="67">
        <f>COUNTIF(F2:F64,"&gt;0")</f>
        <v>19</v>
      </c>
      <c r="G66" s="67">
        <f t="shared" ref="G66:AM66" si="0">COUNTIF(G2:G64,"&gt;0")</f>
        <v>19</v>
      </c>
      <c r="H66" s="67">
        <f t="shared" si="0"/>
        <v>10</v>
      </c>
      <c r="I66" s="67">
        <f t="shared" si="0"/>
        <v>7</v>
      </c>
      <c r="J66" s="67">
        <f t="shared" si="0"/>
        <v>4</v>
      </c>
      <c r="K66" s="67">
        <f t="shared" si="0"/>
        <v>3</v>
      </c>
      <c r="L66" s="67">
        <f t="shared" si="0"/>
        <v>16</v>
      </c>
      <c r="M66" s="67">
        <f t="shared" si="0"/>
        <v>4</v>
      </c>
      <c r="N66" s="67">
        <f t="shared" si="0"/>
        <v>18</v>
      </c>
      <c r="O66" s="67">
        <f t="shared" si="0"/>
        <v>18</v>
      </c>
      <c r="P66" s="67">
        <f t="shared" si="0"/>
        <v>7</v>
      </c>
      <c r="Q66" s="67">
        <f t="shared" si="0"/>
        <v>9</v>
      </c>
      <c r="R66" s="67">
        <f t="shared" si="0"/>
        <v>3</v>
      </c>
      <c r="S66" s="67">
        <f t="shared" si="0"/>
        <v>1</v>
      </c>
      <c r="T66" s="67">
        <f t="shared" si="0"/>
        <v>9</v>
      </c>
      <c r="U66" s="67">
        <f t="shared" si="0"/>
        <v>6</v>
      </c>
      <c r="V66" s="67">
        <f t="shared" si="0"/>
        <v>2</v>
      </c>
      <c r="W66" s="67">
        <f t="shared" si="0"/>
        <v>2</v>
      </c>
      <c r="X66" s="67">
        <f t="shared" si="0"/>
        <v>2</v>
      </c>
      <c r="Y66" s="67">
        <f t="shared" si="0"/>
        <v>2</v>
      </c>
      <c r="Z66" s="67">
        <f t="shared" si="0"/>
        <v>3</v>
      </c>
      <c r="AA66" s="67">
        <f t="shared" si="0"/>
        <v>1</v>
      </c>
      <c r="AB66" s="67">
        <f t="shared" si="0"/>
        <v>2</v>
      </c>
      <c r="AC66" s="67">
        <f>COUNTIF(AC2:AC64,"&gt;0")</f>
        <v>3</v>
      </c>
      <c r="AD66" s="67">
        <f t="shared" si="0"/>
        <v>1</v>
      </c>
      <c r="AE66" s="67">
        <f t="shared" si="0"/>
        <v>1</v>
      </c>
      <c r="AF66" s="67">
        <f t="shared" si="0"/>
        <v>1</v>
      </c>
      <c r="AG66" s="67">
        <f t="shared" si="0"/>
        <v>1</v>
      </c>
      <c r="AH66" s="67">
        <f>COUNTIF(AH2:AH64,"&gt;0")</f>
        <v>1</v>
      </c>
      <c r="AI66" s="67">
        <f t="shared" si="0"/>
        <v>1</v>
      </c>
      <c r="AK66" s="67">
        <f t="shared" si="0"/>
        <v>1</v>
      </c>
      <c r="AL66" s="67">
        <f t="shared" si="0"/>
        <v>1</v>
      </c>
      <c r="AM66" s="67">
        <f t="shared" si="0"/>
        <v>3</v>
      </c>
    </row>
  </sheetData>
  <dataConsolidate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AE78-7C25-45F8-8F6E-43BEE0B788F7}">
  <dimension ref="B1:R54"/>
  <sheetViews>
    <sheetView tabSelected="1" workbookViewId="0">
      <selection activeCell="J16" sqref="J16"/>
    </sheetView>
  </sheetViews>
  <sheetFormatPr defaultRowHeight="13.8" x14ac:dyDescent="0.25"/>
  <cols>
    <col min="1" max="16384" width="8.88671875" style="57"/>
  </cols>
  <sheetData>
    <row r="1" spans="2:18" x14ac:dyDescent="0.25">
      <c r="B1" s="57" t="s">
        <v>116</v>
      </c>
      <c r="C1" s="57" t="s">
        <v>117</v>
      </c>
      <c r="D1" s="57" t="s">
        <v>118</v>
      </c>
      <c r="E1" s="57" t="s">
        <v>119</v>
      </c>
      <c r="G1" s="57" t="s">
        <v>120</v>
      </c>
    </row>
    <row r="2" spans="2:18" ht="15.6" x14ac:dyDescent="0.25">
      <c r="B2" s="58" t="s">
        <v>14</v>
      </c>
      <c r="C2" s="58">
        <v>8736</v>
      </c>
      <c r="D2" s="57">
        <f>N12</f>
        <v>90</v>
      </c>
      <c r="E2" s="57">
        <f>C2-D2</f>
        <v>8646</v>
      </c>
      <c r="G2" s="57" t="s">
        <v>121</v>
      </c>
      <c r="H2" s="57" t="s">
        <v>122</v>
      </c>
      <c r="I2" s="57" t="s">
        <v>123</v>
      </c>
      <c r="J2" s="57" t="s">
        <v>124</v>
      </c>
      <c r="K2" s="57" t="s">
        <v>125</v>
      </c>
      <c r="Q2" s="57">
        <v>1875</v>
      </c>
    </row>
    <row r="3" spans="2:18" ht="15.6" x14ac:dyDescent="0.25">
      <c r="B3" s="58" t="s">
        <v>15</v>
      </c>
      <c r="C3" s="58">
        <v>11184</v>
      </c>
      <c r="D3" s="57">
        <f>N12/2+I12*2</f>
        <v>180</v>
      </c>
      <c r="E3" s="57">
        <f>C3-D3</f>
        <v>11004</v>
      </c>
      <c r="G3" s="57">
        <f>E2+E6+E8+E11+E18</f>
        <v>24456</v>
      </c>
      <c r="H3" s="57">
        <f>E3+E5+E10+E15+E21</f>
        <v>38981.889872763335</v>
      </c>
      <c r="I3" s="57">
        <f>+E4+E13+E14+E16+E19</f>
        <v>23885.25</v>
      </c>
      <c r="J3" s="57">
        <f>E7+E9+E12+E17+E20</f>
        <v>26566.846666666668</v>
      </c>
      <c r="K3" s="57">
        <f>E5</f>
        <v>21504</v>
      </c>
      <c r="Q3" s="59">
        <v>1500</v>
      </c>
    </row>
    <row r="4" spans="2:18" ht="15.6" x14ac:dyDescent="0.25">
      <c r="B4" s="58" t="s">
        <v>17</v>
      </c>
      <c r="C4" s="58">
        <v>11040</v>
      </c>
      <c r="D4" s="57">
        <f>L12*2</f>
        <v>148.5</v>
      </c>
      <c r="E4" s="57">
        <f>C4-D4</f>
        <v>10891.5</v>
      </c>
      <c r="H4" s="57" t="s">
        <v>126</v>
      </c>
      <c r="Q4" s="57">
        <v>1200</v>
      </c>
    </row>
    <row r="5" spans="2:18" ht="15.6" x14ac:dyDescent="0.25">
      <c r="B5" s="58" t="s">
        <v>16</v>
      </c>
      <c r="C5" s="58">
        <v>21504</v>
      </c>
      <c r="E5" s="57">
        <f t="shared" ref="E5:E19" si="0">C5-D5</f>
        <v>21504</v>
      </c>
      <c r="H5" s="57">
        <f>E3+E10+E15+E21</f>
        <v>17477.889872763335</v>
      </c>
      <c r="Q5" s="57">
        <v>1200</v>
      </c>
    </row>
    <row r="6" spans="2:18" ht="15.6" x14ac:dyDescent="0.25">
      <c r="B6" s="58" t="s">
        <v>19</v>
      </c>
      <c r="C6" s="58">
        <v>6720</v>
      </c>
      <c r="D6" s="57">
        <f>O12*2</f>
        <v>90</v>
      </c>
      <c r="E6" s="57">
        <f t="shared" si="0"/>
        <v>6630</v>
      </c>
      <c r="Q6" s="57">
        <f>E2</f>
        <v>8646</v>
      </c>
      <c r="R6" s="57" t="s">
        <v>127</v>
      </c>
    </row>
    <row r="7" spans="2:18" ht="15.6" x14ac:dyDescent="0.25">
      <c r="B7" s="58" t="s">
        <v>18</v>
      </c>
      <c r="C7" s="58">
        <v>3840</v>
      </c>
      <c r="D7" s="57">
        <f>K12*2</f>
        <v>81</v>
      </c>
      <c r="E7" s="57">
        <f t="shared" si="0"/>
        <v>3759</v>
      </c>
      <c r="P7" s="57">
        <v>11139</v>
      </c>
      <c r="Q7" s="57">
        <f>E3</f>
        <v>11004</v>
      </c>
      <c r="R7" s="57" t="s">
        <v>128</v>
      </c>
    </row>
    <row r="8" spans="2:18" ht="15.6" x14ac:dyDescent="0.25">
      <c r="B8" s="58" t="s">
        <v>129</v>
      </c>
      <c r="C8" s="58">
        <v>1500</v>
      </c>
      <c r="E8" s="57">
        <f t="shared" si="0"/>
        <v>1500</v>
      </c>
      <c r="Q8" s="57">
        <v>6576</v>
      </c>
    </row>
    <row r="9" spans="2:18" ht="15.6" x14ac:dyDescent="0.25">
      <c r="B9" s="58" t="s">
        <v>7</v>
      </c>
      <c r="C9" s="58">
        <v>10500</v>
      </c>
      <c r="E9" s="57">
        <f t="shared" si="0"/>
        <v>10500</v>
      </c>
      <c r="Q9" s="57">
        <f>7536-N12</f>
        <v>7446</v>
      </c>
      <c r="R9" s="57" t="s">
        <v>130</v>
      </c>
    </row>
    <row r="10" spans="2:18" ht="15.6" x14ac:dyDescent="0.25">
      <c r="B10" s="58" t="s">
        <v>131</v>
      </c>
      <c r="C10" s="58">
        <v>4800</v>
      </c>
      <c r="E10" s="57">
        <f t="shared" si="0"/>
        <v>4800</v>
      </c>
      <c r="Q10" s="60">
        <v>1500</v>
      </c>
    </row>
    <row r="11" spans="2:18" ht="15.6" x14ac:dyDescent="0.25">
      <c r="B11" s="58" t="s">
        <v>132</v>
      </c>
      <c r="C11" s="58">
        <v>1920</v>
      </c>
      <c r="E11" s="57">
        <f t="shared" si="0"/>
        <v>1920</v>
      </c>
      <c r="I11" s="108" t="s">
        <v>186</v>
      </c>
      <c r="J11" s="57" t="s">
        <v>133</v>
      </c>
      <c r="K11" s="57" t="s">
        <v>134</v>
      </c>
      <c r="L11" s="57" t="s">
        <v>135</v>
      </c>
      <c r="M11" s="57" t="s">
        <v>136</v>
      </c>
      <c r="N11" s="57" t="s">
        <v>137</v>
      </c>
      <c r="O11" s="57" t="s">
        <v>138</v>
      </c>
      <c r="Q11" s="57">
        <v>3360</v>
      </c>
    </row>
    <row r="12" spans="2:18" ht="15.6" x14ac:dyDescent="0.25">
      <c r="B12" s="58" t="s">
        <v>21</v>
      </c>
      <c r="C12" s="58">
        <v>1920</v>
      </c>
      <c r="D12" s="57">
        <f>J12</f>
        <v>18</v>
      </c>
      <c r="E12" s="57">
        <f t="shared" si="0"/>
        <v>1902</v>
      </c>
      <c r="I12" s="108">
        <f>11.25*6</f>
        <v>67.5</v>
      </c>
      <c r="J12" s="57">
        <f>90-72</f>
        <v>18</v>
      </c>
      <c r="K12" s="57">
        <f>90*0.25+J12</f>
        <v>40.5</v>
      </c>
      <c r="L12" s="57">
        <f>22.5+J12+M12*3</f>
        <v>74.25</v>
      </c>
      <c r="M12" s="57">
        <f>56.25-45</f>
        <v>11.25</v>
      </c>
      <c r="N12" s="57">
        <f>450-360</f>
        <v>90</v>
      </c>
      <c r="O12" s="57">
        <f>22.5*2</f>
        <v>45</v>
      </c>
      <c r="Q12" s="57">
        <f>E6</f>
        <v>6630</v>
      </c>
      <c r="R12" s="57" t="s">
        <v>139</v>
      </c>
    </row>
    <row r="13" spans="2:18" ht="15.6" x14ac:dyDescent="0.25">
      <c r="B13" s="58" t="s">
        <v>29</v>
      </c>
      <c r="C13" s="58">
        <v>1920</v>
      </c>
      <c r="E13" s="57">
        <f t="shared" si="0"/>
        <v>1920</v>
      </c>
      <c r="Q13" s="57">
        <f>10500+960*2+1500</f>
        <v>13920</v>
      </c>
    </row>
    <row r="14" spans="2:18" ht="15.6" x14ac:dyDescent="0.25">
      <c r="B14" s="58" t="s">
        <v>140</v>
      </c>
      <c r="C14" s="58">
        <v>1200</v>
      </c>
      <c r="D14" s="57">
        <f>M12</f>
        <v>11.25</v>
      </c>
      <c r="E14" s="57">
        <f t="shared" si="0"/>
        <v>1188.75</v>
      </c>
      <c r="Q14" s="61">
        <v>1500</v>
      </c>
    </row>
    <row r="15" spans="2:18" ht="15.6" x14ac:dyDescent="0.25">
      <c r="B15" s="58" t="s">
        <v>141</v>
      </c>
      <c r="C15" s="58">
        <v>1560</v>
      </c>
      <c r="E15" s="57">
        <f t="shared" si="0"/>
        <v>1560</v>
      </c>
      <c r="Q15" s="57">
        <v>3120</v>
      </c>
    </row>
    <row r="16" spans="2:18" ht="15.6" x14ac:dyDescent="0.25">
      <c r="B16" s="58" t="s">
        <v>142</v>
      </c>
      <c r="C16" s="58">
        <v>960</v>
      </c>
      <c r="E16" s="57">
        <f t="shared" si="0"/>
        <v>960</v>
      </c>
      <c r="P16" s="57">
        <v>1200</v>
      </c>
      <c r="Q16" s="57">
        <v>1560</v>
      </c>
    </row>
    <row r="17" spans="2:18" ht="15.6" x14ac:dyDescent="0.25">
      <c r="B17" s="58" t="s">
        <v>143</v>
      </c>
      <c r="C17" s="58">
        <v>7680</v>
      </c>
      <c r="E17" s="57">
        <f t="shared" si="0"/>
        <v>7680</v>
      </c>
      <c r="Q17" s="57">
        <f>E14</f>
        <v>1188.75</v>
      </c>
      <c r="R17" s="57" t="s">
        <v>144</v>
      </c>
    </row>
    <row r="18" spans="2:18" ht="15.6" x14ac:dyDescent="0.25">
      <c r="B18" s="58" t="s">
        <v>145</v>
      </c>
      <c r="C18" s="58">
        <v>5760</v>
      </c>
      <c r="E18" s="57">
        <f t="shared" si="0"/>
        <v>5760</v>
      </c>
      <c r="Q18" s="57">
        <f>5520-J12-M12*3</f>
        <v>5468.25</v>
      </c>
      <c r="R18" s="57" t="s">
        <v>146</v>
      </c>
    </row>
    <row r="19" spans="2:18" ht="15.6" x14ac:dyDescent="0.25">
      <c r="B19" s="58" t="s">
        <v>147</v>
      </c>
      <c r="C19" s="58">
        <v>9600</v>
      </c>
      <c r="D19" s="57">
        <f>I12*10</f>
        <v>675</v>
      </c>
      <c r="E19" s="57">
        <f t="shared" si="0"/>
        <v>8925</v>
      </c>
      <c r="Q19" s="57">
        <f>E4</f>
        <v>10891.5</v>
      </c>
      <c r="R19" s="57" t="s">
        <v>148</v>
      </c>
    </row>
    <row r="20" spans="2:18" ht="15.6" x14ac:dyDescent="0.25">
      <c r="B20" s="58" t="s">
        <v>149</v>
      </c>
      <c r="C20" s="64" t="s">
        <v>158</v>
      </c>
      <c r="E20" s="57">
        <f>P54</f>
        <v>2725.8466666666668</v>
      </c>
      <c r="Q20" s="62">
        <v>1500</v>
      </c>
    </row>
    <row r="21" spans="2:18" ht="15.6" x14ac:dyDescent="0.25">
      <c r="B21" s="58" t="s">
        <v>150</v>
      </c>
      <c r="C21" s="65" t="s">
        <v>158</v>
      </c>
      <c r="E21" s="57">
        <f>SUM(E2:E20)/1000*1.001</f>
        <v>113.88987276333332</v>
      </c>
      <c r="Q21" s="57">
        <v>3360</v>
      </c>
    </row>
    <row r="22" spans="2:18" x14ac:dyDescent="0.25">
      <c r="Q22" s="57">
        <v>5375</v>
      </c>
    </row>
    <row r="23" spans="2:18" x14ac:dyDescent="0.25">
      <c r="D23" s="57" t="s">
        <v>151</v>
      </c>
      <c r="E23" s="57">
        <f>SUM(E2:E22)</f>
        <v>113889.98653943</v>
      </c>
      <c r="Q23" s="57">
        <v>10752</v>
      </c>
    </row>
    <row r="24" spans="2:18" x14ac:dyDescent="0.25">
      <c r="Q24" s="57">
        <v>21504</v>
      </c>
    </row>
    <row r="25" spans="2:18" x14ac:dyDescent="0.25">
      <c r="Q25" s="57">
        <v>1200</v>
      </c>
    </row>
    <row r="26" spans="2:18" x14ac:dyDescent="0.25">
      <c r="Q26" s="57">
        <v>1920</v>
      </c>
    </row>
    <row r="27" spans="2:18" x14ac:dyDescent="0.25">
      <c r="Q27" s="57">
        <v>5760</v>
      </c>
    </row>
    <row r="28" spans="2:18" x14ac:dyDescent="0.25">
      <c r="Q28" s="57">
        <v>1920</v>
      </c>
    </row>
    <row r="29" spans="2:18" x14ac:dyDescent="0.25">
      <c r="Q29" s="57">
        <v>960</v>
      </c>
    </row>
    <row r="30" spans="2:18" x14ac:dyDescent="0.25">
      <c r="Q30" s="57">
        <v>960</v>
      </c>
    </row>
    <row r="31" spans="2:18" x14ac:dyDescent="0.25">
      <c r="Q31" s="57">
        <v>1920</v>
      </c>
    </row>
    <row r="32" spans="2:18" x14ac:dyDescent="0.25">
      <c r="Q32" s="57">
        <v>1920</v>
      </c>
    </row>
    <row r="33" spans="17:18" x14ac:dyDescent="0.25">
      <c r="Q33" s="63">
        <v>1500</v>
      </c>
    </row>
    <row r="34" spans="17:18" x14ac:dyDescent="0.25">
      <c r="Q34" s="57">
        <v>600</v>
      </c>
    </row>
    <row r="35" spans="17:18" x14ac:dyDescent="0.25">
      <c r="Q35" s="57">
        <v>480</v>
      </c>
    </row>
    <row r="36" spans="17:18" x14ac:dyDescent="0.25">
      <c r="Q36" s="57">
        <v>960</v>
      </c>
    </row>
    <row r="37" spans="17:18" x14ac:dyDescent="0.25">
      <c r="Q37" s="57">
        <v>9600</v>
      </c>
    </row>
    <row r="38" spans="17:18" x14ac:dyDescent="0.25">
      <c r="Q38" s="57">
        <v>4800</v>
      </c>
    </row>
    <row r="39" spans="17:18" x14ac:dyDescent="0.25">
      <c r="Q39" s="57">
        <v>600</v>
      </c>
    </row>
    <row r="40" spans="17:18" x14ac:dyDescent="0.25">
      <c r="Q40" s="57">
        <v>960</v>
      </c>
    </row>
    <row r="41" spans="17:18" x14ac:dyDescent="0.25">
      <c r="Q41" s="57">
        <v>960</v>
      </c>
    </row>
    <row r="42" spans="17:18" x14ac:dyDescent="0.25">
      <c r="Q42" s="57">
        <v>7680</v>
      </c>
    </row>
    <row r="43" spans="17:18" x14ac:dyDescent="0.25">
      <c r="Q43" s="57">
        <v>1920</v>
      </c>
    </row>
    <row r="44" spans="17:18" x14ac:dyDescent="0.25">
      <c r="Q44" s="57">
        <v>1920</v>
      </c>
    </row>
    <row r="45" spans="17:18" x14ac:dyDescent="0.25">
      <c r="Q45" s="57">
        <v>1920</v>
      </c>
    </row>
    <row r="46" spans="17:18" x14ac:dyDescent="0.25">
      <c r="Q46" s="57">
        <f>1920-J12</f>
        <v>1902</v>
      </c>
      <c r="R46" s="57" t="s">
        <v>134</v>
      </c>
    </row>
    <row r="47" spans="17:18" x14ac:dyDescent="0.25">
      <c r="Q47" s="57">
        <f>E7</f>
        <v>3759</v>
      </c>
      <c r="R47" s="57" t="s">
        <v>152</v>
      </c>
    </row>
    <row r="48" spans="17:18" x14ac:dyDescent="0.25">
      <c r="Q48" s="57">
        <f>E12</f>
        <v>1902</v>
      </c>
      <c r="R48" s="57" t="s">
        <v>153</v>
      </c>
    </row>
    <row r="49" spans="14:18" x14ac:dyDescent="0.25">
      <c r="Q49" s="57">
        <v>1500</v>
      </c>
    </row>
    <row r="50" spans="14:18" x14ac:dyDescent="0.25">
      <c r="Q50" s="57">
        <v>1500</v>
      </c>
    </row>
    <row r="51" spans="14:18" x14ac:dyDescent="0.25">
      <c r="Q51" s="57">
        <f>SUM(Q2:Q50)+P7+P16</f>
        <v>204438.5</v>
      </c>
      <c r="R51" s="57" t="s">
        <v>154</v>
      </c>
    </row>
    <row r="53" spans="14:18" x14ac:dyDescent="0.25">
      <c r="N53" s="57" t="s">
        <v>149</v>
      </c>
      <c r="O53" s="57" t="s">
        <v>155</v>
      </c>
      <c r="P53" s="57" t="s">
        <v>156</v>
      </c>
      <c r="Q53" s="57" t="s">
        <v>157</v>
      </c>
    </row>
    <row r="54" spans="14:18" x14ac:dyDescent="0.25">
      <c r="O54" s="57">
        <f>Q51/60</f>
        <v>3407.3083333333334</v>
      </c>
      <c r="P54" s="57">
        <f>Q51/75</f>
        <v>2725.8466666666668</v>
      </c>
      <c r="Q54" s="57">
        <f>P54+P54/75</f>
        <v>2762.1912888888892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1CC-002D-48A9-BD68-A697DCEB1237}">
  <dimension ref="A1:AM36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3.8" x14ac:dyDescent="0.25"/>
  <cols>
    <col min="1" max="1" width="11.6640625" style="66" bestFit="1" customWidth="1"/>
    <col min="2" max="2" width="19" style="67" bestFit="1" customWidth="1"/>
    <col min="3" max="3" width="8.88671875" style="67" customWidth="1"/>
    <col min="4" max="5" width="8.88671875" style="67"/>
    <col min="6" max="6" width="8.88671875" style="67" customWidth="1"/>
    <col min="7" max="16384" width="8.88671875" style="67"/>
  </cols>
  <sheetData>
    <row r="1" spans="1:39" s="66" customFormat="1" x14ac:dyDescent="0.25">
      <c r="A1" s="66" t="s">
        <v>175</v>
      </c>
      <c r="B1" s="66" t="s">
        <v>162</v>
      </c>
      <c r="C1" s="66" t="s">
        <v>172</v>
      </c>
      <c r="D1" s="66" t="s">
        <v>134</v>
      </c>
      <c r="E1" s="66" t="s">
        <v>170</v>
      </c>
      <c r="F1" s="66" t="s">
        <v>179</v>
      </c>
      <c r="G1" s="66" t="s">
        <v>130</v>
      </c>
      <c r="H1" s="66" t="s">
        <v>167</v>
      </c>
      <c r="I1" s="66" t="s">
        <v>161</v>
      </c>
      <c r="J1" s="66" t="s">
        <v>197</v>
      </c>
      <c r="K1" s="84" t="s">
        <v>192</v>
      </c>
      <c r="L1" s="66" t="s">
        <v>164</v>
      </c>
      <c r="M1" s="66" t="s">
        <v>186</v>
      </c>
      <c r="N1" s="66" t="s">
        <v>174</v>
      </c>
      <c r="O1" s="66" t="s">
        <v>182</v>
      </c>
      <c r="P1" s="66" t="s">
        <v>190</v>
      </c>
      <c r="Q1" s="66" t="s">
        <v>163</v>
      </c>
      <c r="R1" s="66" t="s">
        <v>180</v>
      </c>
      <c r="S1" s="66" t="s">
        <v>146</v>
      </c>
      <c r="T1" s="66" t="s">
        <v>181</v>
      </c>
      <c r="U1" s="66" t="s">
        <v>165</v>
      </c>
      <c r="V1" s="66" t="s">
        <v>224</v>
      </c>
      <c r="W1" s="66" t="s">
        <v>173</v>
      </c>
      <c r="X1" s="66" t="s">
        <v>177</v>
      </c>
      <c r="Y1" s="66" t="s">
        <v>206</v>
      </c>
      <c r="Z1" s="66" t="s">
        <v>244</v>
      </c>
      <c r="AA1" s="84" t="s">
        <v>48</v>
      </c>
      <c r="AB1" s="84" t="s">
        <v>49</v>
      </c>
      <c r="AC1" s="66" t="s">
        <v>196</v>
      </c>
      <c r="AD1" s="84" t="s">
        <v>183</v>
      </c>
      <c r="AE1" s="84" t="s">
        <v>235</v>
      </c>
      <c r="AF1" s="84" t="s">
        <v>229</v>
      </c>
      <c r="AG1" s="84" t="s">
        <v>241</v>
      </c>
      <c r="AH1" s="84" t="s">
        <v>225</v>
      </c>
      <c r="AI1" s="84" t="s">
        <v>251</v>
      </c>
      <c r="AJ1" s="86" t="s">
        <v>189</v>
      </c>
      <c r="AK1" s="85" t="s">
        <v>216</v>
      </c>
      <c r="AL1" s="85" t="s">
        <v>217</v>
      </c>
      <c r="AM1" s="85" t="s">
        <v>230</v>
      </c>
    </row>
    <row r="2" spans="1:39" x14ac:dyDescent="0.25">
      <c r="A2" s="74" t="s">
        <v>227</v>
      </c>
      <c r="E2" s="67">
        <v>2</v>
      </c>
      <c r="G2" s="67">
        <v>4</v>
      </c>
      <c r="I2" s="67">
        <v>2</v>
      </c>
      <c r="N2" s="67">
        <v>4</v>
      </c>
    </row>
    <row r="3" spans="1:39" x14ac:dyDescent="0.25">
      <c r="A3" s="74" t="s">
        <v>228</v>
      </c>
      <c r="B3" s="67" t="str">
        <f>A2</f>
        <v>电弧熔炉</v>
      </c>
      <c r="U3" s="67">
        <v>5</v>
      </c>
      <c r="AF3" s="67">
        <v>4</v>
      </c>
      <c r="AL3" s="67">
        <v>15</v>
      </c>
    </row>
    <row r="4" spans="1:39" x14ac:dyDescent="0.25">
      <c r="A4" s="74" t="s">
        <v>231</v>
      </c>
      <c r="B4" s="67" t="str">
        <f>A3</f>
        <v>位面熔炉</v>
      </c>
      <c r="O4" s="67">
        <v>4</v>
      </c>
      <c r="AM4" s="67">
        <v>40</v>
      </c>
    </row>
    <row r="5" spans="1:39" x14ac:dyDescent="0.25">
      <c r="A5" s="74" t="s">
        <v>232</v>
      </c>
      <c r="G5" s="67">
        <v>4</v>
      </c>
      <c r="H5" s="67">
        <v>8</v>
      </c>
      <c r="N5" s="67">
        <v>4</v>
      </c>
    </row>
    <row r="6" spans="1:39" x14ac:dyDescent="0.25">
      <c r="A6" s="74" t="s">
        <v>233</v>
      </c>
      <c r="B6" s="67" t="str">
        <f>A5</f>
        <v>一级台</v>
      </c>
      <c r="O6" s="67">
        <v>4</v>
      </c>
      <c r="AC6" s="67">
        <v>8</v>
      </c>
    </row>
    <row r="7" spans="1:39" x14ac:dyDescent="0.25">
      <c r="A7" s="74" t="s">
        <v>234</v>
      </c>
      <c r="B7" s="67" t="str">
        <f>A6</f>
        <v>二级台</v>
      </c>
      <c r="P7" s="67">
        <v>2</v>
      </c>
      <c r="AE7" s="67">
        <v>8</v>
      </c>
    </row>
    <row r="8" spans="1:39" x14ac:dyDescent="0.25">
      <c r="A8" s="74" t="s">
        <v>236</v>
      </c>
      <c r="B8" s="67" t="str">
        <f>A7</f>
        <v>三级台</v>
      </c>
      <c r="P8" s="67">
        <v>4</v>
      </c>
      <c r="AM8" s="67">
        <v>40</v>
      </c>
    </row>
    <row r="9" spans="1:39" x14ac:dyDescent="0.25">
      <c r="A9" s="74" t="s">
        <v>237</v>
      </c>
      <c r="D9" s="67">
        <v>4</v>
      </c>
      <c r="G9" s="67">
        <v>8</v>
      </c>
      <c r="I9" s="67">
        <v>4</v>
      </c>
      <c r="N9" s="67">
        <v>4</v>
      </c>
    </row>
    <row r="10" spans="1:39" x14ac:dyDescent="0.25">
      <c r="A10" s="74" t="s">
        <v>238</v>
      </c>
      <c r="B10" s="67" t="str">
        <f>A9</f>
        <v>研究站</v>
      </c>
      <c r="P10" s="67">
        <v>4</v>
      </c>
      <c r="AM10" s="67">
        <v>30</v>
      </c>
    </row>
    <row r="11" spans="1:39" x14ac:dyDescent="0.25">
      <c r="A11" s="74" t="s">
        <v>220</v>
      </c>
      <c r="E11" s="67">
        <v>10</v>
      </c>
      <c r="F11" s="67">
        <v>10</v>
      </c>
      <c r="N11" s="67">
        <v>6</v>
      </c>
      <c r="Q11" s="67">
        <v>6</v>
      </c>
    </row>
    <row r="13" spans="1:39" x14ac:dyDescent="0.25">
      <c r="A13" s="74" t="s">
        <v>222</v>
      </c>
      <c r="D13" s="67">
        <v>8</v>
      </c>
      <c r="E13" s="67">
        <v>8</v>
      </c>
      <c r="F13" s="67">
        <v>8</v>
      </c>
      <c r="N13" s="67">
        <v>2</v>
      </c>
    </row>
    <row r="14" spans="1:39" x14ac:dyDescent="0.25">
      <c r="A14" s="74" t="s">
        <v>223</v>
      </c>
      <c r="B14" s="67" t="str">
        <f>A13</f>
        <v>化工厂</v>
      </c>
      <c r="P14" s="67">
        <v>3</v>
      </c>
      <c r="V14" s="67">
        <v>10</v>
      </c>
      <c r="AH14" s="67">
        <v>3</v>
      </c>
    </row>
    <row r="15" spans="1:39" x14ac:dyDescent="0.25">
      <c r="A15" s="74" t="s">
        <v>226</v>
      </c>
      <c r="L15" s="67">
        <v>25</v>
      </c>
      <c r="O15" s="67">
        <v>8</v>
      </c>
      <c r="T15" s="67">
        <v>20</v>
      </c>
      <c r="U15" s="67">
        <v>20</v>
      </c>
      <c r="AC15" s="67">
        <v>10</v>
      </c>
    </row>
    <row r="16" spans="1:39" x14ac:dyDescent="0.25">
      <c r="A16" s="74" t="s">
        <v>205</v>
      </c>
      <c r="F16" s="67">
        <v>4</v>
      </c>
      <c r="N16" s="67">
        <v>2</v>
      </c>
      <c r="Q16" s="67">
        <v>2</v>
      </c>
      <c r="Y16" s="67">
        <v>2</v>
      </c>
    </row>
    <row r="17" spans="1:37" x14ac:dyDescent="0.25">
      <c r="A17" s="73" t="s">
        <v>159</v>
      </c>
      <c r="G17" s="67">
        <v>2</v>
      </c>
      <c r="I17" s="67">
        <v>1</v>
      </c>
    </row>
    <row r="18" spans="1:37" x14ac:dyDescent="0.25">
      <c r="A18" s="73" t="s">
        <v>160</v>
      </c>
      <c r="B18" s="67" t="str">
        <f>A17</f>
        <v>一级电线杆</v>
      </c>
      <c r="Q18" s="67">
        <v>3</v>
      </c>
    </row>
    <row r="19" spans="1:37" x14ac:dyDescent="0.25">
      <c r="A19" s="73" t="s">
        <v>166</v>
      </c>
      <c r="B19" s="67" t="str">
        <f>A18</f>
        <v>二级电线杆</v>
      </c>
      <c r="L19" s="67">
        <v>10</v>
      </c>
      <c r="U19" s="67">
        <v>2</v>
      </c>
    </row>
    <row r="20" spans="1:37" x14ac:dyDescent="0.25">
      <c r="A20" s="73" t="s">
        <v>188</v>
      </c>
      <c r="P20" s="67">
        <v>10</v>
      </c>
      <c r="T20" s="67">
        <v>20</v>
      </c>
      <c r="U20" s="67">
        <v>20</v>
      </c>
      <c r="AJ20" s="67">
        <v>10</v>
      </c>
    </row>
    <row r="21" spans="1:37" x14ac:dyDescent="0.25">
      <c r="A21" s="72" t="s">
        <v>187</v>
      </c>
      <c r="F21" s="67">
        <v>20</v>
      </c>
      <c r="L21" s="67">
        <v>20</v>
      </c>
      <c r="O21" s="67">
        <v>5</v>
      </c>
      <c r="R21" s="67">
        <v>10</v>
      </c>
      <c r="W21" s="67">
        <v>20</v>
      </c>
    </row>
    <row r="22" spans="1:37" x14ac:dyDescent="0.25">
      <c r="A22" s="70" t="s">
        <v>252</v>
      </c>
      <c r="B22" s="67" t="str">
        <f>A18</f>
        <v>二级电线杆</v>
      </c>
      <c r="F22" s="67">
        <v>12</v>
      </c>
      <c r="X22" s="67">
        <v>6</v>
      </c>
    </row>
    <row r="23" spans="1:37" x14ac:dyDescent="0.25">
      <c r="A23" s="73" t="s">
        <v>176</v>
      </c>
      <c r="G23" s="67">
        <v>6</v>
      </c>
      <c r="L23" s="67">
        <v>1</v>
      </c>
      <c r="X23" s="67">
        <v>3</v>
      </c>
    </row>
    <row r="24" spans="1:37" x14ac:dyDescent="0.25">
      <c r="A24" s="71" t="s">
        <v>211</v>
      </c>
      <c r="F24" s="67">
        <v>40</v>
      </c>
      <c r="M24" s="67">
        <v>20</v>
      </c>
      <c r="O24" s="67">
        <v>40</v>
      </c>
      <c r="S24" s="67">
        <v>40</v>
      </c>
    </row>
    <row r="25" spans="1:37" x14ac:dyDescent="0.25">
      <c r="A25" s="71" t="s">
        <v>212</v>
      </c>
      <c r="B25" s="67" t="str">
        <f>A24</f>
        <v>行星物流塔</v>
      </c>
      <c r="M25" s="67">
        <v>20</v>
      </c>
      <c r="T25" s="67">
        <v>40</v>
      </c>
    </row>
    <row r="26" spans="1:37" x14ac:dyDescent="0.25">
      <c r="A26" s="71" t="s">
        <v>213</v>
      </c>
      <c r="B26" s="67" t="str">
        <f>A25&amp;"+"&amp;A23</f>
        <v>星际物流塔+电池</v>
      </c>
      <c r="L26" s="67">
        <v>50</v>
      </c>
      <c r="AB26" s="67">
        <v>20</v>
      </c>
    </row>
    <row r="27" spans="1:37" x14ac:dyDescent="0.25">
      <c r="A27" s="71" t="s">
        <v>255</v>
      </c>
      <c r="G27" s="67">
        <v>5</v>
      </c>
      <c r="O27" s="67">
        <v>2</v>
      </c>
      <c r="AA27" s="67">
        <v>2</v>
      </c>
    </row>
    <row r="28" spans="1:37" x14ac:dyDescent="0.25">
      <c r="A28" s="71" t="s">
        <v>256</v>
      </c>
      <c r="O28" s="67">
        <v>10</v>
      </c>
      <c r="T28" s="67">
        <v>10</v>
      </c>
      <c r="AB28" s="67">
        <v>2</v>
      </c>
    </row>
    <row r="29" spans="1:37" x14ac:dyDescent="0.25">
      <c r="A29" s="76" t="s">
        <v>215</v>
      </c>
      <c r="L29" s="67">
        <v>10</v>
      </c>
      <c r="P29" s="67">
        <v>4</v>
      </c>
      <c r="T29" s="67">
        <v>20</v>
      </c>
      <c r="U29" s="67">
        <v>10</v>
      </c>
      <c r="AK29" s="67">
        <v>40</v>
      </c>
    </row>
    <row r="30" spans="1:37" x14ac:dyDescent="0.25">
      <c r="A30" s="76" t="s">
        <v>218</v>
      </c>
      <c r="E30" s="67">
        <v>4</v>
      </c>
      <c r="G30" s="67">
        <v>8</v>
      </c>
      <c r="J30" s="67">
        <v>4</v>
      </c>
      <c r="N30" s="67">
        <v>2</v>
      </c>
    </row>
    <row r="31" spans="1:37" x14ac:dyDescent="0.25">
      <c r="A31" s="76" t="s">
        <v>219</v>
      </c>
      <c r="E31" s="67">
        <v>12</v>
      </c>
      <c r="F31" s="67">
        <v>12</v>
      </c>
      <c r="N31" s="67">
        <v>6</v>
      </c>
      <c r="Q31" s="67">
        <v>4</v>
      </c>
    </row>
    <row r="32" spans="1:37" x14ac:dyDescent="0.25">
      <c r="A32" s="67"/>
    </row>
    <row r="33" spans="1:39" x14ac:dyDescent="0.25">
      <c r="A33" s="72" t="s">
        <v>239</v>
      </c>
      <c r="F33" s="67">
        <v>20</v>
      </c>
      <c r="H33" s="67">
        <v>20</v>
      </c>
      <c r="L33" s="67">
        <v>10</v>
      </c>
      <c r="O33" s="67">
        <v>5</v>
      </c>
    </row>
    <row r="34" spans="1:39" x14ac:dyDescent="0.25">
      <c r="A34" s="72" t="s">
        <v>240</v>
      </c>
      <c r="P34" s="67">
        <v>10</v>
      </c>
      <c r="T34" s="67">
        <v>80</v>
      </c>
      <c r="U34" s="67">
        <v>30</v>
      </c>
      <c r="AG34" s="67">
        <v>20</v>
      </c>
    </row>
    <row r="35" spans="1:39" x14ac:dyDescent="0.25">
      <c r="A35" s="67"/>
    </row>
    <row r="36" spans="1:39" x14ac:dyDescent="0.25">
      <c r="A36" s="66" t="s">
        <v>257</v>
      </c>
      <c r="C36" s="67">
        <f>COUNTIF(C17:C35,"&gt;0")</f>
        <v>0</v>
      </c>
      <c r="D36" s="67">
        <f>COUNTIF(D2:D35,"&gt;0")</f>
        <v>2</v>
      </c>
      <c r="E36" s="67">
        <f>COUNTIF(E2:E35,"&gt;0")</f>
        <v>5</v>
      </c>
      <c r="F36" s="67">
        <f>COUNTIF(F2:F35,"&gt;0")</f>
        <v>8</v>
      </c>
      <c r="G36" s="67">
        <f>COUNTIF(G2:G35,"&gt;0")</f>
        <v>7</v>
      </c>
      <c r="H36" s="67">
        <f>COUNTIF(H2:H35,"&gt;0")</f>
        <v>2</v>
      </c>
      <c r="I36" s="67">
        <f>COUNTIF(I2:I35,"&gt;0")</f>
        <v>3</v>
      </c>
      <c r="J36" s="67">
        <f>COUNTIF(J2:J35,"&gt;0")</f>
        <v>1</v>
      </c>
      <c r="K36" s="67">
        <f>COUNTIF(K2:K35,"&gt;0")</f>
        <v>0</v>
      </c>
      <c r="L36" s="67">
        <f>COUNTIF(L2:L35,"&gt;0")</f>
        <v>7</v>
      </c>
      <c r="M36" s="67">
        <f>COUNTIF(M2:M35,"&gt;0")</f>
        <v>2</v>
      </c>
      <c r="N36" s="67">
        <f>COUNTIF(N2:N35,"&gt;0")</f>
        <v>8</v>
      </c>
      <c r="O36" s="67">
        <f>COUNTIF(O2:O35,"&gt;0")</f>
        <v>8</v>
      </c>
      <c r="P36" s="67">
        <f>COUNTIF(P2:P35,"&gt;0")</f>
        <v>7</v>
      </c>
      <c r="Q36" s="67">
        <f>COUNTIF(Q2:Q35,"&gt;0")</f>
        <v>4</v>
      </c>
      <c r="R36" s="67">
        <f>COUNTIF(R2:R35,"&gt;0")</f>
        <v>1</v>
      </c>
      <c r="S36" s="67">
        <f>COUNTIF(S2:S35,"&gt;0")</f>
        <v>1</v>
      </c>
      <c r="T36" s="67">
        <f>COUNTIF(T2:T35,"&gt;0")</f>
        <v>6</v>
      </c>
      <c r="U36" s="67">
        <f>COUNTIF(U2:U35,"&gt;0")</f>
        <v>6</v>
      </c>
      <c r="V36" s="67">
        <f>COUNTIF(V2:V35,"&gt;0")</f>
        <v>1</v>
      </c>
      <c r="W36" s="67">
        <f>COUNTIF(W2:W35,"&gt;0")</f>
        <v>1</v>
      </c>
      <c r="X36" s="67">
        <f>COUNTIF(X2:X35,"&gt;0")</f>
        <v>2</v>
      </c>
      <c r="Y36" s="67">
        <f>COUNTIF(Y2:Y35,"&gt;0")</f>
        <v>1</v>
      </c>
      <c r="Z36" s="67">
        <f>COUNTIF(Z2:Z35,"&gt;0")</f>
        <v>0</v>
      </c>
      <c r="AA36" s="67">
        <f>COUNTIF(AA2:AA35,"&gt;0")</f>
        <v>1</v>
      </c>
      <c r="AB36" s="67">
        <f>COUNTIF(AB2:AB35,"&gt;0")</f>
        <v>2</v>
      </c>
      <c r="AC36" s="67">
        <f>COUNTIF(AC2:AC35,"&gt;0")</f>
        <v>2</v>
      </c>
      <c r="AD36" s="67">
        <f>COUNTIF(AD2:AD35,"&gt;0")</f>
        <v>0</v>
      </c>
      <c r="AE36" s="67">
        <f>COUNTIF(AE2:AE35,"&gt;0")</f>
        <v>1</v>
      </c>
      <c r="AF36" s="67">
        <f>COUNTIF(AF2:AF35,"&gt;0")</f>
        <v>1</v>
      </c>
      <c r="AG36" s="67">
        <f>COUNTIF(AG2:AG35,"&gt;0")</f>
        <v>1</v>
      </c>
      <c r="AH36" s="67">
        <f>COUNTIF(AH2:AH35,"&gt;0")</f>
        <v>1</v>
      </c>
      <c r="AI36" s="67">
        <f>COUNTIF(AI2:AI35,"&gt;0")</f>
        <v>0</v>
      </c>
      <c r="AJ36" s="67">
        <f>COUNTIF(AJ2:AJ35,"&gt;0")</f>
        <v>1</v>
      </c>
      <c r="AK36" s="67">
        <f>COUNTIF(AK2:AK35,"&gt;0")</f>
        <v>1</v>
      </c>
      <c r="AL36" s="67">
        <f>COUNTIF(AL2:AL35,"&gt;0")</f>
        <v>1</v>
      </c>
      <c r="AM36" s="67">
        <f>COUNTIF(AM2:AM35,"&gt;0")</f>
        <v>3</v>
      </c>
    </row>
  </sheetData>
  <dataConsolidate/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8FB0-9405-47B7-9F71-DC88E4E936F9}">
  <dimension ref="A1:AM29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3.8" x14ac:dyDescent="0.25"/>
  <cols>
    <col min="1" max="1" width="11.6640625" style="66" bestFit="1" customWidth="1"/>
    <col min="2" max="2" width="19" style="67" bestFit="1" customWidth="1"/>
    <col min="3" max="3" width="8.88671875" style="67" customWidth="1"/>
    <col min="4" max="5" width="8.88671875" style="67"/>
    <col min="6" max="6" width="8.88671875" style="67" customWidth="1"/>
    <col min="7" max="16384" width="8.88671875" style="67"/>
  </cols>
  <sheetData>
    <row r="1" spans="1:39" s="66" customFormat="1" x14ac:dyDescent="0.25">
      <c r="A1" s="66" t="s">
        <v>175</v>
      </c>
      <c r="B1" s="66" t="s">
        <v>162</v>
      </c>
      <c r="C1" s="66" t="s">
        <v>172</v>
      </c>
      <c r="D1" s="66" t="s">
        <v>134</v>
      </c>
      <c r="E1" s="66" t="s">
        <v>170</v>
      </c>
      <c r="F1" s="66" t="s">
        <v>179</v>
      </c>
      <c r="G1" s="66" t="s">
        <v>130</v>
      </c>
      <c r="H1" s="66" t="s">
        <v>167</v>
      </c>
      <c r="I1" s="66" t="s">
        <v>161</v>
      </c>
      <c r="J1" s="66" t="s">
        <v>197</v>
      </c>
      <c r="K1" s="84" t="s">
        <v>192</v>
      </c>
      <c r="L1" s="66" t="s">
        <v>164</v>
      </c>
      <c r="M1" s="66" t="s">
        <v>186</v>
      </c>
      <c r="N1" s="66" t="s">
        <v>174</v>
      </c>
      <c r="O1" s="66" t="s">
        <v>182</v>
      </c>
      <c r="P1" s="66" t="s">
        <v>190</v>
      </c>
      <c r="Q1" s="66" t="s">
        <v>163</v>
      </c>
      <c r="R1" s="66" t="s">
        <v>180</v>
      </c>
      <c r="S1" s="66" t="s">
        <v>146</v>
      </c>
      <c r="T1" s="66" t="s">
        <v>181</v>
      </c>
      <c r="U1" s="66" t="s">
        <v>165</v>
      </c>
      <c r="V1" s="66" t="s">
        <v>224</v>
      </c>
      <c r="W1" s="66" t="s">
        <v>173</v>
      </c>
      <c r="X1" s="66" t="s">
        <v>177</v>
      </c>
      <c r="Y1" s="66" t="s">
        <v>206</v>
      </c>
      <c r="Z1" s="66" t="s">
        <v>244</v>
      </c>
      <c r="AA1" s="84" t="s">
        <v>48</v>
      </c>
      <c r="AB1" s="84" t="s">
        <v>49</v>
      </c>
      <c r="AC1" s="66" t="s">
        <v>196</v>
      </c>
      <c r="AD1" s="84" t="s">
        <v>183</v>
      </c>
      <c r="AE1" s="84" t="s">
        <v>235</v>
      </c>
      <c r="AF1" s="84" t="s">
        <v>229</v>
      </c>
      <c r="AG1" s="84" t="s">
        <v>241</v>
      </c>
      <c r="AH1" s="84" t="s">
        <v>225</v>
      </c>
      <c r="AI1" s="84" t="s">
        <v>251</v>
      </c>
      <c r="AJ1" s="86" t="s">
        <v>189</v>
      </c>
      <c r="AK1" s="85" t="s">
        <v>216</v>
      </c>
      <c r="AL1" s="85" t="s">
        <v>217</v>
      </c>
      <c r="AM1" s="85" t="s">
        <v>230</v>
      </c>
    </row>
    <row r="2" spans="1:39" x14ac:dyDescent="0.25">
      <c r="A2" s="74" t="s">
        <v>221</v>
      </c>
      <c r="D2" s="67">
        <v>4</v>
      </c>
      <c r="E2" s="67">
        <v>4</v>
      </c>
      <c r="F2" s="67">
        <v>8</v>
      </c>
      <c r="O2" s="67">
        <v>1</v>
      </c>
    </row>
    <row r="3" spans="1:39" x14ac:dyDescent="0.25">
      <c r="A3" s="73" t="s">
        <v>168</v>
      </c>
      <c r="G3" s="67">
        <v>6</v>
      </c>
      <c r="H3" s="67">
        <v>1</v>
      </c>
      <c r="I3" s="67">
        <v>3</v>
      </c>
    </row>
    <row r="4" spans="1:39" x14ac:dyDescent="0.25">
      <c r="A4" s="73" t="s">
        <v>169</v>
      </c>
      <c r="E4" s="67">
        <v>4</v>
      </c>
      <c r="G4" s="67">
        <v>10</v>
      </c>
      <c r="H4" s="67">
        <v>4</v>
      </c>
      <c r="I4" s="67">
        <v>4</v>
      </c>
    </row>
    <row r="5" spans="1:39" x14ac:dyDescent="0.25">
      <c r="A5" s="73" t="s">
        <v>171</v>
      </c>
      <c r="C5" s="67">
        <v>10</v>
      </c>
      <c r="N5" s="67">
        <v>5</v>
      </c>
      <c r="W5" s="67">
        <v>10</v>
      </c>
    </row>
    <row r="6" spans="1:39" x14ac:dyDescent="0.25">
      <c r="A6" s="73" t="s">
        <v>178</v>
      </c>
      <c r="C6" s="67">
        <v>20</v>
      </c>
      <c r="F6" s="67">
        <v>15</v>
      </c>
      <c r="L6" s="67">
        <v>1</v>
      </c>
      <c r="R6" s="67">
        <v>4</v>
      </c>
    </row>
    <row r="7" spans="1:39" x14ac:dyDescent="0.25">
      <c r="A7" s="73" t="s">
        <v>184</v>
      </c>
      <c r="L7" s="67">
        <v>10</v>
      </c>
      <c r="O7" s="67">
        <v>4</v>
      </c>
      <c r="T7" s="67">
        <v>12</v>
      </c>
      <c r="AD7" s="67">
        <v>8</v>
      </c>
    </row>
    <row r="8" spans="1:39" x14ac:dyDescent="0.25">
      <c r="A8" s="73" t="s">
        <v>185</v>
      </c>
      <c r="F8" s="67">
        <v>40</v>
      </c>
      <c r="M8" s="67">
        <v>8</v>
      </c>
      <c r="O8" s="67">
        <v>40</v>
      </c>
      <c r="T8" s="67">
        <v>40</v>
      </c>
    </row>
    <row r="9" spans="1:39" x14ac:dyDescent="0.25">
      <c r="A9" s="71" t="s">
        <v>210</v>
      </c>
      <c r="G9" s="67">
        <v>8</v>
      </c>
      <c r="O9" s="67">
        <v>4</v>
      </c>
      <c r="Q9" s="67">
        <v>4</v>
      </c>
    </row>
    <row r="10" spans="1:39" x14ac:dyDescent="0.25">
      <c r="A10" s="71" t="s">
        <v>254</v>
      </c>
      <c r="G10" s="67">
        <v>2</v>
      </c>
      <c r="O10" s="67">
        <v>1</v>
      </c>
      <c r="Z10" s="67">
        <v>1</v>
      </c>
    </row>
    <row r="11" spans="1:39" x14ac:dyDescent="0.25">
      <c r="A11" s="76" t="s">
        <v>214</v>
      </c>
      <c r="G11" s="67">
        <v>4</v>
      </c>
      <c r="H11" s="67">
        <v>2</v>
      </c>
      <c r="I11" s="67">
        <v>2</v>
      </c>
      <c r="N11" s="67">
        <v>2</v>
      </c>
    </row>
    <row r="12" spans="1:39" x14ac:dyDescent="0.25">
      <c r="A12" s="77" t="s">
        <v>202</v>
      </c>
      <c r="G12" s="67">
        <v>3</v>
      </c>
      <c r="H12" s="67">
        <v>2</v>
      </c>
      <c r="N12" s="67">
        <v>1</v>
      </c>
    </row>
    <row r="13" spans="1:39" x14ac:dyDescent="0.25">
      <c r="A13" s="77" t="s">
        <v>203</v>
      </c>
      <c r="F13" s="67">
        <v>3</v>
      </c>
      <c r="H13" s="67">
        <v>4</v>
      </c>
      <c r="L13" s="67">
        <v>1</v>
      </c>
      <c r="O13" s="67">
        <v>1</v>
      </c>
    </row>
    <row r="14" spans="1:39" x14ac:dyDescent="0.25">
      <c r="A14" s="77" t="s">
        <v>204</v>
      </c>
      <c r="D14" s="67">
        <v>1</v>
      </c>
      <c r="G14" s="67">
        <v>3</v>
      </c>
      <c r="H14" s="67">
        <v>2</v>
      </c>
      <c r="N14" s="67">
        <v>2</v>
      </c>
    </row>
    <row r="15" spans="1:39" x14ac:dyDescent="0.25">
      <c r="A15" s="77" t="s">
        <v>207</v>
      </c>
      <c r="E15" s="67">
        <v>4</v>
      </c>
      <c r="G15" s="67">
        <v>4</v>
      </c>
    </row>
    <row r="16" spans="1:39" x14ac:dyDescent="0.25">
      <c r="A16" s="77" t="s">
        <v>208</v>
      </c>
      <c r="E16" s="67">
        <v>8</v>
      </c>
      <c r="F16" s="67">
        <v>8</v>
      </c>
    </row>
    <row r="17" spans="1:39" x14ac:dyDescent="0.25">
      <c r="A17" s="77" t="s">
        <v>209</v>
      </c>
      <c r="D17" s="67">
        <v>4</v>
      </c>
      <c r="E17" s="67">
        <v>4</v>
      </c>
      <c r="G17" s="67">
        <v>8</v>
      </c>
    </row>
    <row r="18" spans="1:39" x14ac:dyDescent="0.25">
      <c r="A18" s="70" t="s">
        <v>242</v>
      </c>
      <c r="G18" s="67">
        <v>8</v>
      </c>
      <c r="H18" s="67">
        <v>8</v>
      </c>
      <c r="I18" s="67">
        <v>2</v>
      </c>
      <c r="N18" s="67">
        <v>2</v>
      </c>
    </row>
    <row r="19" spans="1:39" x14ac:dyDescent="0.25">
      <c r="A19" s="70" t="s">
        <v>243</v>
      </c>
      <c r="F19" s="67">
        <v>8</v>
      </c>
      <c r="J19" s="67">
        <v>6</v>
      </c>
      <c r="N19" s="67">
        <v>12</v>
      </c>
      <c r="Z19" s="67">
        <v>6</v>
      </c>
    </row>
    <row r="20" spans="1:39" x14ac:dyDescent="0.25">
      <c r="A20" s="70" t="s">
        <v>245</v>
      </c>
      <c r="F20" s="67">
        <v>10</v>
      </c>
      <c r="J20" s="67">
        <v>8</v>
      </c>
      <c r="L20" s="67">
        <v>2</v>
      </c>
      <c r="N20" s="67">
        <v>10</v>
      </c>
    </row>
    <row r="21" spans="1:39" x14ac:dyDescent="0.25">
      <c r="A21" s="70" t="s">
        <v>246</v>
      </c>
      <c r="F21" s="67">
        <v>9</v>
      </c>
      <c r="N21" s="67">
        <v>6</v>
      </c>
      <c r="Q21" s="67">
        <v>6</v>
      </c>
      <c r="R21" s="67">
        <v>9</v>
      </c>
    </row>
    <row r="22" spans="1:39" x14ac:dyDescent="0.25">
      <c r="A22" s="70" t="s">
        <v>247</v>
      </c>
      <c r="L22" s="67">
        <v>10</v>
      </c>
      <c r="O22" s="67">
        <v>5</v>
      </c>
      <c r="Q22" s="67">
        <v>5</v>
      </c>
      <c r="T22" s="67">
        <v>20</v>
      </c>
      <c r="V22" s="67">
        <v>10</v>
      </c>
    </row>
    <row r="23" spans="1:39" x14ac:dyDescent="0.25">
      <c r="A23" s="70" t="s">
        <v>248</v>
      </c>
      <c r="F23" s="67">
        <v>15</v>
      </c>
      <c r="L23" s="67">
        <v>5</v>
      </c>
      <c r="O23" s="67">
        <v>5</v>
      </c>
      <c r="Q23" s="67">
        <v>5</v>
      </c>
    </row>
    <row r="24" spans="1:39" x14ac:dyDescent="0.25">
      <c r="A24" s="70" t="s">
        <v>249</v>
      </c>
      <c r="F24" s="67">
        <v>12</v>
      </c>
      <c r="N24" s="67">
        <v>18</v>
      </c>
      <c r="Y24" s="67">
        <v>6</v>
      </c>
      <c r="Z24" s="67">
        <v>12</v>
      </c>
    </row>
    <row r="25" spans="1:39" x14ac:dyDescent="0.25">
      <c r="A25" s="70" t="s">
        <v>250</v>
      </c>
      <c r="C25" s="67">
        <v>12</v>
      </c>
      <c r="O25" s="67">
        <v>3</v>
      </c>
      <c r="Q25" s="67">
        <v>9</v>
      </c>
      <c r="AI25" s="67">
        <v>6</v>
      </c>
    </row>
    <row r="26" spans="1:39" x14ac:dyDescent="0.25">
      <c r="A26" s="70" t="s">
        <v>252</v>
      </c>
      <c r="F26" s="67">
        <v>12</v>
      </c>
      <c r="X26" s="67">
        <v>6</v>
      </c>
    </row>
    <row r="27" spans="1:39" x14ac:dyDescent="0.25">
      <c r="A27" s="70" t="s">
        <v>253</v>
      </c>
      <c r="F27" s="67">
        <v>20</v>
      </c>
      <c r="K27" s="67">
        <v>20</v>
      </c>
      <c r="L27" s="67">
        <v>5</v>
      </c>
      <c r="M27" s="67">
        <v>5</v>
      </c>
    </row>
    <row r="29" spans="1:39" x14ac:dyDescent="0.25">
      <c r="A29" s="66" t="s">
        <v>257</v>
      </c>
      <c r="C29" s="67">
        <f>COUNTIF(C3:C27,"&gt;0")</f>
        <v>3</v>
      </c>
      <c r="D29" s="67">
        <f>COUNTIF(D3:D27,"&gt;0")</f>
        <v>2</v>
      </c>
      <c r="E29" s="67">
        <f>COUNTIF(E3:E27,"&gt;0")</f>
        <v>4</v>
      </c>
      <c r="F29" s="67">
        <f>COUNTIF(F3:F27,"&gt;0")</f>
        <v>11</v>
      </c>
      <c r="G29" s="67">
        <f>COUNTIF(G3:G27,"&gt;0")</f>
        <v>10</v>
      </c>
      <c r="H29" s="67">
        <f>COUNTIF(H3:H27,"&gt;0")</f>
        <v>7</v>
      </c>
      <c r="I29" s="67">
        <f>COUNTIF(I3:I27,"&gt;0")</f>
        <v>4</v>
      </c>
      <c r="J29" s="67">
        <f>COUNTIF(J3:J27,"&gt;0")</f>
        <v>2</v>
      </c>
      <c r="K29" s="67">
        <f>COUNTIF(K3:K27,"&gt;0")</f>
        <v>1</v>
      </c>
      <c r="L29" s="67">
        <f>COUNTIF(L3:L27,"&gt;0")</f>
        <v>7</v>
      </c>
      <c r="M29" s="67">
        <f>COUNTIF(M3:M27,"&gt;0")</f>
        <v>2</v>
      </c>
      <c r="N29" s="67">
        <f>COUNTIF(N3:N27,"&gt;0")</f>
        <v>9</v>
      </c>
      <c r="O29" s="67">
        <f>COUNTIF(O3:O27,"&gt;0")</f>
        <v>8</v>
      </c>
      <c r="P29" s="67">
        <f>COUNTIF(P3:P27,"&gt;0")</f>
        <v>0</v>
      </c>
      <c r="Q29" s="67">
        <f>COUNTIF(Q3:Q27,"&gt;0")</f>
        <v>5</v>
      </c>
      <c r="R29" s="67">
        <f>COUNTIF(R3:R27,"&gt;0")</f>
        <v>2</v>
      </c>
      <c r="S29" s="67">
        <f>COUNTIF(S3:S27,"&gt;0")</f>
        <v>0</v>
      </c>
      <c r="T29" s="67">
        <f>COUNTIF(T3:T27,"&gt;0")</f>
        <v>3</v>
      </c>
      <c r="U29" s="67">
        <f>COUNTIF(U3:U27,"&gt;0")</f>
        <v>0</v>
      </c>
      <c r="V29" s="67">
        <f>COUNTIF(V3:V27,"&gt;0")</f>
        <v>1</v>
      </c>
      <c r="W29" s="67">
        <f>COUNTIF(W3:W27,"&gt;0")</f>
        <v>1</v>
      </c>
      <c r="X29" s="67">
        <f>COUNTIF(X3:X27,"&gt;0")</f>
        <v>1</v>
      </c>
      <c r="Y29" s="67">
        <f>COUNTIF(Y3:Y27,"&gt;0")</f>
        <v>1</v>
      </c>
      <c r="Z29" s="67">
        <f>COUNTIF(Z3:Z27,"&gt;0")</f>
        <v>3</v>
      </c>
      <c r="AA29" s="67">
        <f>COUNTIF(AA3:AA27,"&gt;0")</f>
        <v>0</v>
      </c>
      <c r="AB29" s="67">
        <f>COUNTIF(AB3:AB27,"&gt;0")</f>
        <v>0</v>
      </c>
      <c r="AC29" s="67">
        <f>COUNTIF(AC3:AC27,"&gt;0")</f>
        <v>0</v>
      </c>
      <c r="AD29" s="67">
        <f>COUNTIF(AD3:AD27,"&gt;0")</f>
        <v>1</v>
      </c>
      <c r="AE29" s="67">
        <f>COUNTIF(AE3:AE27,"&gt;0")</f>
        <v>0</v>
      </c>
      <c r="AF29" s="67">
        <f>COUNTIF(AF3:AF27,"&gt;0")</f>
        <v>0</v>
      </c>
      <c r="AG29" s="67">
        <f>COUNTIF(AG3:AG27,"&gt;0")</f>
        <v>0</v>
      </c>
      <c r="AH29" s="67">
        <f>COUNTIF(AH3:AH27,"&gt;0")</f>
        <v>0</v>
      </c>
      <c r="AI29" s="67">
        <f>COUNTIF(AI3:AI27,"&gt;0")</f>
        <v>1</v>
      </c>
      <c r="AJ29" s="67">
        <f>COUNTIF(AJ3:AJ27,"&gt;0")</f>
        <v>0</v>
      </c>
      <c r="AK29" s="67">
        <f>COUNTIF(AK3:AK27,"&gt;0")</f>
        <v>0</v>
      </c>
      <c r="AL29" s="67">
        <f>COUNTIF(AL3:AL27,"&gt;0")</f>
        <v>0</v>
      </c>
      <c r="AM29" s="67">
        <f>COUNTIF(AM3:AM27,"&gt;0")</f>
        <v>0</v>
      </c>
    </row>
  </sheetData>
  <dataConsolidate/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defaultColWidth="9" defaultRowHeight="13.8" x14ac:dyDescent="0.25"/>
  <sheetData>
    <row r="1" spans="1:2" x14ac:dyDescent="0.25">
      <c r="A1">
        <f>IF(量化计算器!D2="个/S",1,60)</f>
        <v>60</v>
      </c>
      <c r="B1" s="54" t="s">
        <v>261</v>
      </c>
    </row>
    <row r="2" spans="1:2" x14ac:dyDescent="0.25">
      <c r="A2">
        <f>IF(一些计算!A2="黄带",360,IF(一些计算!A2="绿带",720,IF(一些计算!A2="蓝带",1800,0)))*一些计算!B2</f>
        <v>7200</v>
      </c>
      <c r="B2" s="54" t="s">
        <v>262</v>
      </c>
    </row>
  </sheetData>
  <phoneticPr fontId="20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  <pixelatorList sheetStid="5"/>
  <pixelatorList sheetStid="6"/>
  <pixelatorList sheetStid="7"/>
</pixelator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1" master=""/>
  <rangeList sheetStid="2" master=""/>
  <rangeList sheetStid="4" master=""/>
  <rangeList sheetStid="3" master=""/>
  <rangeList sheetStid="5" master=""/>
  <rangeList sheetStid="6" master=""/>
  <rangeList sheetStid="7" master=""/>
</allowEditUser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4" interlineOnOff="0" interlineColor="0"/>
  <interlineItem sheetStid="3" interlineOnOff="0" interlineColor="0"/>
  <interlineItem sheetStid="5" interlineOnOff="0" interlineColor="0"/>
  <interlineItem sheetStid="6" interlineOnOff="0" interlineColor="0"/>
  <interlineItem sheetStid="7" interlineOnOff="0" interlineColor="0"/>
</sheetInterlin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一些计算</vt:lpstr>
      <vt:lpstr>量化计算器</vt:lpstr>
      <vt:lpstr>全建筑</vt:lpstr>
      <vt:lpstr>1875</vt:lpstr>
      <vt:lpstr>常用建筑</vt:lpstr>
      <vt:lpstr>非常用建筑 </vt:lpstr>
      <vt:lpstr>勿动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xv H</dc:creator>
  <cp:lastModifiedBy>碳钾 氢</cp:lastModifiedBy>
  <dcterms:created xsi:type="dcterms:W3CDTF">2015-06-06T02:19:00Z</dcterms:created>
  <dcterms:modified xsi:type="dcterms:W3CDTF">2024-04-18T19:29:51Z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