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Desktop\戴森球\"/>
    </mc:Choice>
  </mc:AlternateContent>
  <xr:revisionPtr revIDLastSave="0" documentId="13_ncr:1_{FE664E64-9B29-4CAD-A268-DE392C2241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一些计算" sheetId="4" r:id="rId1"/>
    <sheet name="全建筑" sheetId="9" r:id="rId2"/>
    <sheet name="量化计算器" sheetId="1" r:id="rId3"/>
    <sheet name="1875" sheetId="8" r:id="rId4"/>
    <sheet name="火箭" sheetId="10" r:id="rId5"/>
    <sheet name="勿动" sheetId="2" r:id="rId6"/>
  </sheets>
  <calcPr calcId="191029"/>
  <fileRecoveryPr repairLoad="1"/>
</workbook>
</file>

<file path=xl/calcChain.xml><?xml version="1.0" encoding="utf-8"?>
<calcChain xmlns="http://schemas.openxmlformats.org/spreadsheetml/2006/main">
  <c r="H4" i="10" l="1"/>
  <c r="K2" i="10"/>
  <c r="I4" i="10"/>
  <c r="J4" i="10"/>
  <c r="K4" i="10"/>
  <c r="L2" i="10"/>
  <c r="L4" i="10"/>
  <c r="E4" i="10"/>
  <c r="E5" i="10"/>
  <c r="E6" i="10"/>
  <c r="E7" i="10"/>
  <c r="E8" i="10"/>
  <c r="E9" i="10"/>
  <c r="E10" i="10"/>
  <c r="E11" i="10"/>
  <c r="E12" i="10"/>
  <c r="E13" i="10"/>
  <c r="E14" i="10"/>
  <c r="E15" i="10"/>
  <c r="M4" i="10" s="1"/>
  <c r="E3" i="10"/>
  <c r="D15" i="10"/>
  <c r="D9" i="10"/>
  <c r="D13" i="10"/>
  <c r="D7" i="10"/>
  <c r="D6" i="10"/>
  <c r="D4" i="10"/>
  <c r="D3" i="10"/>
  <c r="R10" i="10"/>
  <c r="O10" i="10"/>
  <c r="Q10" i="10"/>
  <c r="P10" i="10"/>
  <c r="N10" i="10"/>
  <c r="Q13" i="10"/>
  <c r="O13" i="10"/>
  <c r="L10" i="10"/>
  <c r="K10" i="10"/>
  <c r="C18" i="10"/>
  <c r="G4" i="10" s="1"/>
  <c r="J10" i="10"/>
  <c r="D2" i="2"/>
  <c r="E5" i="4"/>
  <c r="D6" i="4"/>
  <c r="C11" i="9"/>
  <c r="C10" i="9" s="1"/>
  <c r="R7" i="2"/>
  <c r="Q6" i="2"/>
  <c r="AJ4" i="2"/>
  <c r="S4" i="2"/>
  <c r="R3" i="2"/>
  <c r="O2" i="2"/>
  <c r="N2" i="2"/>
  <c r="I12" i="8"/>
  <c r="D7" i="8"/>
  <c r="F15" i="4"/>
  <c r="G15" i="4" s="1"/>
  <c r="C2" i="2"/>
  <c r="A3" i="2"/>
  <c r="E10" i="4" s="1"/>
  <c r="A2" i="2"/>
  <c r="S38" i="1" s="1"/>
  <c r="Q51" i="8"/>
  <c r="O54" i="8" s="1"/>
  <c r="J12" i="8"/>
  <c r="Q18" i="8"/>
  <c r="Q12" i="8"/>
  <c r="Q9" i="8"/>
  <c r="L12" i="8"/>
  <c r="P7" i="8"/>
  <c r="N12" i="8"/>
  <c r="Q37" i="8"/>
  <c r="C4" i="9"/>
  <c r="V4" i="9" s="1"/>
  <c r="C8" i="9"/>
  <c r="AK8" i="9" s="1"/>
  <c r="C15" i="9"/>
  <c r="C14" i="9" s="1"/>
  <c r="C13" i="9" s="1"/>
  <c r="C12" i="9" s="1"/>
  <c r="AK12" i="9" s="1"/>
  <c r="C17" i="9"/>
  <c r="C16" i="9" s="1"/>
  <c r="C18" i="9"/>
  <c r="D18" i="9" s="1"/>
  <c r="C19" i="9"/>
  <c r="D19" i="9" s="1"/>
  <c r="C21" i="9"/>
  <c r="Y21" i="9" s="1"/>
  <c r="C22" i="9"/>
  <c r="D22" i="9" s="1"/>
  <c r="C23" i="9"/>
  <c r="AA23" i="9" s="1"/>
  <c r="C24" i="9"/>
  <c r="C25" i="9"/>
  <c r="Y25" i="9" s="1"/>
  <c r="C26" i="9"/>
  <c r="AK26" i="9" s="1"/>
  <c r="C29" i="9"/>
  <c r="C30" i="9"/>
  <c r="D30" i="9" s="1"/>
  <c r="C31" i="9"/>
  <c r="AK31" i="9" s="1"/>
  <c r="C32" i="9"/>
  <c r="AM32" i="9" s="1"/>
  <c r="C34" i="9"/>
  <c r="T34" i="9" s="1"/>
  <c r="C35" i="9"/>
  <c r="H35" i="9" s="1"/>
  <c r="C36" i="9"/>
  <c r="AF36" i="9" s="1"/>
  <c r="C37" i="9"/>
  <c r="H37" i="9" s="1"/>
  <c r="C38" i="9"/>
  <c r="R38" i="9" s="1"/>
  <c r="C41" i="9"/>
  <c r="AD41" i="9" s="1"/>
  <c r="C42" i="9"/>
  <c r="D42" i="9" s="1"/>
  <c r="C43" i="9"/>
  <c r="H43" i="9" s="1"/>
  <c r="C44" i="9"/>
  <c r="H44" i="9" s="1"/>
  <c r="C45" i="9"/>
  <c r="H45" i="9" s="1"/>
  <c r="C46" i="9"/>
  <c r="T46" i="9" s="1"/>
  <c r="C47" i="9"/>
  <c r="AD47" i="9" s="1"/>
  <c r="C48" i="9"/>
  <c r="V48" i="9" s="1"/>
  <c r="C49" i="9"/>
  <c r="U49" i="9" s="1"/>
  <c r="C50" i="9"/>
  <c r="Q50" i="9" s="1"/>
  <c r="C51" i="9"/>
  <c r="F51" i="9" s="1"/>
  <c r="C52" i="9"/>
  <c r="Q52" i="9" s="1"/>
  <c r="C53" i="9"/>
  <c r="H53" i="9" s="1"/>
  <c r="C54" i="9"/>
  <c r="D54" i="9" s="1"/>
  <c r="C55" i="9"/>
  <c r="J55" i="9" s="1"/>
  <c r="C56" i="9"/>
  <c r="E56" i="9" s="1"/>
  <c r="C57" i="9"/>
  <c r="L57" i="9" s="1"/>
  <c r="C58" i="9"/>
  <c r="K58" i="9" s="1"/>
  <c r="C59" i="9"/>
  <c r="K59" i="9" s="1"/>
  <c r="C60" i="9"/>
  <c r="K60" i="9" s="1"/>
  <c r="C61" i="9"/>
  <c r="K61" i="9" s="1"/>
  <c r="C62" i="9"/>
  <c r="K62" i="9" s="1"/>
  <c r="C63" i="9"/>
  <c r="K63" i="9" s="1"/>
  <c r="C64" i="9"/>
  <c r="K64" i="9" s="1"/>
  <c r="D2" i="8"/>
  <c r="D3" i="8"/>
  <c r="O12" i="8"/>
  <c r="K12" i="8"/>
  <c r="H12" i="8"/>
  <c r="M12" i="8"/>
  <c r="D6" i="8"/>
  <c r="E6" i="8" s="1"/>
  <c r="G12" i="8"/>
  <c r="D19" i="8" s="1"/>
  <c r="E18" i="8"/>
  <c r="E17" i="8"/>
  <c r="E16" i="8"/>
  <c r="E15" i="8"/>
  <c r="D14" i="8"/>
  <c r="E14" i="8" s="1"/>
  <c r="Q17" i="8" s="1"/>
  <c r="Q13" i="8"/>
  <c r="E13" i="8"/>
  <c r="E11" i="8"/>
  <c r="E10" i="8"/>
  <c r="E9" i="8"/>
  <c r="E8" i="8"/>
  <c r="E5" i="8"/>
  <c r="K3" i="8" s="1"/>
  <c r="L27" i="1"/>
  <c r="L18" i="1" s="1"/>
  <c r="J27" i="1"/>
  <c r="H21" i="1" s="1"/>
  <c r="T18" i="1" s="1"/>
  <c r="H27" i="1"/>
  <c r="F27" i="1"/>
  <c r="D27" i="1"/>
  <c r="D40" i="1"/>
  <c r="F37" i="1"/>
  <c r="T34" i="1"/>
  <c r="F34" i="1"/>
  <c r="D31" i="1"/>
  <c r="N24" i="1"/>
  <c r="F24" i="1"/>
  <c r="D24" i="1"/>
  <c r="L15" i="1" s="1"/>
  <c r="F21" i="1"/>
  <c r="D21" i="1"/>
  <c r="X15" i="1"/>
  <c r="V15" i="1"/>
  <c r="N15" i="1"/>
  <c r="L9" i="1"/>
  <c r="G6" i="4" l="1"/>
  <c r="C28" i="9"/>
  <c r="AL54" i="9"/>
  <c r="R45" i="9"/>
  <c r="D31" i="9"/>
  <c r="AD61" i="9"/>
  <c r="AD59" i="9"/>
  <c r="AD57" i="9"/>
  <c r="R55" i="9"/>
  <c r="C27" i="9"/>
  <c r="AL27" i="9" s="1"/>
  <c r="D28" i="9"/>
  <c r="D8" i="9"/>
  <c r="C20" i="9"/>
  <c r="AK20" i="9" s="1"/>
  <c r="D34" i="9"/>
  <c r="C40" i="9"/>
  <c r="V51" i="9"/>
  <c r="C7" i="9"/>
  <c r="D7" i="9" s="1"/>
  <c r="C33" i="9"/>
  <c r="D10" i="9"/>
  <c r="C9" i="9"/>
  <c r="T61" i="9"/>
  <c r="T59" i="9"/>
  <c r="T57" i="9"/>
  <c r="F55" i="9"/>
  <c r="T51" i="9"/>
  <c r="F45" i="9"/>
  <c r="AK32" i="9"/>
  <c r="AF63" i="9"/>
  <c r="R61" i="9"/>
  <c r="R59" i="9"/>
  <c r="R57" i="9"/>
  <c r="E51" i="9"/>
  <c r="R43" i="9"/>
  <c r="Z26" i="9"/>
  <c r="D58" i="9"/>
  <c r="D32" i="9"/>
  <c r="AD63" i="9"/>
  <c r="H61" i="9"/>
  <c r="H59" i="9"/>
  <c r="F57" i="9"/>
  <c r="Z54" i="9"/>
  <c r="F43" i="9"/>
  <c r="N25" i="9"/>
  <c r="D57" i="9"/>
  <c r="T63" i="9"/>
  <c r="F61" i="9"/>
  <c r="F59" i="9"/>
  <c r="AL56" i="9"/>
  <c r="X54" i="9"/>
  <c r="V49" i="9"/>
  <c r="R41" i="9"/>
  <c r="D56" i="9"/>
  <c r="R63" i="9"/>
  <c r="AF60" i="9"/>
  <c r="AF58" i="9"/>
  <c r="Z56" i="9"/>
  <c r="L54" i="9"/>
  <c r="T49" i="9"/>
  <c r="F41" i="9"/>
  <c r="D55" i="9"/>
  <c r="H63" i="9"/>
  <c r="AD60" i="9"/>
  <c r="AD58" i="9"/>
  <c r="X56" i="9"/>
  <c r="J54" i="9"/>
  <c r="AF48" i="9"/>
  <c r="D21" i="9"/>
  <c r="F63" i="9"/>
  <c r="T60" i="9"/>
  <c r="T58" i="9"/>
  <c r="L56" i="9"/>
  <c r="AH53" i="9"/>
  <c r="AD48" i="9"/>
  <c r="D46" i="9"/>
  <c r="AF62" i="9"/>
  <c r="R60" i="9"/>
  <c r="R58" i="9"/>
  <c r="J56" i="9"/>
  <c r="AF53" i="9"/>
  <c r="F48" i="9"/>
  <c r="R37" i="9"/>
  <c r="D45" i="9"/>
  <c r="T62" i="9"/>
  <c r="H60" i="9"/>
  <c r="H58" i="9"/>
  <c r="AH55" i="9"/>
  <c r="T53" i="9"/>
  <c r="AG47" i="9"/>
  <c r="F37" i="9"/>
  <c r="D44" i="9"/>
  <c r="H62" i="9"/>
  <c r="F60" i="9"/>
  <c r="F58" i="9"/>
  <c r="AF55" i="9"/>
  <c r="R53" i="9"/>
  <c r="F47" i="9"/>
  <c r="R35" i="9"/>
  <c r="D43" i="9"/>
  <c r="AF61" i="9"/>
  <c r="AF59" i="9"/>
  <c r="AF57" i="9"/>
  <c r="T55" i="9"/>
  <c r="F53" i="9"/>
  <c r="AG46" i="9"/>
  <c r="F35" i="9"/>
  <c r="K50" i="9"/>
  <c r="W50" i="9"/>
  <c r="AI50" i="9"/>
  <c r="L50" i="9"/>
  <c r="X50" i="9"/>
  <c r="AJ50" i="9"/>
  <c r="M50" i="9"/>
  <c r="Y50" i="9"/>
  <c r="AK50" i="9"/>
  <c r="N50" i="9"/>
  <c r="Z50" i="9"/>
  <c r="AL50" i="9"/>
  <c r="O50" i="9"/>
  <c r="AA50" i="9"/>
  <c r="AM50" i="9"/>
  <c r="P50" i="9"/>
  <c r="AB50" i="9"/>
  <c r="AN50" i="9"/>
  <c r="O54" i="9"/>
  <c r="AA54" i="9"/>
  <c r="AM54" i="9"/>
  <c r="P54" i="9"/>
  <c r="AB54" i="9"/>
  <c r="AN54" i="9"/>
  <c r="K42" i="9"/>
  <c r="W42" i="9"/>
  <c r="AI42" i="9"/>
  <c r="L42" i="9"/>
  <c r="X42" i="9"/>
  <c r="AJ42" i="9"/>
  <c r="M42" i="9"/>
  <c r="Y42" i="9"/>
  <c r="AK42" i="9"/>
  <c r="N42" i="9"/>
  <c r="Z42" i="9"/>
  <c r="AL42" i="9"/>
  <c r="O42" i="9"/>
  <c r="AA42" i="9"/>
  <c r="AM42" i="9"/>
  <c r="P42" i="9"/>
  <c r="AB42" i="9"/>
  <c r="AN42" i="9"/>
  <c r="E42" i="9"/>
  <c r="Q42" i="9"/>
  <c r="AC42" i="9"/>
  <c r="G42" i="9"/>
  <c r="S42" i="9"/>
  <c r="AE42" i="9"/>
  <c r="I42" i="9"/>
  <c r="U42" i="9"/>
  <c r="AG42" i="9"/>
  <c r="J42" i="9"/>
  <c r="V42" i="9"/>
  <c r="AH42" i="9"/>
  <c r="P30" i="9"/>
  <c r="AB30" i="9"/>
  <c r="AN30" i="9"/>
  <c r="E30" i="9"/>
  <c r="Q30" i="9"/>
  <c r="AC30" i="9"/>
  <c r="F30" i="9"/>
  <c r="R30" i="9"/>
  <c r="AD30" i="9"/>
  <c r="G30" i="9"/>
  <c r="S30" i="9"/>
  <c r="AE30" i="9"/>
  <c r="H30" i="9"/>
  <c r="T30" i="9"/>
  <c r="AF30" i="9"/>
  <c r="I30" i="9"/>
  <c r="U30" i="9"/>
  <c r="AG30" i="9"/>
  <c r="J30" i="9"/>
  <c r="V30" i="9"/>
  <c r="AH30" i="9"/>
  <c r="K30" i="9"/>
  <c r="W30" i="9"/>
  <c r="AI30" i="9"/>
  <c r="L30" i="9"/>
  <c r="X30" i="9"/>
  <c r="AJ30" i="9"/>
  <c r="M30" i="9"/>
  <c r="N30" i="9"/>
  <c r="O30" i="9"/>
  <c r="Y30" i="9"/>
  <c r="AA30" i="9"/>
  <c r="AL30" i="9"/>
  <c r="AM30" i="9"/>
  <c r="P18" i="9"/>
  <c r="AB18" i="9"/>
  <c r="AN18" i="9"/>
  <c r="E18" i="9"/>
  <c r="Q18" i="9"/>
  <c r="AC18" i="9"/>
  <c r="F18" i="9"/>
  <c r="R18" i="9"/>
  <c r="AD18" i="9"/>
  <c r="G18" i="9"/>
  <c r="S18" i="9"/>
  <c r="AE18" i="9"/>
  <c r="H18" i="9"/>
  <c r="T18" i="9"/>
  <c r="AF18" i="9"/>
  <c r="I18" i="9"/>
  <c r="U18" i="9"/>
  <c r="AG18" i="9"/>
  <c r="J18" i="9"/>
  <c r="V18" i="9"/>
  <c r="AH18" i="9"/>
  <c r="K18" i="9"/>
  <c r="W18" i="9"/>
  <c r="AI18" i="9"/>
  <c r="L18" i="9"/>
  <c r="X18" i="9"/>
  <c r="AJ18" i="9"/>
  <c r="N18" i="9"/>
  <c r="Z18" i="9"/>
  <c r="AL18" i="9"/>
  <c r="O18" i="9"/>
  <c r="AA18" i="9"/>
  <c r="AM18" i="9"/>
  <c r="Y18" i="9"/>
  <c r="AK18" i="9"/>
  <c r="M18" i="9"/>
  <c r="AH64" i="9"/>
  <c r="V64" i="9"/>
  <c r="J64" i="9"/>
  <c r="AH63" i="9"/>
  <c r="V63" i="9"/>
  <c r="J63" i="9"/>
  <c r="AH62" i="9"/>
  <c r="V62" i="9"/>
  <c r="J62" i="9"/>
  <c r="AH61" i="9"/>
  <c r="V61" i="9"/>
  <c r="J61" i="9"/>
  <c r="AH60" i="9"/>
  <c r="V60" i="9"/>
  <c r="J60" i="9"/>
  <c r="AH59" i="9"/>
  <c r="V59" i="9"/>
  <c r="J59" i="9"/>
  <c r="AH58" i="9"/>
  <c r="V58" i="9"/>
  <c r="J58" i="9"/>
  <c r="AH57" i="9"/>
  <c r="V57" i="9"/>
  <c r="H57" i="9"/>
  <c r="AD56" i="9"/>
  <c r="N56" i="9"/>
  <c r="AJ55" i="9"/>
  <c r="V55" i="9"/>
  <c r="H55" i="9"/>
  <c r="AD54" i="9"/>
  <c r="N54" i="9"/>
  <c r="AJ53" i="9"/>
  <c r="V53" i="9"/>
  <c r="AD52" i="9"/>
  <c r="J52" i="9"/>
  <c r="AC51" i="9"/>
  <c r="G51" i="9"/>
  <c r="S50" i="9"/>
  <c r="AE49" i="9"/>
  <c r="AH48" i="9"/>
  <c r="H48" i="9"/>
  <c r="I47" i="9"/>
  <c r="AD45" i="9"/>
  <c r="AD43" i="9"/>
  <c r="AD37" i="9"/>
  <c r="AD35" i="9"/>
  <c r="AD33" i="9"/>
  <c r="P16" i="9"/>
  <c r="AB16" i="9"/>
  <c r="AN16" i="9"/>
  <c r="E16" i="9"/>
  <c r="Q16" i="9"/>
  <c r="AC16" i="9"/>
  <c r="F16" i="9"/>
  <c r="R16" i="9"/>
  <c r="AD16" i="9"/>
  <c r="G16" i="9"/>
  <c r="S16" i="9"/>
  <c r="AE16" i="9"/>
  <c r="H16" i="9"/>
  <c r="T16" i="9"/>
  <c r="AF16" i="9"/>
  <c r="I16" i="9"/>
  <c r="U16" i="9"/>
  <c r="AG16" i="9"/>
  <c r="J16" i="9"/>
  <c r="V16" i="9"/>
  <c r="AH16" i="9"/>
  <c r="K16" i="9"/>
  <c r="W16" i="9"/>
  <c r="AI16" i="9"/>
  <c r="L16" i="9"/>
  <c r="X16" i="9"/>
  <c r="AJ16" i="9"/>
  <c r="N16" i="9"/>
  <c r="Z16" i="9"/>
  <c r="AL16" i="9"/>
  <c r="O16" i="9"/>
  <c r="AA16" i="9"/>
  <c r="AM16" i="9"/>
  <c r="M16" i="9"/>
  <c r="Y16" i="9"/>
  <c r="O53" i="9"/>
  <c r="AA53" i="9"/>
  <c r="AM53" i="9"/>
  <c r="P53" i="9"/>
  <c r="AB53" i="9"/>
  <c r="AN53" i="9"/>
  <c r="K41" i="9"/>
  <c r="W41" i="9"/>
  <c r="AI41" i="9"/>
  <c r="L41" i="9"/>
  <c r="X41" i="9"/>
  <c r="AJ41" i="9"/>
  <c r="M41" i="9"/>
  <c r="Y41" i="9"/>
  <c r="AK41" i="9"/>
  <c r="N41" i="9"/>
  <c r="Z41" i="9"/>
  <c r="AL41" i="9"/>
  <c r="O41" i="9"/>
  <c r="AA41" i="9"/>
  <c r="AM41" i="9"/>
  <c r="P41" i="9"/>
  <c r="AB41" i="9"/>
  <c r="AN41" i="9"/>
  <c r="E41" i="9"/>
  <c r="Q41" i="9"/>
  <c r="AC41" i="9"/>
  <c r="G41" i="9"/>
  <c r="S41" i="9"/>
  <c r="AE41" i="9"/>
  <c r="I41" i="9"/>
  <c r="U41" i="9"/>
  <c r="AG41" i="9"/>
  <c r="J41" i="9"/>
  <c r="V41" i="9"/>
  <c r="AH41" i="9"/>
  <c r="P29" i="9"/>
  <c r="AB29" i="9"/>
  <c r="AN29" i="9"/>
  <c r="E29" i="9"/>
  <c r="Q29" i="9"/>
  <c r="AC29" i="9"/>
  <c r="F29" i="9"/>
  <c r="R29" i="9"/>
  <c r="AD29" i="9"/>
  <c r="G29" i="9"/>
  <c r="S29" i="9"/>
  <c r="AE29" i="9"/>
  <c r="H29" i="9"/>
  <c r="T29" i="9"/>
  <c r="AF29" i="9"/>
  <c r="I29" i="9"/>
  <c r="U29" i="9"/>
  <c r="AG29" i="9"/>
  <c r="J29" i="9"/>
  <c r="V29" i="9"/>
  <c r="AH29" i="9"/>
  <c r="K29" i="9"/>
  <c r="W29" i="9"/>
  <c r="AI29" i="9"/>
  <c r="L29" i="9"/>
  <c r="X29" i="9"/>
  <c r="AJ29" i="9"/>
  <c r="AK29" i="9"/>
  <c r="AL29" i="9"/>
  <c r="AM29" i="9"/>
  <c r="M29" i="9"/>
  <c r="O29" i="9"/>
  <c r="Z29" i="9"/>
  <c r="AA29" i="9"/>
  <c r="P17" i="9"/>
  <c r="AB17" i="9"/>
  <c r="AN17" i="9"/>
  <c r="E17" i="9"/>
  <c r="Q17" i="9"/>
  <c r="AC17" i="9"/>
  <c r="F17" i="9"/>
  <c r="R17" i="9"/>
  <c r="AD17" i="9"/>
  <c r="G17" i="9"/>
  <c r="S17" i="9"/>
  <c r="AE17" i="9"/>
  <c r="H17" i="9"/>
  <c r="T17" i="9"/>
  <c r="AF17" i="9"/>
  <c r="I17" i="9"/>
  <c r="U17" i="9"/>
  <c r="AG17" i="9"/>
  <c r="J17" i="9"/>
  <c r="V17" i="9"/>
  <c r="AH17" i="9"/>
  <c r="K17" i="9"/>
  <c r="W17" i="9"/>
  <c r="AI17" i="9"/>
  <c r="L17" i="9"/>
  <c r="X17" i="9"/>
  <c r="AJ17" i="9"/>
  <c r="N17" i="9"/>
  <c r="Z17" i="9"/>
  <c r="AL17" i="9"/>
  <c r="O17" i="9"/>
  <c r="AA17" i="9"/>
  <c r="AM17" i="9"/>
  <c r="M17" i="9"/>
  <c r="AK17" i="9"/>
  <c r="AG64" i="9"/>
  <c r="U64" i="9"/>
  <c r="I64" i="9"/>
  <c r="AG63" i="9"/>
  <c r="U63" i="9"/>
  <c r="I63" i="9"/>
  <c r="AG62" i="9"/>
  <c r="U62" i="9"/>
  <c r="I62" i="9"/>
  <c r="AG61" i="9"/>
  <c r="U61" i="9"/>
  <c r="I61" i="9"/>
  <c r="AG60" i="9"/>
  <c r="U60" i="9"/>
  <c r="I60" i="9"/>
  <c r="AG59" i="9"/>
  <c r="U59" i="9"/>
  <c r="I59" i="9"/>
  <c r="AG58" i="9"/>
  <c r="U58" i="9"/>
  <c r="I58" i="9"/>
  <c r="AG57" i="9"/>
  <c r="U57" i="9"/>
  <c r="G57" i="9"/>
  <c r="AC56" i="9"/>
  <c r="M56" i="9"/>
  <c r="AI55" i="9"/>
  <c r="U55" i="9"/>
  <c r="G55" i="9"/>
  <c r="AC54" i="9"/>
  <c r="M54" i="9"/>
  <c r="AI53" i="9"/>
  <c r="U53" i="9"/>
  <c r="G53" i="9"/>
  <c r="AC52" i="9"/>
  <c r="I52" i="9"/>
  <c r="X51" i="9"/>
  <c r="R50" i="9"/>
  <c r="AD49" i="9"/>
  <c r="AG48" i="9"/>
  <c r="G48" i="9"/>
  <c r="H47" i="9"/>
  <c r="T45" i="9"/>
  <c r="T43" i="9"/>
  <c r="T41" i="9"/>
  <c r="T37" i="9"/>
  <c r="T35" i="9"/>
  <c r="X52" i="9"/>
  <c r="H52" i="9"/>
  <c r="K51" i="9"/>
  <c r="W51" i="9"/>
  <c r="AI51" i="9"/>
  <c r="M51" i="9"/>
  <c r="Y51" i="9"/>
  <c r="AK51" i="9"/>
  <c r="N51" i="9"/>
  <c r="Z51" i="9"/>
  <c r="AL51" i="9"/>
  <c r="O51" i="9"/>
  <c r="AA51" i="9"/>
  <c r="AM51" i="9"/>
  <c r="P51" i="9"/>
  <c r="AB51" i="9"/>
  <c r="AN51" i="9"/>
  <c r="AD27" i="9"/>
  <c r="AH27" i="9"/>
  <c r="AA27" i="9"/>
  <c r="P15" i="9"/>
  <c r="AB15" i="9"/>
  <c r="AN15" i="9"/>
  <c r="E15" i="9"/>
  <c r="Q15" i="9"/>
  <c r="AC15" i="9"/>
  <c r="F15" i="9"/>
  <c r="R15" i="9"/>
  <c r="AD15" i="9"/>
  <c r="G15" i="9"/>
  <c r="S15" i="9"/>
  <c r="AE15" i="9"/>
  <c r="H15" i="9"/>
  <c r="T15" i="9"/>
  <c r="AF15" i="9"/>
  <c r="I15" i="9"/>
  <c r="U15" i="9"/>
  <c r="AG15" i="9"/>
  <c r="J15" i="9"/>
  <c r="V15" i="9"/>
  <c r="AH15" i="9"/>
  <c r="K15" i="9"/>
  <c r="W15" i="9"/>
  <c r="AI15" i="9"/>
  <c r="L15" i="9"/>
  <c r="X15" i="9"/>
  <c r="AJ15" i="9"/>
  <c r="N15" i="9"/>
  <c r="Z15" i="9"/>
  <c r="AL15" i="9"/>
  <c r="O15" i="9"/>
  <c r="AA15" i="9"/>
  <c r="AM15" i="9"/>
  <c r="M15" i="9"/>
  <c r="Y15" i="9"/>
  <c r="AK15" i="9"/>
  <c r="AE64" i="9"/>
  <c r="S64" i="9"/>
  <c r="G64" i="9"/>
  <c r="AE63" i="9"/>
  <c r="S63" i="9"/>
  <c r="G63" i="9"/>
  <c r="AE62" i="9"/>
  <c r="S62" i="9"/>
  <c r="G62" i="9"/>
  <c r="AE61" i="9"/>
  <c r="S61" i="9"/>
  <c r="G61" i="9"/>
  <c r="AE60" i="9"/>
  <c r="S60" i="9"/>
  <c r="G60" i="9"/>
  <c r="AE59" i="9"/>
  <c r="S59" i="9"/>
  <c r="G59" i="9"/>
  <c r="AE58" i="9"/>
  <c r="S58" i="9"/>
  <c r="G58" i="9"/>
  <c r="AE57" i="9"/>
  <c r="S57" i="9"/>
  <c r="E57" i="9"/>
  <c r="Y56" i="9"/>
  <c r="K56" i="9"/>
  <c r="AG55" i="9"/>
  <c r="S55" i="9"/>
  <c r="E55" i="9"/>
  <c r="Y54" i="9"/>
  <c r="K54" i="9"/>
  <c r="AG53" i="9"/>
  <c r="S53" i="9"/>
  <c r="E53" i="9"/>
  <c r="W52" i="9"/>
  <c r="G52" i="9"/>
  <c r="U51" i="9"/>
  <c r="AH50" i="9"/>
  <c r="J50" i="9"/>
  <c r="AE48" i="9"/>
  <c r="AH47" i="9"/>
  <c r="AH46" i="9"/>
  <c r="H41" i="9"/>
  <c r="P26" i="9"/>
  <c r="AB26" i="9"/>
  <c r="AN26" i="9"/>
  <c r="E26" i="9"/>
  <c r="Q26" i="9"/>
  <c r="AC26" i="9"/>
  <c r="F26" i="9"/>
  <c r="R26" i="9"/>
  <c r="AD26" i="9"/>
  <c r="G26" i="9"/>
  <c r="S26" i="9"/>
  <c r="AE26" i="9"/>
  <c r="H26" i="9"/>
  <c r="T26" i="9"/>
  <c r="AF26" i="9"/>
  <c r="I26" i="9"/>
  <c r="U26" i="9"/>
  <c r="AG26" i="9"/>
  <c r="J26" i="9"/>
  <c r="V26" i="9"/>
  <c r="AH26" i="9"/>
  <c r="K26" i="9"/>
  <c r="W26" i="9"/>
  <c r="AI26" i="9"/>
  <c r="L26" i="9"/>
  <c r="X26" i="9"/>
  <c r="AJ26" i="9"/>
  <c r="M26" i="9"/>
  <c r="N26" i="9"/>
  <c r="O26" i="9"/>
  <c r="Y26" i="9"/>
  <c r="AA26" i="9"/>
  <c r="AL26" i="9"/>
  <c r="AM26" i="9"/>
  <c r="R62" i="9"/>
  <c r="V52" i="9"/>
  <c r="K49" i="9"/>
  <c r="W49" i="9"/>
  <c r="AI49" i="9"/>
  <c r="L49" i="9"/>
  <c r="X49" i="9"/>
  <c r="AJ49" i="9"/>
  <c r="M49" i="9"/>
  <c r="Y49" i="9"/>
  <c r="AK49" i="9"/>
  <c r="N49" i="9"/>
  <c r="Z49" i="9"/>
  <c r="AL49" i="9"/>
  <c r="O49" i="9"/>
  <c r="AA49" i="9"/>
  <c r="AM49" i="9"/>
  <c r="P49" i="9"/>
  <c r="AB49" i="9"/>
  <c r="AN49" i="9"/>
  <c r="E49" i="9"/>
  <c r="Q49" i="9"/>
  <c r="AC49" i="9"/>
  <c r="K37" i="9"/>
  <c r="W37" i="9"/>
  <c r="AI37" i="9"/>
  <c r="L37" i="9"/>
  <c r="X37" i="9"/>
  <c r="AJ37" i="9"/>
  <c r="M37" i="9"/>
  <c r="Y37" i="9"/>
  <c r="AK37" i="9"/>
  <c r="N37" i="9"/>
  <c r="Z37" i="9"/>
  <c r="AL37" i="9"/>
  <c r="O37" i="9"/>
  <c r="AA37" i="9"/>
  <c r="AM37" i="9"/>
  <c r="P37" i="9"/>
  <c r="AB37" i="9"/>
  <c r="AN37" i="9"/>
  <c r="E37" i="9"/>
  <c r="Q37" i="9"/>
  <c r="AC37" i="9"/>
  <c r="G37" i="9"/>
  <c r="S37" i="9"/>
  <c r="AE37" i="9"/>
  <c r="I37" i="9"/>
  <c r="U37" i="9"/>
  <c r="AG37" i="9"/>
  <c r="J37" i="9"/>
  <c r="V37" i="9"/>
  <c r="AH37" i="9"/>
  <c r="P25" i="9"/>
  <c r="AB25" i="9"/>
  <c r="AN25" i="9"/>
  <c r="E25" i="9"/>
  <c r="Q25" i="9"/>
  <c r="AC25" i="9"/>
  <c r="F25" i="9"/>
  <c r="R25" i="9"/>
  <c r="AD25" i="9"/>
  <c r="G25" i="9"/>
  <c r="S25" i="9"/>
  <c r="AE25" i="9"/>
  <c r="H25" i="9"/>
  <c r="T25" i="9"/>
  <c r="AF25" i="9"/>
  <c r="I25" i="9"/>
  <c r="U25" i="9"/>
  <c r="AG25" i="9"/>
  <c r="J25" i="9"/>
  <c r="V25" i="9"/>
  <c r="AH25" i="9"/>
  <c r="K25" i="9"/>
  <c r="W25" i="9"/>
  <c r="AI25" i="9"/>
  <c r="L25" i="9"/>
  <c r="X25" i="9"/>
  <c r="AJ25" i="9"/>
  <c r="AK25" i="9"/>
  <c r="AL25" i="9"/>
  <c r="AM25" i="9"/>
  <c r="M25" i="9"/>
  <c r="O25" i="9"/>
  <c r="Z25" i="9"/>
  <c r="AA25" i="9"/>
  <c r="P13" i="9"/>
  <c r="AB13" i="9"/>
  <c r="AN13" i="9"/>
  <c r="E13" i="9"/>
  <c r="Q13" i="9"/>
  <c r="AC13" i="9"/>
  <c r="F13" i="9"/>
  <c r="R13" i="9"/>
  <c r="AD13" i="9"/>
  <c r="G13" i="9"/>
  <c r="S13" i="9"/>
  <c r="AE13" i="9"/>
  <c r="H13" i="9"/>
  <c r="T13" i="9"/>
  <c r="AF13" i="9"/>
  <c r="I13" i="9"/>
  <c r="U13" i="9"/>
  <c r="AG13" i="9"/>
  <c r="J13" i="9"/>
  <c r="V13" i="9"/>
  <c r="AH13" i="9"/>
  <c r="K13" i="9"/>
  <c r="W13" i="9"/>
  <c r="AI13" i="9"/>
  <c r="L13" i="9"/>
  <c r="X13" i="9"/>
  <c r="AJ13" i="9"/>
  <c r="N13" i="9"/>
  <c r="Z13" i="9"/>
  <c r="AL13" i="9"/>
  <c r="O13" i="9"/>
  <c r="AA13" i="9"/>
  <c r="AM13" i="9"/>
  <c r="M13" i="9"/>
  <c r="AK13" i="9"/>
  <c r="AB7" i="9"/>
  <c r="E7" i="9"/>
  <c r="AE7" i="9"/>
  <c r="T7" i="9"/>
  <c r="I7" i="9"/>
  <c r="AI7" i="9"/>
  <c r="X7" i="9"/>
  <c r="N7" i="9"/>
  <c r="AK7" i="9"/>
  <c r="D53" i="9"/>
  <c r="D41" i="9"/>
  <c r="D29" i="9"/>
  <c r="D17" i="9"/>
  <c r="AC64" i="9"/>
  <c r="Q64" i="9"/>
  <c r="E64" i="9"/>
  <c r="AC63" i="9"/>
  <c r="Q63" i="9"/>
  <c r="E63" i="9"/>
  <c r="AC62" i="9"/>
  <c r="Q62" i="9"/>
  <c r="E62" i="9"/>
  <c r="AC61" i="9"/>
  <c r="Q61" i="9"/>
  <c r="E61" i="9"/>
  <c r="AC60" i="9"/>
  <c r="Q60" i="9"/>
  <c r="E60" i="9"/>
  <c r="AC59" i="9"/>
  <c r="Q59" i="9"/>
  <c r="E59" i="9"/>
  <c r="AC58" i="9"/>
  <c r="Q58" i="9"/>
  <c r="E58" i="9"/>
  <c r="AC57" i="9"/>
  <c r="Q57" i="9"/>
  <c r="AK56" i="9"/>
  <c r="W56" i="9"/>
  <c r="I56" i="9"/>
  <c r="AE55" i="9"/>
  <c r="Q55" i="9"/>
  <c r="AK54" i="9"/>
  <c r="W54" i="9"/>
  <c r="I54" i="9"/>
  <c r="AE53" i="9"/>
  <c r="Q53" i="9"/>
  <c r="AK52" i="9"/>
  <c r="U52" i="9"/>
  <c r="E52" i="9"/>
  <c r="S51" i="9"/>
  <c r="AF50" i="9"/>
  <c r="H50" i="9"/>
  <c r="S49" i="9"/>
  <c r="AF47" i="9"/>
  <c r="AF46" i="9"/>
  <c r="AF44" i="9"/>
  <c r="AF42" i="9"/>
  <c r="AF40" i="9"/>
  <c r="AF38" i="9"/>
  <c r="AF34" i="9"/>
  <c r="AM31" i="9"/>
  <c r="AM23" i="9"/>
  <c r="P14" i="9"/>
  <c r="AB14" i="9"/>
  <c r="AN14" i="9"/>
  <c r="E14" i="9"/>
  <c r="Q14" i="9"/>
  <c r="AC14" i="9"/>
  <c r="F14" i="9"/>
  <c r="R14" i="9"/>
  <c r="AD14" i="9"/>
  <c r="G14" i="9"/>
  <c r="S14" i="9"/>
  <c r="AE14" i="9"/>
  <c r="H14" i="9"/>
  <c r="T14" i="9"/>
  <c r="AF14" i="9"/>
  <c r="I14" i="9"/>
  <c r="U14" i="9"/>
  <c r="AG14" i="9"/>
  <c r="J14" i="9"/>
  <c r="V14" i="9"/>
  <c r="AH14" i="9"/>
  <c r="K14" i="9"/>
  <c r="W14" i="9"/>
  <c r="AI14" i="9"/>
  <c r="L14" i="9"/>
  <c r="X14" i="9"/>
  <c r="AJ14" i="9"/>
  <c r="N14" i="9"/>
  <c r="Z14" i="9"/>
  <c r="AL14" i="9"/>
  <c r="O14" i="9"/>
  <c r="AA14" i="9"/>
  <c r="AM14" i="9"/>
  <c r="Y14" i="9"/>
  <c r="AK14" i="9"/>
  <c r="M14" i="9"/>
  <c r="AD64" i="9"/>
  <c r="I50" i="9"/>
  <c r="K48" i="9"/>
  <c r="W48" i="9"/>
  <c r="AI48" i="9"/>
  <c r="L48" i="9"/>
  <c r="X48" i="9"/>
  <c r="AJ48" i="9"/>
  <c r="M48" i="9"/>
  <c r="Y48" i="9"/>
  <c r="AK48" i="9"/>
  <c r="N48" i="9"/>
  <c r="Z48" i="9"/>
  <c r="AL48" i="9"/>
  <c r="O48" i="9"/>
  <c r="AA48" i="9"/>
  <c r="AM48" i="9"/>
  <c r="P48" i="9"/>
  <c r="AB48" i="9"/>
  <c r="AN48" i="9"/>
  <c r="E48" i="9"/>
  <c r="Q48" i="9"/>
  <c r="AC48" i="9"/>
  <c r="K36" i="9"/>
  <c r="W36" i="9"/>
  <c r="AI36" i="9"/>
  <c r="L36" i="9"/>
  <c r="X36" i="9"/>
  <c r="AJ36" i="9"/>
  <c r="M36" i="9"/>
  <c r="Y36" i="9"/>
  <c r="AK36" i="9"/>
  <c r="N36" i="9"/>
  <c r="Z36" i="9"/>
  <c r="AL36" i="9"/>
  <c r="O36" i="9"/>
  <c r="AA36" i="9"/>
  <c r="AM36" i="9"/>
  <c r="P36" i="9"/>
  <c r="AB36" i="9"/>
  <c r="AN36" i="9"/>
  <c r="E36" i="9"/>
  <c r="Q36" i="9"/>
  <c r="AC36" i="9"/>
  <c r="G36" i="9"/>
  <c r="S36" i="9"/>
  <c r="AE36" i="9"/>
  <c r="I36" i="9"/>
  <c r="U36" i="9"/>
  <c r="AG36" i="9"/>
  <c r="J36" i="9"/>
  <c r="V36" i="9"/>
  <c r="AH36" i="9"/>
  <c r="P24" i="9"/>
  <c r="AB24" i="9"/>
  <c r="AN24" i="9"/>
  <c r="E24" i="9"/>
  <c r="Q24" i="9"/>
  <c r="AC24" i="9"/>
  <c r="F24" i="9"/>
  <c r="R24" i="9"/>
  <c r="AD24" i="9"/>
  <c r="G24" i="9"/>
  <c r="S24" i="9"/>
  <c r="AE24" i="9"/>
  <c r="H24" i="9"/>
  <c r="T24" i="9"/>
  <c r="AF24" i="9"/>
  <c r="I24" i="9"/>
  <c r="U24" i="9"/>
  <c r="AG24" i="9"/>
  <c r="J24" i="9"/>
  <c r="V24" i="9"/>
  <c r="AH24" i="9"/>
  <c r="K24" i="9"/>
  <c r="W24" i="9"/>
  <c r="AI24" i="9"/>
  <c r="L24" i="9"/>
  <c r="X24" i="9"/>
  <c r="AJ24" i="9"/>
  <c r="N24" i="9"/>
  <c r="Y24" i="9"/>
  <c r="Z24" i="9"/>
  <c r="AA24" i="9"/>
  <c r="AK24" i="9"/>
  <c r="AL24" i="9"/>
  <c r="AM24" i="9"/>
  <c r="M24" i="9"/>
  <c r="O24" i="9"/>
  <c r="P12" i="9"/>
  <c r="AB12" i="9"/>
  <c r="AN12" i="9"/>
  <c r="E12" i="9"/>
  <c r="Q12" i="9"/>
  <c r="AC12" i="9"/>
  <c r="F12" i="9"/>
  <c r="R12" i="9"/>
  <c r="AD12" i="9"/>
  <c r="G12" i="9"/>
  <c r="S12" i="9"/>
  <c r="AE12" i="9"/>
  <c r="H12" i="9"/>
  <c r="T12" i="9"/>
  <c r="AF12" i="9"/>
  <c r="I12" i="9"/>
  <c r="U12" i="9"/>
  <c r="AG12" i="9"/>
  <c r="J12" i="9"/>
  <c r="V12" i="9"/>
  <c r="AH12" i="9"/>
  <c r="K12" i="9"/>
  <c r="W12" i="9"/>
  <c r="AI12" i="9"/>
  <c r="L12" i="9"/>
  <c r="X12" i="9"/>
  <c r="AJ12" i="9"/>
  <c r="N12" i="9"/>
  <c r="Z12" i="9"/>
  <c r="AL12" i="9"/>
  <c r="O12" i="9"/>
  <c r="AA12" i="9"/>
  <c r="AM12" i="9"/>
  <c r="M12" i="9"/>
  <c r="Y12" i="9"/>
  <c r="D64" i="9"/>
  <c r="D52" i="9"/>
  <c r="D40" i="9"/>
  <c r="D16" i="9"/>
  <c r="AN64" i="9"/>
  <c r="AB64" i="9"/>
  <c r="P64" i="9"/>
  <c r="AN63" i="9"/>
  <c r="AB63" i="9"/>
  <c r="P63" i="9"/>
  <c r="AN62" i="9"/>
  <c r="AB62" i="9"/>
  <c r="P62" i="9"/>
  <c r="AN61" i="9"/>
  <c r="AB61" i="9"/>
  <c r="P61" i="9"/>
  <c r="AN60" i="9"/>
  <c r="AB60" i="9"/>
  <c r="P60" i="9"/>
  <c r="AN59" i="9"/>
  <c r="AB59" i="9"/>
  <c r="P59" i="9"/>
  <c r="AN58" i="9"/>
  <c r="AB58" i="9"/>
  <c r="P58" i="9"/>
  <c r="AN57" i="9"/>
  <c r="AB57" i="9"/>
  <c r="N57" i="9"/>
  <c r="AJ56" i="9"/>
  <c r="V56" i="9"/>
  <c r="H56" i="9"/>
  <c r="AD55" i="9"/>
  <c r="N55" i="9"/>
  <c r="AJ54" i="9"/>
  <c r="V54" i="9"/>
  <c r="H54" i="9"/>
  <c r="AD53" i="9"/>
  <c r="N53" i="9"/>
  <c r="AJ52" i="9"/>
  <c r="T52" i="9"/>
  <c r="AJ51" i="9"/>
  <c r="R51" i="9"/>
  <c r="AE50" i="9"/>
  <c r="G50" i="9"/>
  <c r="R49" i="9"/>
  <c r="U48" i="9"/>
  <c r="AD46" i="9"/>
  <c r="AD44" i="9"/>
  <c r="AD42" i="9"/>
  <c r="AD40" i="9"/>
  <c r="AD38" i="9"/>
  <c r="AD36" i="9"/>
  <c r="AD34" i="9"/>
  <c r="P28" i="9"/>
  <c r="AB28" i="9"/>
  <c r="AN28" i="9"/>
  <c r="E28" i="9"/>
  <c r="Q28" i="9"/>
  <c r="AC28" i="9"/>
  <c r="F28" i="9"/>
  <c r="R28" i="9"/>
  <c r="AD28" i="9"/>
  <c r="G28" i="9"/>
  <c r="S28" i="9"/>
  <c r="AE28" i="9"/>
  <c r="H28" i="9"/>
  <c r="T28" i="9"/>
  <c r="AF28" i="9"/>
  <c r="I28" i="9"/>
  <c r="U28" i="9"/>
  <c r="AG28" i="9"/>
  <c r="J28" i="9"/>
  <c r="V28" i="9"/>
  <c r="AH28" i="9"/>
  <c r="K28" i="9"/>
  <c r="W28" i="9"/>
  <c r="AI28" i="9"/>
  <c r="L28" i="9"/>
  <c r="X28" i="9"/>
  <c r="AJ28" i="9"/>
  <c r="Y28" i="9"/>
  <c r="Z28" i="9"/>
  <c r="AA28" i="9"/>
  <c r="AK28" i="9"/>
  <c r="AL28" i="9"/>
  <c r="AM28" i="9"/>
  <c r="N28" i="9"/>
  <c r="O28" i="9"/>
  <c r="AF64" i="9"/>
  <c r="AG50" i="9"/>
  <c r="K47" i="9"/>
  <c r="W47" i="9"/>
  <c r="AI47" i="9"/>
  <c r="L47" i="9"/>
  <c r="X47" i="9"/>
  <c r="AJ47" i="9"/>
  <c r="M47" i="9"/>
  <c r="Y47" i="9"/>
  <c r="AK47" i="9"/>
  <c r="N47" i="9"/>
  <c r="Z47" i="9"/>
  <c r="AL47" i="9"/>
  <c r="O47" i="9"/>
  <c r="AA47" i="9"/>
  <c r="AM47" i="9"/>
  <c r="P47" i="9"/>
  <c r="AB47" i="9"/>
  <c r="AN47" i="9"/>
  <c r="E47" i="9"/>
  <c r="Q47" i="9"/>
  <c r="AC47" i="9"/>
  <c r="G47" i="9"/>
  <c r="S47" i="9"/>
  <c r="AE47" i="9"/>
  <c r="K35" i="9"/>
  <c r="W35" i="9"/>
  <c r="AI35" i="9"/>
  <c r="L35" i="9"/>
  <c r="X35" i="9"/>
  <c r="AJ35" i="9"/>
  <c r="M35" i="9"/>
  <c r="Y35" i="9"/>
  <c r="AK35" i="9"/>
  <c r="N35" i="9"/>
  <c r="Z35" i="9"/>
  <c r="AL35" i="9"/>
  <c r="O35" i="9"/>
  <c r="AA35" i="9"/>
  <c r="AM35" i="9"/>
  <c r="P35" i="9"/>
  <c r="AB35" i="9"/>
  <c r="AN35" i="9"/>
  <c r="E35" i="9"/>
  <c r="Q35" i="9"/>
  <c r="AC35" i="9"/>
  <c r="G35" i="9"/>
  <c r="S35" i="9"/>
  <c r="AE35" i="9"/>
  <c r="I35" i="9"/>
  <c r="U35" i="9"/>
  <c r="AG35" i="9"/>
  <c r="J35" i="9"/>
  <c r="V35" i="9"/>
  <c r="AH35" i="9"/>
  <c r="P23" i="9"/>
  <c r="AB23" i="9"/>
  <c r="AN23" i="9"/>
  <c r="E23" i="9"/>
  <c r="Q23" i="9"/>
  <c r="AC23" i="9"/>
  <c r="F23" i="9"/>
  <c r="R23" i="9"/>
  <c r="AD23" i="9"/>
  <c r="G23" i="9"/>
  <c r="S23" i="9"/>
  <c r="AE23" i="9"/>
  <c r="H23" i="9"/>
  <c r="T23" i="9"/>
  <c r="AF23" i="9"/>
  <c r="I23" i="9"/>
  <c r="U23" i="9"/>
  <c r="AG23" i="9"/>
  <c r="J23" i="9"/>
  <c r="V23" i="9"/>
  <c r="AH23" i="9"/>
  <c r="K23" i="9"/>
  <c r="W23" i="9"/>
  <c r="AI23" i="9"/>
  <c r="L23" i="9"/>
  <c r="X23" i="9"/>
  <c r="AJ23" i="9"/>
  <c r="N23" i="9"/>
  <c r="Z23" i="9"/>
  <c r="AL23" i="9"/>
  <c r="M23" i="9"/>
  <c r="O23" i="9"/>
  <c r="Y23" i="9"/>
  <c r="AK23" i="9"/>
  <c r="P11" i="9"/>
  <c r="AB11" i="9"/>
  <c r="AN11" i="9"/>
  <c r="E11" i="9"/>
  <c r="Q11" i="9"/>
  <c r="AC11" i="9"/>
  <c r="F11" i="9"/>
  <c r="R11" i="9"/>
  <c r="AD11" i="9"/>
  <c r="G11" i="9"/>
  <c r="S11" i="9"/>
  <c r="AE11" i="9"/>
  <c r="H11" i="9"/>
  <c r="T11" i="9"/>
  <c r="AF11" i="9"/>
  <c r="I11" i="9"/>
  <c r="U11" i="9"/>
  <c r="AG11" i="9"/>
  <c r="J11" i="9"/>
  <c r="V11" i="9"/>
  <c r="AH11" i="9"/>
  <c r="K11" i="9"/>
  <c r="W11" i="9"/>
  <c r="AI11" i="9"/>
  <c r="L11" i="9"/>
  <c r="X11" i="9"/>
  <c r="AJ11" i="9"/>
  <c r="N11" i="9"/>
  <c r="Z11" i="9"/>
  <c r="AL11" i="9"/>
  <c r="O11" i="9"/>
  <c r="AA11" i="9"/>
  <c r="AM11" i="9"/>
  <c r="M11" i="9"/>
  <c r="Y11" i="9"/>
  <c r="AK11" i="9"/>
  <c r="D63" i="9"/>
  <c r="D51" i="9"/>
  <c r="D15" i="9"/>
  <c r="AM64" i="9"/>
  <c r="AA64" i="9"/>
  <c r="O64" i="9"/>
  <c r="AM63" i="9"/>
  <c r="AA63" i="9"/>
  <c r="O63" i="9"/>
  <c r="AM62" i="9"/>
  <c r="AA62" i="9"/>
  <c r="O62" i="9"/>
  <c r="AM61" i="9"/>
  <c r="AA61" i="9"/>
  <c r="O61" i="9"/>
  <c r="AM60" i="9"/>
  <c r="AA60" i="9"/>
  <c r="O60" i="9"/>
  <c r="AM59" i="9"/>
  <c r="AA59" i="9"/>
  <c r="O59" i="9"/>
  <c r="AM58" i="9"/>
  <c r="AA58" i="9"/>
  <c r="O58" i="9"/>
  <c r="AM57" i="9"/>
  <c r="AA57" i="9"/>
  <c r="M57" i="9"/>
  <c r="AI56" i="9"/>
  <c r="U56" i="9"/>
  <c r="G56" i="9"/>
  <c r="AC55" i="9"/>
  <c r="M55" i="9"/>
  <c r="AI54" i="9"/>
  <c r="U54" i="9"/>
  <c r="G54" i="9"/>
  <c r="AC53" i="9"/>
  <c r="M53" i="9"/>
  <c r="AI52" i="9"/>
  <c r="S52" i="9"/>
  <c r="AH51" i="9"/>
  <c r="Q51" i="9"/>
  <c r="AD50" i="9"/>
  <c r="F50" i="9"/>
  <c r="J49" i="9"/>
  <c r="T48" i="9"/>
  <c r="V47" i="9"/>
  <c r="T44" i="9"/>
  <c r="T42" i="9"/>
  <c r="T40" i="9"/>
  <c r="T38" i="9"/>
  <c r="T36" i="9"/>
  <c r="AK30" i="9"/>
  <c r="K46" i="9"/>
  <c r="W46" i="9"/>
  <c r="AI46" i="9"/>
  <c r="L46" i="9"/>
  <c r="X46" i="9"/>
  <c r="AJ46" i="9"/>
  <c r="M46" i="9"/>
  <c r="Y46" i="9"/>
  <c r="AK46" i="9"/>
  <c r="N46" i="9"/>
  <c r="Z46" i="9"/>
  <c r="AL46" i="9"/>
  <c r="O46" i="9"/>
  <c r="AA46" i="9"/>
  <c r="AM46" i="9"/>
  <c r="P46" i="9"/>
  <c r="AB46" i="9"/>
  <c r="AN46" i="9"/>
  <c r="E46" i="9"/>
  <c r="Q46" i="9"/>
  <c r="AC46" i="9"/>
  <c r="G46" i="9"/>
  <c r="S46" i="9"/>
  <c r="AE46" i="9"/>
  <c r="I46" i="9"/>
  <c r="U46" i="9"/>
  <c r="J46" i="9"/>
  <c r="V46" i="9"/>
  <c r="K34" i="9"/>
  <c r="W34" i="9"/>
  <c r="AI34" i="9"/>
  <c r="L34" i="9"/>
  <c r="X34" i="9"/>
  <c r="AJ34" i="9"/>
  <c r="M34" i="9"/>
  <c r="Y34" i="9"/>
  <c r="AK34" i="9"/>
  <c r="N34" i="9"/>
  <c r="Z34" i="9"/>
  <c r="AL34" i="9"/>
  <c r="O34" i="9"/>
  <c r="AA34" i="9"/>
  <c r="AM34" i="9"/>
  <c r="P34" i="9"/>
  <c r="AB34" i="9"/>
  <c r="AN34" i="9"/>
  <c r="E34" i="9"/>
  <c r="Q34" i="9"/>
  <c r="AC34" i="9"/>
  <c r="G34" i="9"/>
  <c r="S34" i="9"/>
  <c r="AE34" i="9"/>
  <c r="I34" i="9"/>
  <c r="U34" i="9"/>
  <c r="AG34" i="9"/>
  <c r="J34" i="9"/>
  <c r="V34" i="9"/>
  <c r="AH34" i="9"/>
  <c r="P22" i="9"/>
  <c r="AB22" i="9"/>
  <c r="AN22" i="9"/>
  <c r="E22" i="9"/>
  <c r="Q22" i="9"/>
  <c r="AC22" i="9"/>
  <c r="F22" i="9"/>
  <c r="R22" i="9"/>
  <c r="AD22" i="9"/>
  <c r="G22" i="9"/>
  <c r="S22" i="9"/>
  <c r="AE22" i="9"/>
  <c r="H22" i="9"/>
  <c r="T22" i="9"/>
  <c r="AF22" i="9"/>
  <c r="I22" i="9"/>
  <c r="U22" i="9"/>
  <c r="AG22" i="9"/>
  <c r="J22" i="9"/>
  <c r="V22" i="9"/>
  <c r="AH22" i="9"/>
  <c r="K22" i="9"/>
  <c r="W22" i="9"/>
  <c r="AI22" i="9"/>
  <c r="L22" i="9"/>
  <c r="X22" i="9"/>
  <c r="AJ22" i="9"/>
  <c r="N22" i="9"/>
  <c r="Z22" i="9"/>
  <c r="AL22" i="9"/>
  <c r="O22" i="9"/>
  <c r="Y22" i="9"/>
  <c r="AA22" i="9"/>
  <c r="AK22" i="9"/>
  <c r="AM22" i="9"/>
  <c r="M22" i="9"/>
  <c r="P10" i="9"/>
  <c r="AB10" i="9"/>
  <c r="AN10" i="9"/>
  <c r="E10" i="9"/>
  <c r="Q10" i="9"/>
  <c r="AC10" i="9"/>
  <c r="F10" i="9"/>
  <c r="R10" i="9"/>
  <c r="AD10" i="9"/>
  <c r="G10" i="9"/>
  <c r="S10" i="9"/>
  <c r="AE10" i="9"/>
  <c r="H10" i="9"/>
  <c r="T10" i="9"/>
  <c r="AF10" i="9"/>
  <c r="I10" i="9"/>
  <c r="U10" i="9"/>
  <c r="AG10" i="9"/>
  <c r="J10" i="9"/>
  <c r="V10" i="9"/>
  <c r="AH10" i="9"/>
  <c r="K10" i="9"/>
  <c r="W10" i="9"/>
  <c r="AI10" i="9"/>
  <c r="L10" i="9"/>
  <c r="X10" i="9"/>
  <c r="AJ10" i="9"/>
  <c r="N10" i="9"/>
  <c r="Z10" i="9"/>
  <c r="AL10" i="9"/>
  <c r="O10" i="9"/>
  <c r="AA10" i="9"/>
  <c r="AM10" i="9"/>
  <c r="Y10" i="9"/>
  <c r="AK10" i="9"/>
  <c r="M10" i="9"/>
  <c r="D62" i="9"/>
  <c r="D50" i="9"/>
  <c r="D38" i="9"/>
  <c r="D26" i="9"/>
  <c r="D14" i="9"/>
  <c r="AL64" i="9"/>
  <c r="Z64" i="9"/>
  <c r="N64" i="9"/>
  <c r="AL63" i="9"/>
  <c r="Z63" i="9"/>
  <c r="N63" i="9"/>
  <c r="AL62" i="9"/>
  <c r="Z62" i="9"/>
  <c r="N62" i="9"/>
  <c r="AL61" i="9"/>
  <c r="Z61" i="9"/>
  <c r="N61" i="9"/>
  <c r="AL60" i="9"/>
  <c r="Z60" i="9"/>
  <c r="N60" i="9"/>
  <c r="AL59" i="9"/>
  <c r="Z59" i="9"/>
  <c r="N59" i="9"/>
  <c r="AL58" i="9"/>
  <c r="Z58" i="9"/>
  <c r="N58" i="9"/>
  <c r="AL57" i="9"/>
  <c r="Z57" i="9"/>
  <c r="AH56" i="9"/>
  <c r="T56" i="9"/>
  <c r="F56" i="9"/>
  <c r="Z55" i="9"/>
  <c r="L55" i="9"/>
  <c r="AH54" i="9"/>
  <c r="T54" i="9"/>
  <c r="F54" i="9"/>
  <c r="Z53" i="9"/>
  <c r="L53" i="9"/>
  <c r="AH52" i="9"/>
  <c r="R52" i="9"/>
  <c r="AG51" i="9"/>
  <c r="L51" i="9"/>
  <c r="AC50" i="9"/>
  <c r="E50" i="9"/>
  <c r="I49" i="9"/>
  <c r="S48" i="9"/>
  <c r="U47" i="9"/>
  <c r="R46" i="9"/>
  <c r="R44" i="9"/>
  <c r="R42" i="9"/>
  <c r="R40" i="9"/>
  <c r="R36" i="9"/>
  <c r="R34" i="9"/>
  <c r="Z30" i="9"/>
  <c r="K38" i="9"/>
  <c r="W38" i="9"/>
  <c r="AI38" i="9"/>
  <c r="L38" i="9"/>
  <c r="X38" i="9"/>
  <c r="AJ38" i="9"/>
  <c r="M38" i="9"/>
  <c r="Y38" i="9"/>
  <c r="AK38" i="9"/>
  <c r="N38" i="9"/>
  <c r="Z38" i="9"/>
  <c r="AL38" i="9"/>
  <c r="O38" i="9"/>
  <c r="AA38" i="9"/>
  <c r="AM38" i="9"/>
  <c r="P38" i="9"/>
  <c r="AB38" i="9"/>
  <c r="AN38" i="9"/>
  <c r="E38" i="9"/>
  <c r="Q38" i="9"/>
  <c r="AC38" i="9"/>
  <c r="G38" i="9"/>
  <c r="S38" i="9"/>
  <c r="AE38" i="9"/>
  <c r="I38" i="9"/>
  <c r="U38" i="9"/>
  <c r="AG38" i="9"/>
  <c r="J38" i="9"/>
  <c r="V38" i="9"/>
  <c r="AH38" i="9"/>
  <c r="F64" i="9"/>
  <c r="F62" i="9"/>
  <c r="O57" i="9"/>
  <c r="P57" i="9"/>
  <c r="K45" i="9"/>
  <c r="W45" i="9"/>
  <c r="AI45" i="9"/>
  <c r="L45" i="9"/>
  <c r="X45" i="9"/>
  <c r="AJ45" i="9"/>
  <c r="M45" i="9"/>
  <c r="Y45" i="9"/>
  <c r="AK45" i="9"/>
  <c r="N45" i="9"/>
  <c r="Z45" i="9"/>
  <c r="AL45" i="9"/>
  <c r="O45" i="9"/>
  <c r="AA45" i="9"/>
  <c r="AM45" i="9"/>
  <c r="P45" i="9"/>
  <c r="AB45" i="9"/>
  <c r="AN45" i="9"/>
  <c r="E45" i="9"/>
  <c r="Q45" i="9"/>
  <c r="AC45" i="9"/>
  <c r="G45" i="9"/>
  <c r="S45" i="9"/>
  <c r="AE45" i="9"/>
  <c r="I45" i="9"/>
  <c r="U45" i="9"/>
  <c r="AG45" i="9"/>
  <c r="J45" i="9"/>
  <c r="V45" i="9"/>
  <c r="AH45" i="9"/>
  <c r="E33" i="9"/>
  <c r="F33" i="9"/>
  <c r="G33" i="9"/>
  <c r="J33" i="9"/>
  <c r="K33" i="9"/>
  <c r="W33" i="9"/>
  <c r="AI33" i="9"/>
  <c r="L33" i="9"/>
  <c r="X33" i="9"/>
  <c r="AJ33" i="9"/>
  <c r="M33" i="9"/>
  <c r="Y33" i="9"/>
  <c r="AK33" i="9"/>
  <c r="N33" i="9"/>
  <c r="Z33" i="9"/>
  <c r="AL33" i="9"/>
  <c r="O33" i="9"/>
  <c r="AA33" i="9"/>
  <c r="AM33" i="9"/>
  <c r="P33" i="9"/>
  <c r="AB33" i="9"/>
  <c r="AN33" i="9"/>
  <c r="Q33" i="9"/>
  <c r="AC33" i="9"/>
  <c r="S33" i="9"/>
  <c r="AE33" i="9"/>
  <c r="H33" i="9"/>
  <c r="U33" i="9"/>
  <c r="AG33" i="9"/>
  <c r="I33" i="9"/>
  <c r="V33" i="9"/>
  <c r="AH33" i="9"/>
  <c r="P21" i="9"/>
  <c r="AB21" i="9"/>
  <c r="AN21" i="9"/>
  <c r="E21" i="9"/>
  <c r="Q21" i="9"/>
  <c r="AC21" i="9"/>
  <c r="F21" i="9"/>
  <c r="R21" i="9"/>
  <c r="AD21" i="9"/>
  <c r="G21" i="9"/>
  <c r="S21" i="9"/>
  <c r="AE21" i="9"/>
  <c r="H21" i="9"/>
  <c r="T21" i="9"/>
  <c r="AF21" i="9"/>
  <c r="I21" i="9"/>
  <c r="U21" i="9"/>
  <c r="AG21" i="9"/>
  <c r="J21" i="9"/>
  <c r="V21" i="9"/>
  <c r="AH21" i="9"/>
  <c r="K21" i="9"/>
  <c r="W21" i="9"/>
  <c r="AI21" i="9"/>
  <c r="L21" i="9"/>
  <c r="X21" i="9"/>
  <c r="AJ21" i="9"/>
  <c r="N21" i="9"/>
  <c r="Z21" i="9"/>
  <c r="AL21" i="9"/>
  <c r="O21" i="9"/>
  <c r="AA21" i="9"/>
  <c r="AM21" i="9"/>
  <c r="M21" i="9"/>
  <c r="AK21" i="9"/>
  <c r="P9" i="9"/>
  <c r="AB9" i="9"/>
  <c r="AN9" i="9"/>
  <c r="E9" i="9"/>
  <c r="Q9" i="9"/>
  <c r="AC9" i="9"/>
  <c r="F9" i="9"/>
  <c r="R9" i="9"/>
  <c r="AD9" i="9"/>
  <c r="G9" i="9"/>
  <c r="S9" i="9"/>
  <c r="AE9" i="9"/>
  <c r="H9" i="9"/>
  <c r="T9" i="9"/>
  <c r="AF9" i="9"/>
  <c r="I9" i="9"/>
  <c r="U9" i="9"/>
  <c r="AG9" i="9"/>
  <c r="J9" i="9"/>
  <c r="V9" i="9"/>
  <c r="AH9" i="9"/>
  <c r="K9" i="9"/>
  <c r="W9" i="9"/>
  <c r="AI9" i="9"/>
  <c r="L9" i="9"/>
  <c r="X9" i="9"/>
  <c r="AJ9" i="9"/>
  <c r="N9" i="9"/>
  <c r="Z9" i="9"/>
  <c r="AL9" i="9"/>
  <c r="O9" i="9"/>
  <c r="AA9" i="9"/>
  <c r="AM9" i="9"/>
  <c r="M9" i="9"/>
  <c r="AK9" i="9"/>
  <c r="D61" i="9"/>
  <c r="D49" i="9"/>
  <c r="D37" i="9"/>
  <c r="D25" i="9"/>
  <c r="D13" i="9"/>
  <c r="AK64" i="9"/>
  <c r="Y64" i="9"/>
  <c r="M64" i="9"/>
  <c r="AK63" i="9"/>
  <c r="Y63" i="9"/>
  <c r="M63" i="9"/>
  <c r="AK62" i="9"/>
  <c r="Y62" i="9"/>
  <c r="M62" i="9"/>
  <c r="AK61" i="9"/>
  <c r="Y61" i="9"/>
  <c r="M61" i="9"/>
  <c r="AK60" i="9"/>
  <c r="Y60" i="9"/>
  <c r="M60" i="9"/>
  <c r="AK59" i="9"/>
  <c r="Y59" i="9"/>
  <c r="M59" i="9"/>
  <c r="AK58" i="9"/>
  <c r="Y58" i="9"/>
  <c r="M58" i="9"/>
  <c r="AK57" i="9"/>
  <c r="Y57" i="9"/>
  <c r="K57" i="9"/>
  <c r="AG56" i="9"/>
  <c r="S56" i="9"/>
  <c r="Y55" i="9"/>
  <c r="K55" i="9"/>
  <c r="AG54" i="9"/>
  <c r="S54" i="9"/>
  <c r="E54" i="9"/>
  <c r="Y53" i="9"/>
  <c r="K53" i="9"/>
  <c r="AG52" i="9"/>
  <c r="AF51" i="9"/>
  <c r="J51" i="9"/>
  <c r="V50" i="9"/>
  <c r="AH49" i="9"/>
  <c r="H49" i="9"/>
  <c r="R48" i="9"/>
  <c r="T47" i="9"/>
  <c r="H46" i="9"/>
  <c r="H42" i="9"/>
  <c r="H40" i="9"/>
  <c r="H38" i="9"/>
  <c r="H36" i="9"/>
  <c r="H34" i="9"/>
  <c r="Y29" i="9"/>
  <c r="Y17" i="9"/>
  <c r="M52" i="9"/>
  <c r="Y52" i="9"/>
  <c r="N52" i="9"/>
  <c r="Z52" i="9"/>
  <c r="O52" i="9"/>
  <c r="AA52" i="9"/>
  <c r="AM52" i="9"/>
  <c r="P52" i="9"/>
  <c r="AB52" i="9"/>
  <c r="AN52" i="9"/>
  <c r="H64" i="9"/>
  <c r="AL52" i="9"/>
  <c r="O56" i="9"/>
  <c r="AA56" i="9"/>
  <c r="AM56" i="9"/>
  <c r="P56" i="9"/>
  <c r="AB56" i="9"/>
  <c r="AN56" i="9"/>
  <c r="K44" i="9"/>
  <c r="W44" i="9"/>
  <c r="AI44" i="9"/>
  <c r="L44" i="9"/>
  <c r="X44" i="9"/>
  <c r="AJ44" i="9"/>
  <c r="M44" i="9"/>
  <c r="Y44" i="9"/>
  <c r="AK44" i="9"/>
  <c r="N44" i="9"/>
  <c r="Z44" i="9"/>
  <c r="AL44" i="9"/>
  <c r="O44" i="9"/>
  <c r="AA44" i="9"/>
  <c r="AM44" i="9"/>
  <c r="P44" i="9"/>
  <c r="AB44" i="9"/>
  <c r="AN44" i="9"/>
  <c r="E44" i="9"/>
  <c r="Q44" i="9"/>
  <c r="AC44" i="9"/>
  <c r="G44" i="9"/>
  <c r="S44" i="9"/>
  <c r="AE44" i="9"/>
  <c r="I44" i="9"/>
  <c r="U44" i="9"/>
  <c r="AG44" i="9"/>
  <c r="J44" i="9"/>
  <c r="V44" i="9"/>
  <c r="AH44" i="9"/>
  <c r="P32" i="9"/>
  <c r="AB32" i="9"/>
  <c r="AN32" i="9"/>
  <c r="E32" i="9"/>
  <c r="Q32" i="9"/>
  <c r="AC32" i="9"/>
  <c r="F32" i="9"/>
  <c r="R32" i="9"/>
  <c r="AD32" i="9"/>
  <c r="G32" i="9"/>
  <c r="S32" i="9"/>
  <c r="AE32" i="9"/>
  <c r="H32" i="9"/>
  <c r="T32" i="9"/>
  <c r="AF32" i="9"/>
  <c r="I32" i="9"/>
  <c r="U32" i="9"/>
  <c r="AG32" i="9"/>
  <c r="J32" i="9"/>
  <c r="V32" i="9"/>
  <c r="AH32" i="9"/>
  <c r="K32" i="9"/>
  <c r="W32" i="9"/>
  <c r="AI32" i="9"/>
  <c r="N32" i="9"/>
  <c r="O32" i="9"/>
  <c r="X32" i="9"/>
  <c r="Y32" i="9"/>
  <c r="Z32" i="9"/>
  <c r="AA32" i="9"/>
  <c r="AJ32" i="9"/>
  <c r="AL32" i="9"/>
  <c r="L32" i="9"/>
  <c r="M32" i="9"/>
  <c r="P20" i="9"/>
  <c r="H20" i="9"/>
  <c r="L20" i="9"/>
  <c r="P8" i="9"/>
  <c r="AB8" i="9"/>
  <c r="AN8" i="9"/>
  <c r="E8" i="9"/>
  <c r="Q8" i="9"/>
  <c r="AC8" i="9"/>
  <c r="F8" i="9"/>
  <c r="R8" i="9"/>
  <c r="AD8" i="9"/>
  <c r="G8" i="9"/>
  <c r="S8" i="9"/>
  <c r="AE8" i="9"/>
  <c r="H8" i="9"/>
  <c r="T8" i="9"/>
  <c r="AF8" i="9"/>
  <c r="I8" i="9"/>
  <c r="U8" i="9"/>
  <c r="AG8" i="9"/>
  <c r="J8" i="9"/>
  <c r="V8" i="9"/>
  <c r="AH8" i="9"/>
  <c r="K8" i="9"/>
  <c r="W8" i="9"/>
  <c r="AI8" i="9"/>
  <c r="L8" i="9"/>
  <c r="X8" i="9"/>
  <c r="AJ8" i="9"/>
  <c r="N8" i="9"/>
  <c r="Z8" i="9"/>
  <c r="AL8" i="9"/>
  <c r="O8" i="9"/>
  <c r="AA8" i="9"/>
  <c r="AM8" i="9"/>
  <c r="M8" i="9"/>
  <c r="Y8" i="9"/>
  <c r="D60" i="9"/>
  <c r="D48" i="9"/>
  <c r="D36" i="9"/>
  <c r="D24" i="9"/>
  <c r="D12" i="9"/>
  <c r="AJ64" i="9"/>
  <c r="X64" i="9"/>
  <c r="L64" i="9"/>
  <c r="AJ63" i="9"/>
  <c r="X63" i="9"/>
  <c r="L63" i="9"/>
  <c r="AJ62" i="9"/>
  <c r="X62" i="9"/>
  <c r="L62" i="9"/>
  <c r="AJ61" i="9"/>
  <c r="X61" i="9"/>
  <c r="L61" i="9"/>
  <c r="AJ60" i="9"/>
  <c r="X60" i="9"/>
  <c r="L60" i="9"/>
  <c r="AJ59" i="9"/>
  <c r="X59" i="9"/>
  <c r="L59" i="9"/>
  <c r="AJ58" i="9"/>
  <c r="X58" i="9"/>
  <c r="L58" i="9"/>
  <c r="AJ57" i="9"/>
  <c r="X57" i="9"/>
  <c r="J57" i="9"/>
  <c r="AF56" i="9"/>
  <c r="R56" i="9"/>
  <c r="AL55" i="9"/>
  <c r="X55" i="9"/>
  <c r="AF54" i="9"/>
  <c r="R54" i="9"/>
  <c r="AL53" i="9"/>
  <c r="X53" i="9"/>
  <c r="J53" i="9"/>
  <c r="AF52" i="9"/>
  <c r="L52" i="9"/>
  <c r="AE51" i="9"/>
  <c r="I51" i="9"/>
  <c r="U50" i="9"/>
  <c r="AG49" i="9"/>
  <c r="G49" i="9"/>
  <c r="J48" i="9"/>
  <c r="R47" i="9"/>
  <c r="F46" i="9"/>
  <c r="F44" i="9"/>
  <c r="F42" i="9"/>
  <c r="F38" i="9"/>
  <c r="F36" i="9"/>
  <c r="F34" i="9"/>
  <c r="N29" i="9"/>
  <c r="AK16" i="9"/>
  <c r="K40" i="9"/>
  <c r="W40" i="9"/>
  <c r="AI40" i="9"/>
  <c r="L40" i="9"/>
  <c r="X40" i="9"/>
  <c r="AJ40" i="9"/>
  <c r="M40" i="9"/>
  <c r="Y40" i="9"/>
  <c r="AK40" i="9"/>
  <c r="N40" i="9"/>
  <c r="Z40" i="9"/>
  <c r="AL40" i="9"/>
  <c r="O40" i="9"/>
  <c r="AA40" i="9"/>
  <c r="AM40" i="9"/>
  <c r="P40" i="9"/>
  <c r="AB40" i="9"/>
  <c r="AN40" i="9"/>
  <c r="E40" i="9"/>
  <c r="Q40" i="9"/>
  <c r="AC40" i="9"/>
  <c r="G40" i="9"/>
  <c r="S40" i="9"/>
  <c r="AE40" i="9"/>
  <c r="I40" i="9"/>
  <c r="U40" i="9"/>
  <c r="AG40" i="9"/>
  <c r="J40" i="9"/>
  <c r="V40" i="9"/>
  <c r="AH40" i="9"/>
  <c r="T64" i="9"/>
  <c r="R64" i="9"/>
  <c r="AD62" i="9"/>
  <c r="F52" i="9"/>
  <c r="O55" i="9"/>
  <c r="AA55" i="9"/>
  <c r="AM55" i="9"/>
  <c r="P55" i="9"/>
  <c r="AB55" i="9"/>
  <c r="AN55" i="9"/>
  <c r="K43" i="9"/>
  <c r="W43" i="9"/>
  <c r="AI43" i="9"/>
  <c r="L43" i="9"/>
  <c r="X43" i="9"/>
  <c r="AJ43" i="9"/>
  <c r="M43" i="9"/>
  <c r="Y43" i="9"/>
  <c r="AK43" i="9"/>
  <c r="N43" i="9"/>
  <c r="Z43" i="9"/>
  <c r="AL43" i="9"/>
  <c r="O43" i="9"/>
  <c r="AA43" i="9"/>
  <c r="AM43" i="9"/>
  <c r="P43" i="9"/>
  <c r="AB43" i="9"/>
  <c r="AN43" i="9"/>
  <c r="E43" i="9"/>
  <c r="Q43" i="9"/>
  <c r="AC43" i="9"/>
  <c r="G43" i="9"/>
  <c r="S43" i="9"/>
  <c r="AE43" i="9"/>
  <c r="I43" i="9"/>
  <c r="U43" i="9"/>
  <c r="AG43" i="9"/>
  <c r="J43" i="9"/>
  <c r="V43" i="9"/>
  <c r="AH43" i="9"/>
  <c r="P31" i="9"/>
  <c r="AB31" i="9"/>
  <c r="AN31" i="9"/>
  <c r="E31" i="9"/>
  <c r="Q31" i="9"/>
  <c r="AC31" i="9"/>
  <c r="F31" i="9"/>
  <c r="R31" i="9"/>
  <c r="AD31" i="9"/>
  <c r="G31" i="9"/>
  <c r="S31" i="9"/>
  <c r="AE31" i="9"/>
  <c r="H31" i="9"/>
  <c r="T31" i="9"/>
  <c r="AF31" i="9"/>
  <c r="I31" i="9"/>
  <c r="U31" i="9"/>
  <c r="AG31" i="9"/>
  <c r="J31" i="9"/>
  <c r="V31" i="9"/>
  <c r="AH31" i="9"/>
  <c r="K31" i="9"/>
  <c r="W31" i="9"/>
  <c r="AI31" i="9"/>
  <c r="L31" i="9"/>
  <c r="X31" i="9"/>
  <c r="M31" i="9"/>
  <c r="N31" i="9"/>
  <c r="O31" i="9"/>
  <c r="Y31" i="9"/>
  <c r="Z31" i="9"/>
  <c r="AA31" i="9"/>
  <c r="AJ31" i="9"/>
  <c r="AL31" i="9"/>
  <c r="P19" i="9"/>
  <c r="AB19" i="9"/>
  <c r="AN19" i="9"/>
  <c r="E19" i="9"/>
  <c r="Q19" i="9"/>
  <c r="AC19" i="9"/>
  <c r="F19" i="9"/>
  <c r="R19" i="9"/>
  <c r="AD19" i="9"/>
  <c r="G19" i="9"/>
  <c r="S19" i="9"/>
  <c r="AE19" i="9"/>
  <c r="H19" i="9"/>
  <c r="T19" i="9"/>
  <c r="AF19" i="9"/>
  <c r="I19" i="9"/>
  <c r="U19" i="9"/>
  <c r="AG19" i="9"/>
  <c r="J19" i="9"/>
  <c r="V19" i="9"/>
  <c r="AH19" i="9"/>
  <c r="K19" i="9"/>
  <c r="W19" i="9"/>
  <c r="AI19" i="9"/>
  <c r="L19" i="9"/>
  <c r="X19" i="9"/>
  <c r="AJ19" i="9"/>
  <c r="N19" i="9"/>
  <c r="Z19" i="9"/>
  <c r="AL19" i="9"/>
  <c r="O19" i="9"/>
  <c r="AA19" i="9"/>
  <c r="AM19" i="9"/>
  <c r="M19" i="9"/>
  <c r="Y19" i="9"/>
  <c r="AK19" i="9"/>
  <c r="L4" i="9"/>
  <c r="AI4" i="9"/>
  <c r="J4" i="9"/>
  <c r="K4" i="9"/>
  <c r="W4" i="9"/>
  <c r="AH4" i="9"/>
  <c r="D59" i="9"/>
  <c r="D47" i="9"/>
  <c r="D35" i="9"/>
  <c r="D23" i="9"/>
  <c r="D11" i="9"/>
  <c r="AI64" i="9"/>
  <c r="W64" i="9"/>
  <c r="AI63" i="9"/>
  <c r="W63" i="9"/>
  <c r="AI62" i="9"/>
  <c r="W62" i="9"/>
  <c r="AI61" i="9"/>
  <c r="W61" i="9"/>
  <c r="AI60" i="9"/>
  <c r="W60" i="9"/>
  <c r="AI59" i="9"/>
  <c r="W59" i="9"/>
  <c r="AI58" i="9"/>
  <c r="W58" i="9"/>
  <c r="AI57" i="9"/>
  <c r="W57" i="9"/>
  <c r="I57" i="9"/>
  <c r="AE56" i="9"/>
  <c r="Q56" i="9"/>
  <c r="AK55" i="9"/>
  <c r="W55" i="9"/>
  <c r="I55" i="9"/>
  <c r="AE54" i="9"/>
  <c r="Q54" i="9"/>
  <c r="AK53" i="9"/>
  <c r="W53" i="9"/>
  <c r="I53" i="9"/>
  <c r="AE52" i="9"/>
  <c r="K52" i="9"/>
  <c r="AD51" i="9"/>
  <c r="H51" i="9"/>
  <c r="T50" i="9"/>
  <c r="AF49" i="9"/>
  <c r="F49" i="9"/>
  <c r="I48" i="9"/>
  <c r="J47" i="9"/>
  <c r="AF45" i="9"/>
  <c r="AF43" i="9"/>
  <c r="AF41" i="9"/>
  <c r="AF37" i="9"/>
  <c r="AF35" i="9"/>
  <c r="AF33" i="9"/>
  <c r="M28" i="9"/>
  <c r="Y13" i="9"/>
  <c r="AG4" i="9"/>
  <c r="U4" i="9"/>
  <c r="I4" i="9"/>
  <c r="AF4" i="9"/>
  <c r="T4" i="9"/>
  <c r="H4" i="9"/>
  <c r="AE4" i="9"/>
  <c r="S4" i="9"/>
  <c r="G4" i="9"/>
  <c r="D4" i="9"/>
  <c r="AD4" i="9"/>
  <c r="R4" i="9"/>
  <c r="F4" i="9"/>
  <c r="AC4" i="9"/>
  <c r="Q4" i="9"/>
  <c r="E4" i="9"/>
  <c r="AN4" i="9"/>
  <c r="AB4" i="9"/>
  <c r="P4" i="9"/>
  <c r="AM4" i="9"/>
  <c r="AA4" i="9"/>
  <c r="O4" i="9"/>
  <c r="AL4" i="9"/>
  <c r="Z4" i="9"/>
  <c r="N4" i="9"/>
  <c r="AK4" i="9"/>
  <c r="Y4" i="9"/>
  <c r="M4" i="9"/>
  <c r="AJ4" i="9"/>
  <c r="X4" i="9"/>
  <c r="C2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F5" i="4"/>
  <c r="C3" i="9"/>
  <c r="X6" i="1"/>
  <c r="V6" i="1" s="1"/>
  <c r="J15" i="1" s="1"/>
  <c r="I16" i="1" s="1"/>
  <c r="J21" i="1"/>
  <c r="H24" i="1" s="1"/>
  <c r="G25" i="1" s="1"/>
  <c r="E2" i="8"/>
  <c r="E3" i="8"/>
  <c r="Q7" i="8" s="1"/>
  <c r="D12" i="8"/>
  <c r="E12" i="8" s="1"/>
  <c r="Q48" i="8" s="1"/>
  <c r="E19" i="8"/>
  <c r="G3" i="8"/>
  <c r="Q6" i="8"/>
  <c r="E7" i="8"/>
  <c r="Q46" i="8"/>
  <c r="D4" i="8"/>
  <c r="E4" i="8" s="1"/>
  <c r="I41" i="1"/>
  <c r="E22" i="1"/>
  <c r="K16" i="1"/>
  <c r="U16" i="1"/>
  <c r="G35" i="1"/>
  <c r="U13" i="1"/>
  <c r="I35" i="1"/>
  <c r="Q32" i="1"/>
  <c r="W16" i="1"/>
  <c r="K19" i="1"/>
  <c r="E28" i="1"/>
  <c r="Q35" i="1"/>
  <c r="K10" i="1"/>
  <c r="E35" i="1"/>
  <c r="C28" i="1"/>
  <c r="W19" i="1"/>
  <c r="I28" i="1"/>
  <c r="S35" i="1"/>
  <c r="E32" i="1"/>
  <c r="G22" i="1"/>
  <c r="K28" i="1"/>
  <c r="E38" i="1"/>
  <c r="O32" i="1"/>
  <c r="C22" i="1"/>
  <c r="I38" i="1"/>
  <c r="C41" i="1"/>
  <c r="M41" i="1"/>
  <c r="U7" i="1"/>
  <c r="S19" i="1"/>
  <c r="C32" i="1"/>
  <c r="K38" i="1"/>
  <c r="U19" i="1"/>
  <c r="G28" i="1"/>
  <c r="D34" i="1"/>
  <c r="C35" i="1" s="1"/>
  <c r="D37" i="1"/>
  <c r="C38" i="1" s="1"/>
  <c r="E41" i="1"/>
  <c r="H12" i="1"/>
  <c r="U22" i="1"/>
  <c r="Y28" i="1"/>
  <c r="O41" i="1"/>
  <c r="J12" i="1"/>
  <c r="G38" i="1"/>
  <c r="Q41" i="1"/>
  <c r="Z18" i="1"/>
  <c r="L21" i="1"/>
  <c r="I32" i="1"/>
  <c r="K35" i="1"/>
  <c r="M38" i="1"/>
  <c r="N12" i="1"/>
  <c r="C25" i="1"/>
  <c r="K32" i="1"/>
  <c r="M35" i="1"/>
  <c r="O38" i="1"/>
  <c r="M32" i="1"/>
  <c r="O35" i="1"/>
  <c r="AE20" i="9" l="1"/>
  <c r="Y20" i="9"/>
  <c r="W20" i="9"/>
  <c r="S20" i="9"/>
  <c r="AI20" i="9"/>
  <c r="M20" i="9"/>
  <c r="K20" i="9"/>
  <c r="G20" i="9"/>
  <c r="AM20" i="9"/>
  <c r="AH20" i="9"/>
  <c r="AD20" i="9"/>
  <c r="AA20" i="9"/>
  <c r="V20" i="9"/>
  <c r="R20" i="9"/>
  <c r="O20" i="9"/>
  <c r="J20" i="9"/>
  <c r="F20" i="9"/>
  <c r="AL20" i="9"/>
  <c r="AG20" i="9"/>
  <c r="AC20" i="9"/>
  <c r="Z20" i="9"/>
  <c r="U20" i="9"/>
  <c r="Q20" i="9"/>
  <c r="N20" i="9"/>
  <c r="I20" i="9"/>
  <c r="E20" i="9"/>
  <c r="AJ20" i="9"/>
  <c r="AF20" i="9"/>
  <c r="AN20" i="9"/>
  <c r="X20" i="9"/>
  <c r="T20" i="9"/>
  <c r="AB20" i="9"/>
  <c r="D27" i="9"/>
  <c r="L27" i="9"/>
  <c r="H27" i="9"/>
  <c r="P27" i="9"/>
  <c r="AI27" i="9"/>
  <c r="AE27" i="9"/>
  <c r="AM27" i="9"/>
  <c r="W27" i="9"/>
  <c r="S27" i="9"/>
  <c r="R27" i="9"/>
  <c r="AK27" i="9"/>
  <c r="K27" i="9"/>
  <c r="G27" i="9"/>
  <c r="Z27" i="9"/>
  <c r="Y27" i="9"/>
  <c r="J27" i="9"/>
  <c r="F27" i="9"/>
  <c r="O27" i="9"/>
  <c r="AG27" i="9"/>
  <c r="AC27" i="9"/>
  <c r="N27" i="9"/>
  <c r="U27" i="9"/>
  <c r="Q27" i="9"/>
  <c r="V27" i="9"/>
  <c r="M27" i="9"/>
  <c r="I27" i="9"/>
  <c r="E27" i="9"/>
  <c r="AJ27" i="9"/>
  <c r="AF27" i="9"/>
  <c r="AN27" i="9"/>
  <c r="X27" i="9"/>
  <c r="T27" i="9"/>
  <c r="AB27" i="9"/>
  <c r="D20" i="9"/>
  <c r="AJ7" i="9"/>
  <c r="AF7" i="9"/>
  <c r="AN7" i="9"/>
  <c r="L7" i="9"/>
  <c r="H7" i="9"/>
  <c r="P7" i="9"/>
  <c r="T33" i="9"/>
  <c r="D33" i="9"/>
  <c r="R33" i="9"/>
  <c r="Y7" i="9"/>
  <c r="W7" i="9"/>
  <c r="S7" i="9"/>
  <c r="M7" i="9"/>
  <c r="K7" i="9"/>
  <c r="G7" i="9"/>
  <c r="C39" i="9"/>
  <c r="F40" i="9"/>
  <c r="AM7" i="9"/>
  <c r="AH7" i="9"/>
  <c r="AD7" i="9"/>
  <c r="AA7" i="9"/>
  <c r="V7" i="9"/>
  <c r="R7" i="9"/>
  <c r="O7" i="9"/>
  <c r="J7" i="9"/>
  <c r="F7" i="9"/>
  <c r="AL7" i="9"/>
  <c r="AG7" i="9"/>
  <c r="AC7" i="9"/>
  <c r="Z7" i="9"/>
  <c r="U7" i="9"/>
  <c r="Q7" i="9"/>
  <c r="Y9" i="9"/>
  <c r="D9" i="9"/>
  <c r="C2" i="9"/>
  <c r="L3" i="9"/>
  <c r="X3" i="9"/>
  <c r="AJ3" i="9"/>
  <c r="M3" i="9"/>
  <c r="Y3" i="9"/>
  <c r="AK3" i="9"/>
  <c r="N3" i="9"/>
  <c r="Z3" i="9"/>
  <c r="AL3" i="9"/>
  <c r="O3" i="9"/>
  <c r="AA3" i="9"/>
  <c r="AM3" i="9"/>
  <c r="K3" i="9"/>
  <c r="P3" i="9"/>
  <c r="AB3" i="9"/>
  <c r="AN3" i="9"/>
  <c r="E3" i="9"/>
  <c r="Q3" i="9"/>
  <c r="AC3" i="9"/>
  <c r="D3" i="9"/>
  <c r="V3" i="9"/>
  <c r="F3" i="9"/>
  <c r="R3" i="9"/>
  <c r="AD3" i="9"/>
  <c r="J3" i="9"/>
  <c r="G3" i="9"/>
  <c r="S3" i="9"/>
  <c r="AE3" i="9"/>
  <c r="W3" i="9"/>
  <c r="H3" i="9"/>
  <c r="T3" i="9"/>
  <c r="AF3" i="9"/>
  <c r="AI3" i="9"/>
  <c r="I3" i="9"/>
  <c r="U3" i="9"/>
  <c r="AG3" i="9"/>
  <c r="AH3" i="9"/>
  <c r="W7" i="1"/>
  <c r="I22" i="1"/>
  <c r="L12" i="1"/>
  <c r="K13" i="1" s="1"/>
  <c r="D10" i="4"/>
  <c r="C6" i="9"/>
  <c r="I3" i="8"/>
  <c r="Q19" i="8"/>
  <c r="Q47" i="8"/>
  <c r="M13" i="1"/>
  <c r="D15" i="1"/>
  <c r="N18" i="1"/>
  <c r="L6" i="1" s="1"/>
  <c r="I13" i="1"/>
  <c r="J18" i="1"/>
  <c r="I19" i="1" s="1"/>
  <c r="P18" i="1"/>
  <c r="Y19" i="1"/>
  <c r="N21" i="1"/>
  <c r="H9" i="1"/>
  <c r="G13" i="1"/>
  <c r="P12" i="1"/>
  <c r="K22" i="1"/>
  <c r="T15" i="1"/>
  <c r="J9" i="1" s="1"/>
  <c r="T39" i="9" l="1"/>
  <c r="AJ39" i="9"/>
  <c r="AN39" i="9"/>
  <c r="AH39" i="9"/>
  <c r="M39" i="9"/>
  <c r="E39" i="9"/>
  <c r="Y39" i="9"/>
  <c r="Q39" i="9"/>
  <c r="K39" i="9"/>
  <c r="AD39" i="9"/>
  <c r="AK39" i="9"/>
  <c r="AC39" i="9"/>
  <c r="O39" i="9"/>
  <c r="N39" i="9"/>
  <c r="G39" i="9"/>
  <c r="F39" i="9"/>
  <c r="Z39" i="9"/>
  <c r="S39" i="9"/>
  <c r="D39" i="9"/>
  <c r="D66" i="9" s="1"/>
  <c r="H39" i="9"/>
  <c r="AL39" i="9"/>
  <c r="AE39" i="9"/>
  <c r="AF39" i="9"/>
  <c r="I39" i="9"/>
  <c r="W39" i="9"/>
  <c r="AA39" i="9"/>
  <c r="U39" i="9"/>
  <c r="AI39" i="9"/>
  <c r="AG39" i="9"/>
  <c r="R39" i="9"/>
  <c r="AM39" i="9"/>
  <c r="L39" i="9"/>
  <c r="P39" i="9"/>
  <c r="J39" i="9"/>
  <c r="X39" i="9"/>
  <c r="AB39" i="9"/>
  <c r="V39" i="9"/>
  <c r="P6" i="9"/>
  <c r="AB6" i="9"/>
  <c r="AN6" i="9"/>
  <c r="E6" i="9"/>
  <c r="Q6" i="9"/>
  <c r="AC6" i="9"/>
  <c r="F6" i="9"/>
  <c r="R6" i="9"/>
  <c r="AD6" i="9"/>
  <c r="G6" i="9"/>
  <c r="S6" i="9"/>
  <c r="AE6" i="9"/>
  <c r="H6" i="9"/>
  <c r="T6" i="9"/>
  <c r="AF6" i="9"/>
  <c r="I6" i="9"/>
  <c r="U6" i="9"/>
  <c r="AG6" i="9"/>
  <c r="J6" i="9"/>
  <c r="V6" i="9"/>
  <c r="AH6" i="9"/>
  <c r="K6" i="9"/>
  <c r="W6" i="9"/>
  <c r="AI6" i="9"/>
  <c r="L6" i="9"/>
  <c r="X6" i="9"/>
  <c r="AJ6" i="9"/>
  <c r="N6" i="9"/>
  <c r="Z6" i="9"/>
  <c r="AL6" i="9"/>
  <c r="O6" i="9"/>
  <c r="AA6" i="9"/>
  <c r="AM6" i="9"/>
  <c r="Y6" i="9"/>
  <c r="AK6" i="9"/>
  <c r="M6" i="9"/>
  <c r="D6" i="9"/>
  <c r="H2" i="9"/>
  <c r="L2" i="9"/>
  <c r="X2" i="9"/>
  <c r="AJ2" i="9"/>
  <c r="M2" i="9"/>
  <c r="Y2" i="9"/>
  <c r="AK2" i="9"/>
  <c r="N2" i="9"/>
  <c r="Z2" i="9"/>
  <c r="AL2" i="9"/>
  <c r="O2" i="9"/>
  <c r="AA2" i="9"/>
  <c r="AM2" i="9"/>
  <c r="P2" i="9"/>
  <c r="AB2" i="9"/>
  <c r="AN2" i="9"/>
  <c r="G2" i="9"/>
  <c r="Q2" i="9"/>
  <c r="AC2" i="9"/>
  <c r="R2" i="9"/>
  <c r="AD2" i="9"/>
  <c r="W2" i="9"/>
  <c r="S2" i="9"/>
  <c r="AE2" i="9"/>
  <c r="V2" i="9"/>
  <c r="D2" i="9"/>
  <c r="T2" i="9"/>
  <c r="AF2" i="9"/>
  <c r="AH2" i="9"/>
  <c r="E2" i="9"/>
  <c r="U2" i="9"/>
  <c r="AG2" i="9"/>
  <c r="F2" i="9"/>
  <c r="AI2" i="9"/>
  <c r="K2" i="9"/>
  <c r="J2" i="9"/>
  <c r="I2" i="9"/>
  <c r="C5" i="9"/>
  <c r="P54" i="8"/>
  <c r="E20" i="8" s="1"/>
  <c r="I10" i="1"/>
  <c r="J6" i="1"/>
  <c r="H6" i="1"/>
  <c r="G10" i="1"/>
  <c r="M19" i="1"/>
  <c r="R6" i="1"/>
  <c r="M22" i="1"/>
  <c r="T9" i="1"/>
  <c r="F18" i="1"/>
  <c r="C16" i="1"/>
  <c r="R12" i="1"/>
  <c r="S16" i="1"/>
  <c r="P5" i="9" l="1"/>
  <c r="AB5" i="9"/>
  <c r="AN5" i="9"/>
  <c r="E5" i="9"/>
  <c r="E66" i="9" s="1"/>
  <c r="Q5" i="9"/>
  <c r="Q66" i="9" s="1"/>
  <c r="AC5" i="9"/>
  <c r="AC67" i="9" s="1"/>
  <c r="F5" i="9"/>
  <c r="F66" i="9" s="1"/>
  <c r="R5" i="9"/>
  <c r="R67" i="9" s="1"/>
  <c r="AD5" i="9"/>
  <c r="AD67" i="9" s="1"/>
  <c r="G5" i="9"/>
  <c r="G67" i="9" s="1"/>
  <c r="S5" i="9"/>
  <c r="S66" i="9" s="1"/>
  <c r="AE5" i="9"/>
  <c r="AE66" i="9" s="1"/>
  <c r="H5" i="9"/>
  <c r="T5" i="9"/>
  <c r="T66" i="9" s="1"/>
  <c r="AF5" i="9"/>
  <c r="I5" i="9"/>
  <c r="U5" i="9"/>
  <c r="U66" i="9" s="1"/>
  <c r="AG5" i="9"/>
  <c r="J5" i="9"/>
  <c r="J66" i="9" s="1"/>
  <c r="V5" i="9"/>
  <c r="V66" i="9" s="1"/>
  <c r="AH5" i="9"/>
  <c r="AH66" i="9" s="1"/>
  <c r="K5" i="9"/>
  <c r="K67" i="9" s="1"/>
  <c r="W5" i="9"/>
  <c r="W67" i="9" s="1"/>
  <c r="AI5" i="9"/>
  <c r="AI66" i="9" s="1"/>
  <c r="L5" i="9"/>
  <c r="X5" i="9"/>
  <c r="X67" i="9" s="1"/>
  <c r="AJ5" i="9"/>
  <c r="N5" i="9"/>
  <c r="N66" i="9" s="1"/>
  <c r="Z5" i="9"/>
  <c r="AL5" i="9"/>
  <c r="AL67" i="9" s="1"/>
  <c r="O5" i="9"/>
  <c r="AA5" i="9"/>
  <c r="AA66" i="9" s="1"/>
  <c r="AM5" i="9"/>
  <c r="AM66" i="9" s="1"/>
  <c r="M5" i="9"/>
  <c r="M67" i="9" s="1"/>
  <c r="AK5" i="9"/>
  <c r="AK66" i="9" s="1"/>
  <c r="D5" i="9"/>
  <c r="D67" i="9" s="1"/>
  <c r="Y5" i="9"/>
  <c r="Y66" i="9"/>
  <c r="Y67" i="9"/>
  <c r="Z66" i="9"/>
  <c r="Z67" i="9"/>
  <c r="AJ66" i="9"/>
  <c r="AJ67" i="9"/>
  <c r="N67" i="9"/>
  <c r="E67" i="9"/>
  <c r="T67" i="9"/>
  <c r="AB66" i="9"/>
  <c r="AB67" i="9"/>
  <c r="X66" i="9"/>
  <c r="AG66" i="9"/>
  <c r="AG67" i="9"/>
  <c r="AC66" i="9"/>
  <c r="Q67" i="9"/>
  <c r="AF66" i="9"/>
  <c r="AF67" i="9"/>
  <c r="AN66" i="9"/>
  <c r="AN67" i="9"/>
  <c r="P66" i="9"/>
  <c r="P67" i="9"/>
  <c r="L67" i="9"/>
  <c r="L66" i="9"/>
  <c r="AL66" i="9"/>
  <c r="E21" i="8"/>
  <c r="J3" i="8"/>
  <c r="H67" i="9"/>
  <c r="H66" i="9"/>
  <c r="I67" i="9"/>
  <c r="I66" i="9"/>
  <c r="Q54" i="8"/>
  <c r="F15" i="1"/>
  <c r="E19" i="1"/>
  <c r="T12" i="1"/>
  <c r="S10" i="1"/>
  <c r="T13" i="1"/>
  <c r="Q13" i="1"/>
  <c r="R9" i="1"/>
  <c r="W66" i="9" l="1"/>
  <c r="U67" i="9"/>
  <c r="K66" i="9"/>
  <c r="G66" i="9"/>
  <c r="M66" i="9"/>
  <c r="R66" i="9"/>
  <c r="AI67" i="9"/>
  <c r="AK67" i="9"/>
  <c r="V67" i="9"/>
  <c r="AE67" i="9"/>
  <c r="AH67" i="9"/>
  <c r="J67" i="9"/>
  <c r="F67" i="9"/>
  <c r="AM67" i="9"/>
  <c r="AA67" i="9"/>
  <c r="AD66" i="9"/>
  <c r="S67" i="9"/>
  <c r="O66" i="9"/>
  <c r="O67" i="9"/>
  <c r="Q10" i="1"/>
  <c r="N9" i="1"/>
  <c r="P9" i="1"/>
  <c r="T4" i="1"/>
  <c r="S4" i="1"/>
  <c r="E16" i="1"/>
  <c r="D18" i="1"/>
  <c r="F12" i="1"/>
  <c r="E23" i="8" l="1"/>
  <c r="F9" i="1"/>
  <c r="D12" i="1"/>
  <c r="C13" i="1" s="1"/>
  <c r="E13" i="1"/>
  <c r="C19" i="1"/>
  <c r="D9" i="1"/>
  <c r="M10" i="1"/>
  <c r="N6" i="1"/>
  <c r="P6" i="1"/>
  <c r="O11" i="1"/>
  <c r="H3" i="8" l="1"/>
  <c r="H5" i="8"/>
  <c r="R4" i="1"/>
  <c r="P4" i="1"/>
  <c r="O4" i="1"/>
  <c r="D6" i="1"/>
  <c r="C10" i="1"/>
  <c r="F6" i="1"/>
  <c r="E10" i="1"/>
</calcChain>
</file>

<file path=xl/sharedStrings.xml><?xml version="1.0" encoding="utf-8"?>
<sst xmlns="http://schemas.openxmlformats.org/spreadsheetml/2006/main" count="483" uniqueCount="302">
  <si>
    <t>物品</t>
  </si>
  <si>
    <t>产量单位</t>
  </si>
  <si>
    <t>制造台</t>
  </si>
  <si>
    <t>原油精炼过剩产能</t>
  </si>
  <si>
    <t>可燃冰分解过剩产能</t>
  </si>
  <si>
    <t>产量目标</t>
  </si>
  <si>
    <t>精炼油</t>
  </si>
  <si>
    <t>氢</t>
  </si>
  <si>
    <t>氢气</t>
  </si>
  <si>
    <t>石墨烯</t>
  </si>
  <si>
    <t>机器数量</t>
  </si>
  <si>
    <t>产量需求</t>
  </si>
  <si>
    <t>位面</t>
  </si>
  <si>
    <t>量子</t>
  </si>
  <si>
    <t>铁矿</t>
  </si>
  <si>
    <t>铜矿</t>
  </si>
  <si>
    <t>硅矿</t>
  </si>
  <si>
    <t>钛矿</t>
  </si>
  <si>
    <t>石矿</t>
  </si>
  <si>
    <t>煤矿</t>
  </si>
  <si>
    <t>原油</t>
  </si>
  <si>
    <t>水</t>
  </si>
  <si>
    <t>铁块</t>
  </si>
  <si>
    <t>铜块</t>
  </si>
  <si>
    <t>硅块</t>
  </si>
  <si>
    <t>钛块</t>
  </si>
  <si>
    <t>石材</t>
  </si>
  <si>
    <t>石墨</t>
  </si>
  <si>
    <t>塑料</t>
  </si>
  <si>
    <t>可燃冰</t>
  </si>
  <si>
    <t>精炼设备</t>
  </si>
  <si>
    <t>磁铁</t>
  </si>
  <si>
    <t>线圈</t>
  </si>
  <si>
    <t>晶格硅</t>
  </si>
  <si>
    <t>钛合金</t>
  </si>
  <si>
    <t>玻璃</t>
  </si>
  <si>
    <t>金刚石</t>
  </si>
  <si>
    <t>气态行星</t>
  </si>
  <si>
    <t>有机晶体</t>
  </si>
  <si>
    <t>化工设备</t>
  </si>
  <si>
    <t>液氢燃料棒</t>
  </si>
  <si>
    <t>可燃冰分解需要机器</t>
  </si>
  <si>
    <t>钢铁</t>
  </si>
  <si>
    <t>电动机</t>
  </si>
  <si>
    <t>钛化玻璃</t>
  </si>
  <si>
    <t>棱镜</t>
  </si>
  <si>
    <t>金伯利矿石</t>
  </si>
  <si>
    <t>钛晶石</t>
  </si>
  <si>
    <t>推进器</t>
  </si>
  <si>
    <t>加力推进器</t>
  </si>
  <si>
    <t>齿轮</t>
  </si>
  <si>
    <t>电磁涡轮</t>
  </si>
  <si>
    <t>电路板</t>
  </si>
  <si>
    <t>引力透镜</t>
  </si>
  <si>
    <t>硫酸</t>
  </si>
  <si>
    <t>重氢</t>
  </si>
  <si>
    <t>碳纳米管</t>
  </si>
  <si>
    <t>物流运输机</t>
  </si>
  <si>
    <t>星际运输船</t>
  </si>
  <si>
    <t>奇异物质</t>
  </si>
  <si>
    <t>电浆激发器</t>
  </si>
  <si>
    <t>超级磁环场</t>
  </si>
  <si>
    <t>粒子宽带</t>
  </si>
  <si>
    <t>处理器</t>
  </si>
  <si>
    <t>卡西米尔晶体</t>
  </si>
  <si>
    <t>粒子容器</t>
  </si>
  <si>
    <t>太阳帆</t>
  </si>
  <si>
    <t>超级磁环</t>
  </si>
  <si>
    <t>光子合并器</t>
  </si>
  <si>
    <t>光栅石</t>
  </si>
  <si>
    <t>微晶元件</t>
  </si>
  <si>
    <t>单极磁石</t>
  </si>
  <si>
    <t>电磁矩阵</t>
  </si>
  <si>
    <t>能量矩阵</t>
  </si>
  <si>
    <t>结构矩阵</t>
  </si>
  <si>
    <t>信息矩阵</t>
  </si>
  <si>
    <t>引力矩阵</t>
  </si>
  <si>
    <t>地基</t>
  </si>
  <si>
    <t>电力感应塔</t>
  </si>
  <si>
    <t>无线输电塔</t>
  </si>
  <si>
    <t>风力涡轮机</t>
  </si>
  <si>
    <t>火力发电站</t>
  </si>
  <si>
    <t>太阳能板</t>
  </si>
  <si>
    <t>蓄电池</t>
  </si>
  <si>
    <t>射线接收站</t>
  </si>
  <si>
    <t>传送带</t>
  </si>
  <si>
    <t>高速传送带</t>
  </si>
  <si>
    <t>极速传送带</t>
  </si>
  <si>
    <t>四向分流器</t>
  </si>
  <si>
    <t>小型储物仓</t>
  </si>
  <si>
    <t>大型储物仓</t>
  </si>
  <si>
    <t>储液罐</t>
  </si>
  <si>
    <t>电磁轨道弹射器</t>
  </si>
  <si>
    <t>行星内物流运输站</t>
  </si>
  <si>
    <t>分拣器</t>
  </si>
  <si>
    <t>高速分拣器</t>
  </si>
  <si>
    <t>极速分拣器</t>
  </si>
  <si>
    <t>采矿机</t>
  </si>
  <si>
    <t>抽水站</t>
  </si>
  <si>
    <t>原油萃取站</t>
  </si>
  <si>
    <t>原油精炼厂</t>
  </si>
  <si>
    <t>星际物流运输站</t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</si>
  <si>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Ⅰ</t>
    </r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</si>
  <si>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Ⅱ</t>
    </r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</si>
  <si>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Ⅲ</t>
    </r>
  </si>
  <si>
    <t>电弧熔炉</t>
  </si>
  <si>
    <t>分馏塔</t>
  </si>
  <si>
    <t>化工厂</t>
  </si>
  <si>
    <t>矩阵研究站</t>
  </si>
  <si>
    <t>适用版本</t>
    <phoneticPr fontId="23" type="noConversion"/>
  </si>
  <si>
    <t>0.6.15.5666</t>
  </si>
  <si>
    <t>机器数量</t>
    <phoneticPr fontId="24" type="noConversion"/>
  </si>
  <si>
    <t>重氢产量</t>
    <phoneticPr fontId="24" type="noConversion"/>
  </si>
  <si>
    <t>个/min</t>
  </si>
  <si>
    <t>糖产量（增产）</t>
    <phoneticPr fontId="23" type="noConversion"/>
  </si>
  <si>
    <t>/min</t>
    <phoneticPr fontId="23" type="noConversion"/>
  </si>
  <si>
    <t>原始</t>
    <phoneticPr fontId="23" type="noConversion"/>
  </si>
  <si>
    <t>增产修正</t>
    <phoneticPr fontId="23" type="noConversion"/>
  </si>
  <si>
    <t>最终</t>
    <phoneticPr fontId="23" type="noConversion"/>
  </si>
  <si>
    <t>物流塔运输量，编号从赤道开始</t>
    <phoneticPr fontId="23" type="noConversion"/>
  </si>
  <si>
    <t>塔1</t>
    <phoneticPr fontId="23" type="noConversion"/>
  </si>
  <si>
    <t>塔2</t>
    <phoneticPr fontId="23" type="noConversion"/>
  </si>
  <si>
    <t>塔3</t>
    <phoneticPr fontId="23" type="noConversion"/>
  </si>
  <si>
    <t>塔4</t>
    <phoneticPr fontId="23" type="noConversion"/>
  </si>
  <si>
    <t>塔5运硅</t>
    <phoneticPr fontId="23" type="noConversion"/>
  </si>
  <si>
    <t>塔2由塔5供硅后</t>
    <phoneticPr fontId="23" type="noConversion"/>
  </si>
  <si>
    <t>铁矿</t>
    <phoneticPr fontId="23" type="noConversion"/>
  </si>
  <si>
    <t>铜矿</t>
    <phoneticPr fontId="23" type="noConversion"/>
  </si>
  <si>
    <t>光子</t>
  </si>
  <si>
    <t>铁板</t>
    <phoneticPr fontId="23" type="noConversion"/>
  </si>
  <si>
    <t>氘</t>
  </si>
  <si>
    <t>石油</t>
  </si>
  <si>
    <t>钛化</t>
    <phoneticPr fontId="23" type="noConversion"/>
  </si>
  <si>
    <t>玻璃</t>
    <phoneticPr fontId="23" type="noConversion"/>
  </si>
  <si>
    <t>钛</t>
    <phoneticPr fontId="23" type="noConversion"/>
  </si>
  <si>
    <t>钛晶</t>
    <phoneticPr fontId="23" type="noConversion"/>
  </si>
  <si>
    <t>电路</t>
    <phoneticPr fontId="23" type="noConversion"/>
  </si>
  <si>
    <t>石墨</t>
    <phoneticPr fontId="23" type="noConversion"/>
  </si>
  <si>
    <t>煤矿</t>
    <phoneticPr fontId="23" type="noConversion"/>
  </si>
  <si>
    <t>有机</t>
  </si>
  <si>
    <t>金伯利</t>
  </si>
  <si>
    <t>分型硅</t>
  </si>
  <si>
    <t>光栅</t>
  </si>
  <si>
    <t>有机</t>
    <phoneticPr fontId="23" type="noConversion"/>
  </si>
  <si>
    <t>刺笋</t>
  </si>
  <si>
    <t>钛板</t>
    <phoneticPr fontId="23" type="noConversion"/>
  </si>
  <si>
    <t>单极</t>
  </si>
  <si>
    <t>钛矿</t>
    <phoneticPr fontId="23" type="noConversion"/>
  </si>
  <si>
    <t>增产剂</t>
    <phoneticPr fontId="23" type="noConversion"/>
  </si>
  <si>
    <t>翘曲</t>
    <phoneticPr fontId="23" type="noConversion"/>
  </si>
  <si>
    <t>总和</t>
    <phoneticPr fontId="23" type="noConversion"/>
  </si>
  <si>
    <t>石矿</t>
    <phoneticPr fontId="23" type="noConversion"/>
  </si>
  <si>
    <t>水</t>
    <phoneticPr fontId="23" type="noConversion"/>
  </si>
  <si>
    <t>和</t>
    <phoneticPr fontId="23" type="noConversion"/>
  </si>
  <si>
    <t>无自喷</t>
    <phoneticPr fontId="23" type="noConversion"/>
  </si>
  <si>
    <t>自喷涂</t>
    <phoneticPr fontId="23" type="noConversion"/>
  </si>
  <si>
    <t>加上自喷消耗</t>
    <phoneticPr fontId="23" type="noConversion"/>
  </si>
  <si>
    <t>---</t>
    <phoneticPr fontId="23" type="noConversion"/>
  </si>
  <si>
    <t>一级电线杆</t>
    <phoneticPr fontId="23" type="noConversion"/>
  </si>
  <si>
    <t>二级电线杆</t>
    <phoneticPr fontId="23" type="noConversion"/>
  </si>
  <si>
    <t>线圈</t>
    <phoneticPr fontId="23" type="noConversion"/>
  </si>
  <si>
    <t>电浆器</t>
    <phoneticPr fontId="23" type="noConversion"/>
  </si>
  <si>
    <t>蓝马达</t>
    <phoneticPr fontId="23" type="noConversion"/>
  </si>
  <si>
    <t>框架材料</t>
    <phoneticPr fontId="23" type="noConversion"/>
  </si>
  <si>
    <t>卫星电站</t>
    <phoneticPr fontId="23" type="noConversion"/>
  </si>
  <si>
    <t>齿轮</t>
    <phoneticPr fontId="23" type="noConversion"/>
  </si>
  <si>
    <t>风电</t>
    <phoneticPr fontId="23" type="noConversion"/>
  </si>
  <si>
    <t>火电</t>
    <phoneticPr fontId="23" type="noConversion"/>
  </si>
  <si>
    <t>石板</t>
    <phoneticPr fontId="23" type="noConversion"/>
  </si>
  <si>
    <t>太阳能</t>
    <phoneticPr fontId="23" type="noConversion"/>
  </si>
  <si>
    <t>铜板</t>
    <phoneticPr fontId="23" type="noConversion"/>
  </si>
  <si>
    <t>硅板</t>
    <phoneticPr fontId="23" type="noConversion"/>
  </si>
  <si>
    <t>电路板</t>
    <phoneticPr fontId="23" type="noConversion"/>
  </si>
  <si>
    <t>统计于0.10.29</t>
    <phoneticPr fontId="23" type="noConversion"/>
  </si>
  <si>
    <t>电池</t>
    <phoneticPr fontId="23" type="noConversion"/>
  </si>
  <si>
    <t>晶格硅</t>
    <phoneticPr fontId="23" type="noConversion"/>
  </si>
  <si>
    <t>地热能</t>
    <phoneticPr fontId="23" type="noConversion"/>
  </si>
  <si>
    <t>钢材</t>
  </si>
  <si>
    <t>光子合并</t>
    <phoneticPr fontId="23" type="noConversion"/>
  </si>
  <si>
    <t>钛合金</t>
    <phoneticPr fontId="23" type="noConversion"/>
  </si>
  <si>
    <t>处理器</t>
    <phoneticPr fontId="23" type="noConversion"/>
  </si>
  <si>
    <t>碳纳米管</t>
    <phoneticPr fontId="23" type="noConversion"/>
  </si>
  <si>
    <t>核电</t>
    <phoneticPr fontId="23" type="noConversion"/>
  </si>
  <si>
    <t>能量枢纽</t>
    <phoneticPr fontId="23" type="noConversion"/>
  </si>
  <si>
    <t>粒子容器</t>
    <phoneticPr fontId="23" type="noConversion"/>
  </si>
  <si>
    <t>锅</t>
    <phoneticPr fontId="23" type="noConversion"/>
  </si>
  <si>
    <t>小太阳</t>
    <phoneticPr fontId="23" type="noConversion"/>
  </si>
  <si>
    <t>约束球</t>
    <phoneticPr fontId="23" type="noConversion"/>
  </si>
  <si>
    <t>量子芯片</t>
    <phoneticPr fontId="23" type="noConversion"/>
  </si>
  <si>
    <t>黄带</t>
    <phoneticPr fontId="23" type="noConversion"/>
  </si>
  <si>
    <t>绿马达</t>
    <phoneticPr fontId="23" type="noConversion"/>
  </si>
  <si>
    <t>绿带</t>
    <phoneticPr fontId="23" type="noConversion"/>
  </si>
  <si>
    <t>蓝带</t>
  </si>
  <si>
    <t>蓝带</t>
    <phoneticPr fontId="23" type="noConversion"/>
  </si>
  <si>
    <t>石墨烯</t>
    <phoneticPr fontId="23" type="noConversion"/>
  </si>
  <si>
    <t>马达</t>
    <phoneticPr fontId="23" type="noConversion"/>
  </si>
  <si>
    <t>黄爪</t>
    <phoneticPr fontId="23" type="noConversion"/>
  </si>
  <si>
    <t>绿爪</t>
    <phoneticPr fontId="23" type="noConversion"/>
  </si>
  <si>
    <t>蓝爪</t>
    <phoneticPr fontId="23" type="noConversion"/>
  </si>
  <si>
    <t>白爪</t>
    <phoneticPr fontId="23" type="noConversion"/>
  </si>
  <si>
    <t>四向</t>
    <phoneticPr fontId="23" type="noConversion"/>
  </si>
  <si>
    <t>集装机</t>
    <phoneticPr fontId="23" type="noConversion"/>
  </si>
  <si>
    <t>流量计</t>
    <phoneticPr fontId="23" type="noConversion"/>
  </si>
  <si>
    <t>喷涂机</t>
    <phoneticPr fontId="23" type="noConversion"/>
  </si>
  <si>
    <t>微晶元件</t>
    <phoneticPr fontId="23" type="noConversion"/>
  </si>
  <si>
    <t>小箱子</t>
    <phoneticPr fontId="23" type="noConversion"/>
  </si>
  <si>
    <t>大箱子</t>
    <phoneticPr fontId="23" type="noConversion"/>
  </si>
  <si>
    <t>储液罐</t>
    <phoneticPr fontId="23" type="noConversion"/>
  </si>
  <si>
    <t>配送器</t>
    <phoneticPr fontId="23" type="noConversion"/>
  </si>
  <si>
    <t>行星物流塔</t>
    <phoneticPr fontId="23" type="noConversion"/>
  </si>
  <si>
    <t>星际物流塔</t>
    <phoneticPr fontId="23" type="noConversion"/>
  </si>
  <si>
    <t>轨道采集器</t>
    <phoneticPr fontId="23" type="noConversion"/>
  </si>
  <si>
    <t>采矿机</t>
    <phoneticPr fontId="23" type="noConversion"/>
  </si>
  <si>
    <t>大矿机</t>
    <phoneticPr fontId="23" type="noConversion"/>
  </si>
  <si>
    <t>光栅</t>
    <phoneticPr fontId="23" type="noConversion"/>
  </si>
  <si>
    <t>单极</t>
    <phoneticPr fontId="23" type="noConversion"/>
  </si>
  <si>
    <t>抽水机</t>
    <phoneticPr fontId="23" type="noConversion"/>
  </si>
  <si>
    <t>原油萃取站</t>
    <phoneticPr fontId="23" type="noConversion"/>
  </si>
  <si>
    <t>原油精炼厂</t>
    <phoneticPr fontId="23" type="noConversion"/>
  </si>
  <si>
    <t>分馏塔</t>
    <phoneticPr fontId="23" type="noConversion"/>
  </si>
  <si>
    <t>化工厂</t>
    <phoneticPr fontId="23" type="noConversion"/>
  </si>
  <si>
    <t>量子化工厂</t>
    <phoneticPr fontId="23" type="noConversion"/>
  </si>
  <si>
    <t>钛化玻璃</t>
    <phoneticPr fontId="23" type="noConversion"/>
  </si>
  <si>
    <t>奇异物质</t>
    <phoneticPr fontId="23" type="noConversion"/>
  </si>
  <si>
    <t>对撞机</t>
    <phoneticPr fontId="23" type="noConversion"/>
  </si>
  <si>
    <t>电弧熔炉</t>
    <phoneticPr fontId="23" type="noConversion"/>
  </si>
  <si>
    <t>位面熔炉</t>
    <phoneticPr fontId="23" type="noConversion"/>
  </si>
  <si>
    <t>位面过滤器</t>
    <phoneticPr fontId="23" type="noConversion"/>
  </si>
  <si>
    <t>黑雾材料</t>
    <phoneticPr fontId="23" type="noConversion"/>
  </si>
  <si>
    <t>负商熔炉</t>
    <phoneticPr fontId="23" type="noConversion"/>
  </si>
  <si>
    <t>一级台</t>
    <phoneticPr fontId="23" type="noConversion"/>
  </si>
  <si>
    <t>二级台</t>
    <phoneticPr fontId="23" type="noConversion"/>
  </si>
  <si>
    <t>三级台</t>
    <phoneticPr fontId="23" type="noConversion"/>
  </si>
  <si>
    <t>宽带</t>
    <phoneticPr fontId="23" type="noConversion"/>
  </si>
  <si>
    <t>黑雾台</t>
    <phoneticPr fontId="23" type="noConversion"/>
  </si>
  <si>
    <t>研究站</t>
    <phoneticPr fontId="23" type="noConversion"/>
  </si>
  <si>
    <t>黑雾研究站</t>
    <phoneticPr fontId="23" type="noConversion"/>
  </si>
  <si>
    <t>轨道弹射器</t>
    <phoneticPr fontId="23" type="noConversion"/>
  </si>
  <si>
    <t>垂直发射井</t>
    <phoneticPr fontId="23" type="noConversion"/>
  </si>
  <si>
    <t>引力透镜</t>
    <phoneticPr fontId="23" type="noConversion"/>
  </si>
  <si>
    <t>机枪塔</t>
    <phoneticPr fontId="23" type="noConversion"/>
  </si>
  <si>
    <t>导弹塔</t>
    <phoneticPr fontId="23" type="noConversion"/>
  </si>
  <si>
    <t>动力引擎</t>
  </si>
  <si>
    <t>加农炮</t>
    <phoneticPr fontId="23" type="noConversion"/>
  </si>
  <si>
    <t>激光塔</t>
    <phoneticPr fontId="23" type="noConversion"/>
  </si>
  <si>
    <t>电浆炮</t>
    <phoneticPr fontId="23" type="noConversion"/>
  </si>
  <si>
    <t>进程电浆炮</t>
    <phoneticPr fontId="23" type="noConversion"/>
  </si>
  <si>
    <t>分析基站</t>
    <phoneticPr fontId="23" type="noConversion"/>
  </si>
  <si>
    <t>干扰塔</t>
    <phoneticPr fontId="23" type="noConversion"/>
  </si>
  <si>
    <t>金刚石</t>
    <phoneticPr fontId="23" type="noConversion"/>
  </si>
  <si>
    <t>信号塔</t>
    <phoneticPr fontId="23" type="noConversion"/>
  </si>
  <si>
    <t>行星护盾</t>
    <phoneticPr fontId="23" type="noConversion"/>
  </si>
  <si>
    <t>配送机</t>
    <phoneticPr fontId="23" type="noConversion"/>
  </si>
  <si>
    <t>运输机</t>
    <phoneticPr fontId="23" type="noConversion"/>
  </si>
  <si>
    <t>星际运输机</t>
    <phoneticPr fontId="23" type="noConversion"/>
  </si>
  <si>
    <t>计数</t>
    <phoneticPr fontId="23" type="noConversion"/>
  </si>
  <si>
    <t>传送带</t>
    <phoneticPr fontId="24" type="noConversion"/>
  </si>
  <si>
    <t>堆叠层数</t>
    <phoneticPr fontId="24" type="noConversion"/>
  </si>
  <si>
    <t>分馏塔产量</t>
    <phoneticPr fontId="24" type="noConversion"/>
  </si>
  <si>
    <t>传送带流量</t>
    <phoneticPr fontId="24" type="noConversion"/>
  </si>
  <si>
    <t>材料名称</t>
    <phoneticPr fontId="23" type="noConversion"/>
  </si>
  <si>
    <t>物品配方</t>
    <phoneticPr fontId="23" type="noConversion"/>
  </si>
  <si>
    <t>机器数量</t>
    <phoneticPr fontId="23" type="noConversion"/>
  </si>
  <si>
    <t>增产混用</t>
    <phoneticPr fontId="23" type="noConversion"/>
  </si>
  <si>
    <t>目标</t>
    <phoneticPr fontId="23" type="noConversion"/>
  </si>
  <si>
    <t>需求</t>
    <phoneticPr fontId="23" type="noConversion"/>
  </si>
  <si>
    <t>透镜产量（增产）</t>
    <phoneticPr fontId="23" type="noConversion"/>
  </si>
  <si>
    <t>发电量（光子）</t>
  </si>
  <si>
    <t>产量单位系数</t>
    <phoneticPr fontId="24" type="noConversion"/>
  </si>
  <si>
    <t>功率单位</t>
    <phoneticPr fontId="24" type="noConversion"/>
  </si>
  <si>
    <t>一些计算</t>
  </si>
  <si>
    <t>量化计算器</t>
  </si>
  <si>
    <t>功率系数</t>
    <phoneticPr fontId="24" type="noConversion"/>
  </si>
  <si>
    <t>接收模式</t>
    <phoneticPr fontId="24" type="noConversion"/>
  </si>
  <si>
    <t>/min</t>
  </si>
  <si>
    <t>配方数量</t>
    <phoneticPr fontId="24" type="noConversion"/>
  </si>
  <si>
    <t>配方时间(S)</t>
    <phoneticPr fontId="24" type="noConversion"/>
  </si>
  <si>
    <t>满带建筑数量</t>
    <phoneticPr fontId="24" type="noConversion"/>
  </si>
  <si>
    <t>机器倍率</t>
    <phoneticPr fontId="24" type="noConversion"/>
  </si>
  <si>
    <t>科研等级</t>
    <phoneticPr fontId="24" type="noConversion"/>
  </si>
  <si>
    <t>科研站（栋）</t>
    <phoneticPr fontId="24" type="noConversion"/>
  </si>
  <si>
    <t>白糖/栋/min</t>
    <phoneticPr fontId="24" type="noConversion"/>
  </si>
  <si>
    <t>白糖/min</t>
    <phoneticPr fontId="24" type="noConversion"/>
  </si>
  <si>
    <t>GW</t>
  </si>
  <si>
    <t>硫酸</t>
    <phoneticPr fontId="33" type="noConversion"/>
  </si>
  <si>
    <t>电动机</t>
    <phoneticPr fontId="33" type="noConversion"/>
  </si>
  <si>
    <t>线圈</t>
    <phoneticPr fontId="33" type="noConversion"/>
  </si>
  <si>
    <t>齿轮</t>
    <phoneticPr fontId="33" type="noConversion"/>
  </si>
  <si>
    <t>电路板</t>
    <phoneticPr fontId="33" type="noConversion"/>
  </si>
  <si>
    <t>钢</t>
    <phoneticPr fontId="33" type="noConversion"/>
  </si>
  <si>
    <t>铁板</t>
    <phoneticPr fontId="33" type="noConversion"/>
  </si>
  <si>
    <t>磁铁</t>
    <phoneticPr fontId="33" type="noConversion"/>
  </si>
  <si>
    <t>铜板</t>
    <phoneticPr fontId="33" type="noConversion"/>
  </si>
  <si>
    <t>石墨</t>
    <phoneticPr fontId="33" type="noConversion"/>
  </si>
  <si>
    <t>石墨烯</t>
    <phoneticPr fontId="33" type="noConversion"/>
  </si>
  <si>
    <t>硅板</t>
    <phoneticPr fontId="33" type="noConversion"/>
  </si>
  <si>
    <t>纳米管</t>
    <phoneticPr fontId="33" type="noConversion"/>
  </si>
  <si>
    <t>马达系</t>
    <phoneticPr fontId="33" type="noConversion"/>
  </si>
  <si>
    <t>原始</t>
    <phoneticPr fontId="33" type="noConversion"/>
  </si>
  <si>
    <t>增产修正</t>
    <phoneticPr fontId="33" type="noConversion"/>
  </si>
  <si>
    <t>最终</t>
    <phoneticPr fontId="33" type="noConversion"/>
  </si>
  <si>
    <t>单建筑产量/消耗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</si>
</sst>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 tint="0.79995117038483843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5" tint="0.79995117038483843"/>
      <name val="等线"/>
      <family val="3"/>
      <charset val="134"/>
      <scheme val="minor"/>
    </font>
    <font>
      <sz val="11"/>
      <color theme="4" tint="0.79995117038483843"/>
      <name val="等线"/>
      <family val="3"/>
      <charset val="134"/>
      <scheme val="minor"/>
    </font>
    <font>
      <sz val="11"/>
      <color theme="9" tint="0.79995117038483843"/>
      <name val="等线"/>
      <family val="3"/>
      <charset val="134"/>
      <scheme val="minor"/>
    </font>
    <font>
      <sz val="11"/>
      <color theme="7" tint="0.79995117038483843"/>
      <name val="等线"/>
      <family val="3"/>
      <charset val="134"/>
      <scheme val="minor"/>
    </font>
    <font>
      <sz val="11"/>
      <color theme="6" tint="0.79995117038483843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00B0F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FF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92D05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</borders>
  <cellStyleXfs count="14"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0" borderId="0"/>
  </cellStyleXfs>
  <cellXfs count="127">
    <xf numFmtId="0" fontId="0" fillId="0" borderId="0" xfId="0"/>
    <xf numFmtId="0" fontId="8" fillId="0" borderId="0" xfId="0" applyFont="1"/>
    <xf numFmtId="0" fontId="10" fillId="0" borderId="0" xfId="0" applyFont="1"/>
    <xf numFmtId="0" fontId="14" fillId="3" borderId="0" xfId="8" applyAlignme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5" fillId="2" borderId="3" xfId="6" applyNumberFormat="1" applyFont="1" applyBorder="1" applyAlignment="1"/>
    <xf numFmtId="0" fontId="15" fillId="2" borderId="5" xfId="6" applyNumberFormat="1" applyFont="1" applyBorder="1" applyAlignment="1"/>
    <xf numFmtId="0" fontId="15" fillId="2" borderId="6" xfId="6" applyNumberFormat="1" applyFont="1" applyBorder="1" applyAlignment="1"/>
    <xf numFmtId="0" fontId="16" fillId="0" borderId="7" xfId="0" applyFont="1" applyBorder="1"/>
    <xf numFmtId="0" fontId="17" fillId="2" borderId="3" xfId="6" applyNumberFormat="1" applyFont="1" applyBorder="1" applyAlignment="1"/>
    <xf numFmtId="0" fontId="17" fillId="2" borderId="5" xfId="6" applyNumberFormat="1" applyFont="1" applyBorder="1" applyAlignment="1"/>
    <xf numFmtId="0" fontId="17" fillId="2" borderId="6" xfId="6" applyNumberFormat="1" applyFont="1" applyBorder="1" applyAlignment="1"/>
    <xf numFmtId="0" fontId="13" fillId="0" borderId="7" xfId="0" applyFont="1" applyBorder="1"/>
    <xf numFmtId="0" fontId="14" fillId="6" borderId="3" xfId="5" applyBorder="1" applyAlignment="1"/>
    <xf numFmtId="0" fontId="18" fillId="6" borderId="5" xfId="5" applyFont="1" applyBorder="1" applyAlignment="1"/>
    <xf numFmtId="0" fontId="18" fillId="6" borderId="6" xfId="5" applyFont="1" applyBorder="1" applyAlignment="1"/>
    <xf numFmtId="0" fontId="10" fillId="6" borderId="3" xfId="5" applyFont="1" applyBorder="1" applyAlignment="1"/>
    <xf numFmtId="0" fontId="14" fillId="9" borderId="3" xfId="9" applyBorder="1" applyAlignment="1"/>
    <xf numFmtId="0" fontId="14" fillId="9" borderId="5" xfId="9" applyBorder="1" applyAlignment="1"/>
    <xf numFmtId="0" fontId="19" fillId="9" borderId="6" xfId="9" applyFont="1" applyBorder="1" applyAlignment="1"/>
    <xf numFmtId="0" fontId="18" fillId="6" borderId="3" xfId="5" applyFont="1" applyBorder="1" applyAlignment="1"/>
    <xf numFmtId="176" fontId="18" fillId="6" borderId="5" xfId="5" applyNumberFormat="1" applyFont="1" applyBorder="1" applyAlignment="1"/>
    <xf numFmtId="0" fontId="14" fillId="7" borderId="0" xfId="12" applyAlignment="1"/>
    <xf numFmtId="0" fontId="14" fillId="5" borderId="0" xfId="2" applyAlignment="1"/>
    <xf numFmtId="0" fontId="14" fillId="10" borderId="0" xfId="7" applyAlignment="1"/>
    <xf numFmtId="0" fontId="14" fillId="6" borderId="0" xfId="5" applyAlignment="1"/>
    <xf numFmtId="176" fontId="13" fillId="0" borderId="7" xfId="0" applyNumberFormat="1" applyFont="1" applyBorder="1"/>
    <xf numFmtId="0" fontId="14" fillId="9" borderId="6" xfId="9" applyBorder="1" applyAlignment="1"/>
    <xf numFmtId="0" fontId="14" fillId="10" borderId="2" xfId="7" applyBorder="1" applyAlignment="1"/>
    <xf numFmtId="0" fontId="14" fillId="10" borderId="9" xfId="7" applyBorder="1" applyAlignment="1"/>
    <xf numFmtId="0" fontId="14" fillId="11" borderId="6" xfId="1" applyBorder="1" applyAlignment="1"/>
    <xf numFmtId="0" fontId="14" fillId="11" borderId="10" xfId="1" applyBorder="1" applyAlignment="1"/>
    <xf numFmtId="0" fontId="14" fillId="11" borderId="3" xfId="1" applyBorder="1" applyAlignment="1"/>
    <xf numFmtId="0" fontId="20" fillId="11" borderId="5" xfId="1" applyFont="1" applyBorder="1" applyAlignment="1"/>
    <xf numFmtId="0" fontId="10" fillId="2" borderId="3" xfId="6" applyNumberFormat="1" applyFont="1" applyBorder="1" applyAlignment="1"/>
    <xf numFmtId="0" fontId="20" fillId="11" borderId="10" xfId="1" applyFont="1" applyBorder="1" applyAlignment="1">
      <alignment vertical="center"/>
    </xf>
    <xf numFmtId="0" fontId="10" fillId="11" borderId="3" xfId="1" applyFont="1" applyBorder="1" applyAlignment="1"/>
    <xf numFmtId="0" fontId="10" fillId="4" borderId="3" xfId="3" applyNumberFormat="1" applyFont="1" applyBorder="1" applyAlignment="1"/>
    <xf numFmtId="0" fontId="21" fillId="4" borderId="5" xfId="3" applyFont="1" applyBorder="1" applyAlignment="1"/>
    <xf numFmtId="0" fontId="21" fillId="4" borderId="6" xfId="3" applyFont="1" applyBorder="1" applyAlignment="1"/>
    <xf numFmtId="0" fontId="14" fillId="4" borderId="3" xfId="3" applyNumberFormat="1" applyBorder="1" applyAlignment="1"/>
    <xf numFmtId="0" fontId="12" fillId="4" borderId="0" xfId="3" applyFont="1" applyAlignment="1"/>
    <xf numFmtId="0" fontId="21" fillId="4" borderId="0" xfId="3" applyFont="1" applyAlignment="1"/>
    <xf numFmtId="0" fontId="14" fillId="13" borderId="3" xfId="4" applyBorder="1" applyAlignment="1"/>
    <xf numFmtId="0" fontId="14" fillId="13" borderId="5" xfId="4" applyBorder="1" applyAlignment="1"/>
    <xf numFmtId="0" fontId="14" fillId="13" borderId="6" xfId="4" applyBorder="1" applyAlignment="1"/>
    <xf numFmtId="0" fontId="14" fillId="0" borderId="0" xfId="0" applyFont="1"/>
    <xf numFmtId="0" fontId="0" fillId="7" borderId="0" xfId="0" applyFill="1"/>
    <xf numFmtId="0" fontId="7" fillId="0" borderId="0" xfId="13"/>
    <xf numFmtId="0" fontId="26" fillId="0" borderId="0" xfId="13" applyFont="1" applyAlignment="1">
      <alignment vertical="center"/>
    </xf>
    <xf numFmtId="0" fontId="27" fillId="0" borderId="0" xfId="13" applyFont="1"/>
    <xf numFmtId="0" fontId="28" fillId="0" borderId="0" xfId="13" applyFont="1"/>
    <xf numFmtId="0" fontId="29" fillId="0" borderId="0" xfId="13" applyFont="1"/>
    <xf numFmtId="0" fontId="30" fillId="0" borderId="0" xfId="13" applyFont="1"/>
    <xf numFmtId="0" fontId="31" fillId="0" borderId="0" xfId="13" applyFont="1"/>
    <xf numFmtId="0" fontId="26" fillId="0" borderId="0" xfId="13" quotePrefix="1" applyFont="1" applyAlignment="1">
      <alignment vertical="center"/>
    </xf>
    <xf numFmtId="0" fontId="7" fillId="0" borderId="0" xfId="13" quotePrefix="1"/>
    <xf numFmtId="0" fontId="7" fillId="12" borderId="1" xfId="13" applyFill="1" applyBorder="1" applyAlignment="1">
      <alignment horizontal="center" vertical="center"/>
    </xf>
    <xf numFmtId="0" fontId="7" fillId="0" borderId="1" xfId="13" applyBorder="1" applyAlignment="1">
      <alignment horizontal="center" vertical="center"/>
    </xf>
    <xf numFmtId="0" fontId="14" fillId="16" borderId="0" xfId="0" applyFont="1" applyFill="1"/>
    <xf numFmtId="0" fontId="0" fillId="16" borderId="0" xfId="0" applyFill="1"/>
    <xf numFmtId="0" fontId="7" fillId="15" borderId="1" xfId="13" applyFill="1" applyBorder="1" applyAlignment="1">
      <alignment horizontal="center" vertical="center"/>
    </xf>
    <xf numFmtId="0" fontId="7" fillId="10" borderId="1" xfId="13" applyFill="1" applyBorder="1" applyAlignment="1">
      <alignment horizontal="center" vertical="center"/>
    </xf>
    <xf numFmtId="0" fontId="7" fillId="8" borderId="1" xfId="13" applyFill="1" applyBorder="1" applyAlignment="1">
      <alignment horizontal="center" vertical="center"/>
    </xf>
    <xf numFmtId="0" fontId="7" fillId="5" borderId="1" xfId="13" applyFill="1" applyBorder="1" applyAlignment="1">
      <alignment horizontal="center" vertical="center"/>
    </xf>
    <xf numFmtId="0" fontId="7" fillId="7" borderId="1" xfId="13" applyFill="1" applyBorder="1" applyAlignment="1">
      <alignment horizontal="center" vertical="center"/>
    </xf>
    <xf numFmtId="0" fontId="7" fillId="17" borderId="1" xfId="13" applyFill="1" applyBorder="1" applyAlignment="1">
      <alignment horizontal="center" vertical="center"/>
    </xf>
    <xf numFmtId="0" fontId="7" fillId="18" borderId="1" xfId="13" applyFill="1" applyBorder="1" applyAlignment="1">
      <alignment horizontal="center" vertical="center"/>
    </xf>
    <xf numFmtId="0" fontId="7" fillId="19" borderId="1" xfId="13" applyFill="1" applyBorder="1" applyAlignment="1">
      <alignment horizontal="center" vertical="center"/>
    </xf>
    <xf numFmtId="0" fontId="14" fillId="20" borderId="0" xfId="0" applyFont="1" applyFill="1"/>
    <xf numFmtId="0" fontId="14" fillId="21" borderId="0" xfId="0" applyFont="1" applyFill="1"/>
    <xf numFmtId="0" fontId="25" fillId="0" borderId="0" xfId="0" applyFont="1"/>
    <xf numFmtId="0" fontId="6" fillId="12" borderId="1" xfId="13" applyFont="1" applyFill="1" applyBorder="1" applyAlignment="1">
      <alignment horizontal="center" vertical="center"/>
    </xf>
    <xf numFmtId="0" fontId="5" fillId="0" borderId="0" xfId="13" applyFont="1"/>
    <xf numFmtId="0" fontId="4" fillId="0" borderId="0" xfId="13" applyFont="1"/>
    <xf numFmtId="0" fontId="3" fillId="12" borderId="1" xfId="13" applyFont="1" applyFill="1" applyBorder="1" applyAlignment="1">
      <alignment horizontal="center" vertical="center"/>
    </xf>
    <xf numFmtId="0" fontId="2" fillId="12" borderId="1" xfId="13" applyFont="1" applyFill="1" applyBorder="1" applyAlignment="1">
      <alignment horizontal="center" vertical="center"/>
    </xf>
    <xf numFmtId="0" fontId="1" fillId="0" borderId="0" xfId="13" applyFont="1"/>
    <xf numFmtId="0" fontId="0" fillId="14" borderId="14" xfId="0" applyFill="1" applyBorder="1"/>
    <xf numFmtId="0" fontId="0" fillId="14" borderId="18" xfId="0" applyFill="1" applyBorder="1"/>
    <xf numFmtId="0" fontId="0" fillId="22" borderId="11" xfId="0" applyFill="1" applyBorder="1" applyAlignment="1">
      <alignment horizontal="center" vertical="center"/>
    </xf>
    <xf numFmtId="0" fontId="14" fillId="23" borderId="13" xfId="0" applyFont="1" applyFill="1" applyBorder="1" applyAlignment="1">
      <alignment horizontal="center" vertical="center"/>
    </xf>
    <xf numFmtId="0" fontId="0" fillId="24" borderId="18" xfId="0" applyFill="1" applyBorder="1"/>
    <xf numFmtId="0" fontId="14" fillId="24" borderId="16" xfId="0" quotePrefix="1" applyFont="1" applyFill="1" applyBorder="1"/>
    <xf numFmtId="0" fontId="0" fillId="24" borderId="0" xfId="0" applyFill="1"/>
    <xf numFmtId="0" fontId="9" fillId="16" borderId="15" xfId="0" applyFont="1" applyFill="1" applyBorder="1"/>
    <xf numFmtId="0" fontId="0" fillId="16" borderId="19" xfId="0" applyFill="1" applyBorder="1"/>
    <xf numFmtId="0" fontId="9" fillId="25" borderId="15" xfId="0" applyFont="1" applyFill="1" applyBorder="1"/>
    <xf numFmtId="0" fontId="9" fillId="25" borderId="17" xfId="0" applyFont="1" applyFill="1" applyBorder="1"/>
    <xf numFmtId="0" fontId="14" fillId="26" borderId="0" xfId="0" applyFont="1" applyFill="1"/>
    <xf numFmtId="0" fontId="0" fillId="26" borderId="0" xfId="0" applyFill="1"/>
    <xf numFmtId="0" fontId="14" fillId="23" borderId="0" xfId="0" applyFont="1" applyFill="1" applyAlignment="1">
      <alignment horizontal="center" vertical="center"/>
    </xf>
    <xf numFmtId="0" fontId="14" fillId="23" borderId="0" xfId="0" applyFont="1" applyFill="1"/>
    <xf numFmtId="0" fontId="32" fillId="27" borderId="1" xfId="13" applyFont="1" applyFill="1" applyBorder="1" applyAlignment="1">
      <alignment horizontal="center" vertical="center"/>
    </xf>
    <xf numFmtId="0" fontId="7" fillId="27" borderId="1" xfId="13" applyFill="1" applyBorder="1" applyAlignment="1">
      <alignment horizontal="center" vertical="center"/>
    </xf>
    <xf numFmtId="0" fontId="3" fillId="27" borderId="1" xfId="13" applyFont="1" applyFill="1" applyBorder="1" applyAlignment="1">
      <alignment horizontal="center" vertical="center"/>
    </xf>
    <xf numFmtId="0" fontId="14" fillId="0" borderId="0" xfId="0" quotePrefix="1" applyFont="1"/>
    <xf numFmtId="0" fontId="14" fillId="21" borderId="0" xfId="0" applyFont="1" applyFill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14" fillId="10" borderId="8" xfId="7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3" borderId="2" xfId="8" applyBorder="1" applyAlignment="1">
      <alignment horizontal="center" vertical="center"/>
    </xf>
    <xf numFmtId="0" fontId="14" fillId="3" borderId="4" xfId="8" applyBorder="1" applyAlignment="1">
      <alignment horizontal="center" vertical="center"/>
    </xf>
    <xf numFmtId="0" fontId="14" fillId="7" borderId="2" xfId="12" applyBorder="1" applyAlignment="1">
      <alignment horizontal="center" vertical="center"/>
    </xf>
    <xf numFmtId="0" fontId="14" fillId="7" borderId="4" xfId="12" applyBorder="1" applyAlignment="1">
      <alignment horizontal="center" vertical="center"/>
    </xf>
    <xf numFmtId="0" fontId="14" fillId="7" borderId="2" xfId="12" applyBorder="1" applyAlignment="1">
      <alignment horizontal="center" vertical="center" wrapText="1"/>
    </xf>
    <xf numFmtId="0" fontId="14" fillId="7" borderId="4" xfId="12" applyBorder="1" applyAlignment="1">
      <alignment horizontal="center" vertical="center" wrapText="1"/>
    </xf>
    <xf numFmtId="0" fontId="14" fillId="10" borderId="2" xfId="7" applyBorder="1" applyAlignment="1">
      <alignment horizontal="center" vertical="center"/>
    </xf>
    <xf numFmtId="0" fontId="14" fillId="10" borderId="4" xfId="7" applyBorder="1" applyAlignment="1">
      <alignment horizontal="center" vertical="center"/>
    </xf>
    <xf numFmtId="0" fontId="14" fillId="10" borderId="6" xfId="7" applyBorder="1" applyAlignment="1">
      <alignment horizontal="center" vertical="center"/>
    </xf>
    <xf numFmtId="0" fontId="14" fillId="8" borderId="2" xfId="10" applyBorder="1" applyAlignment="1">
      <alignment horizontal="center" vertical="center"/>
    </xf>
    <xf numFmtId="0" fontId="14" fillId="8" borderId="4" xfId="1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5" borderId="2" xfId="2" applyBorder="1" applyAlignment="1">
      <alignment horizontal="center" vertical="center"/>
    </xf>
    <xf numFmtId="0" fontId="14" fillId="5" borderId="4" xfId="2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12" borderId="2" xfId="11" applyBorder="1" applyAlignment="1">
      <alignment horizontal="center" vertical="center"/>
    </xf>
    <xf numFmtId="0" fontId="14" fillId="12" borderId="4" xfId="11" applyBorder="1" applyAlignment="1">
      <alignment horizontal="center" vertical="center"/>
    </xf>
  </cellXfs>
  <cellStyles count="14">
    <cellStyle name="20% - 着色 1" xfId="5" builtinId="30"/>
    <cellStyle name="20% - 着色 2" xfId="6" builtinId="34"/>
    <cellStyle name="20% - 着色 3" xfId="3" builtinId="38"/>
    <cellStyle name="20% - 着色 4" xfId="1" builtinId="42"/>
    <cellStyle name="20% - 着色 5" xfId="4" builtinId="46"/>
    <cellStyle name="20% - 着色 6" xfId="9" builtinId="50"/>
    <cellStyle name="40% - 着色 1" xfId="12" builtinId="31"/>
    <cellStyle name="40% - 着色 2" xfId="8" builtinId="35"/>
    <cellStyle name="40% - 着色 3" xfId="2" builtinId="39"/>
    <cellStyle name="40% - 着色 4" xfId="7" builtinId="43"/>
    <cellStyle name="40% - 着色 5" xfId="11" builtinId="47"/>
    <cellStyle name="40% - 着色 6" xfId="10" builtinId="51"/>
    <cellStyle name="常规" xfId="0" builtinId="0"/>
    <cellStyle name="常规 2" xfId="13" xr:uid="{5AB64F3F-466E-4736-8D9B-95E881083B35}"/>
  </cellStyles>
  <dxfs count="305"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theme="6" tint="0.79995117038483843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ill>
        <patternFill patternType="none"/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00B050"/>
      </font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6" tint="0.79995117038483843"/>
      </font>
    </dxf>
    <dxf>
      <font>
        <color theme="0"/>
      </font>
    </dxf>
    <dxf>
      <fill>
        <patternFill patternType="solid">
          <bgColor theme="6" tint="0.79995117038483843"/>
        </patternFill>
      </fill>
    </dxf>
    <dxf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 patternType="solid">
          <bgColor theme="6" tint="0.59996337778862885"/>
        </patternFill>
      </fill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/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theme="8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"/>
  <sheetViews>
    <sheetView tabSelected="1" zoomScaleNormal="100" workbookViewId="0">
      <selection activeCell="G11" sqref="G11"/>
    </sheetView>
  </sheetViews>
  <sheetFormatPr defaultColWidth="9" defaultRowHeight="13.8" x14ac:dyDescent="0.25"/>
  <cols>
    <col min="1" max="2" width="9.77734375" customWidth="1"/>
    <col min="3" max="7" width="14.33203125" customWidth="1"/>
    <col min="9" max="9" width="13.88671875" bestFit="1" customWidth="1"/>
    <col min="10" max="10" width="16.109375" bestFit="1" customWidth="1"/>
    <col min="11" max="11" width="11.77734375" bestFit="1" customWidth="1"/>
    <col min="12" max="13" width="9.5546875" bestFit="1" customWidth="1"/>
  </cols>
  <sheetData>
    <row r="1" spans="1:9" x14ac:dyDescent="0.25">
      <c r="A1" s="77" t="s">
        <v>256</v>
      </c>
      <c r="B1" s="78" t="s">
        <v>257</v>
      </c>
      <c r="C1" s="78" t="s">
        <v>259</v>
      </c>
      <c r="D1" t="s">
        <v>1</v>
      </c>
      <c r="E1" s="54" t="s">
        <v>269</v>
      </c>
    </row>
    <row r="2" spans="1:9" x14ac:dyDescent="0.25">
      <c r="A2" s="97" t="s">
        <v>192</v>
      </c>
      <c r="B2" s="98">
        <v>4</v>
      </c>
      <c r="C2" s="55">
        <f>IF(A2="黄带",6,IF(A2="绿带",12,IF(A2="蓝带",30,0)))*B2*勿动!A3</f>
        <v>7200</v>
      </c>
      <c r="D2" s="54" t="s">
        <v>274</v>
      </c>
      <c r="E2" s="54" t="s">
        <v>283</v>
      </c>
    </row>
    <row r="3" spans="1:9" ht="14.4" thickBot="1" x14ac:dyDescent="0.3">
      <c r="A3" s="105" t="s">
        <v>258</v>
      </c>
      <c r="B3" s="105"/>
    </row>
    <row r="4" spans="1:9" x14ac:dyDescent="0.25">
      <c r="A4" s="67" t="s">
        <v>111</v>
      </c>
      <c r="B4" s="67" t="s">
        <v>112</v>
      </c>
      <c r="D4" s="88" t="s">
        <v>114</v>
      </c>
      <c r="E4" s="106" t="s">
        <v>266</v>
      </c>
      <c r="F4" s="106"/>
      <c r="G4" s="89" t="s">
        <v>267</v>
      </c>
    </row>
    <row r="5" spans="1:9" x14ac:dyDescent="0.25">
      <c r="A5">
        <v>1</v>
      </c>
      <c r="B5">
        <f>C2*0.01</f>
        <v>72</v>
      </c>
      <c r="D5" s="86"/>
      <c r="E5" s="95">
        <f>D5/1.25/240</f>
        <v>0</v>
      </c>
      <c r="F5" s="93">
        <f>G5/(勿动!D2/勿动!C2*勿动!A3)</f>
        <v>0</v>
      </c>
      <c r="G5" s="91"/>
    </row>
    <row r="6" spans="1:9" ht="14.4" thickBot="1" x14ac:dyDescent="0.3">
      <c r="A6">
        <v>2</v>
      </c>
      <c r="B6">
        <f t="shared" ref="B6:B37" si="0">B5+(C$2-B5)*0.01</f>
        <v>143.28</v>
      </c>
      <c r="D6" s="96">
        <f>E6*240*1.25</f>
        <v>360000</v>
      </c>
      <c r="E6" s="87">
        <v>1200</v>
      </c>
      <c r="F6" s="90"/>
      <c r="G6" s="94">
        <f>F6*(勿动!D2/勿动!C2*勿动!A3)</f>
        <v>0</v>
      </c>
    </row>
    <row r="7" spans="1:9" x14ac:dyDescent="0.25">
      <c r="A7">
        <v>3</v>
      </c>
      <c r="B7">
        <f t="shared" si="0"/>
        <v>213.84719999999999</v>
      </c>
    </row>
    <row r="8" spans="1:9" x14ac:dyDescent="0.25">
      <c r="A8">
        <v>4</v>
      </c>
      <c r="B8">
        <f t="shared" si="0"/>
        <v>283.70872800000001</v>
      </c>
      <c r="D8" s="54"/>
    </row>
    <row r="9" spans="1:9" x14ac:dyDescent="0.25">
      <c r="A9">
        <v>5</v>
      </c>
      <c r="B9">
        <f t="shared" si="0"/>
        <v>352.87164072000002</v>
      </c>
      <c r="D9" s="99" t="s">
        <v>277</v>
      </c>
      <c r="E9" s="99" t="s">
        <v>301</v>
      </c>
      <c r="F9" s="99" t="s">
        <v>276</v>
      </c>
      <c r="G9" s="99" t="s">
        <v>275</v>
      </c>
      <c r="H9" s="99" t="s">
        <v>278</v>
      </c>
    </row>
    <row r="10" spans="1:9" x14ac:dyDescent="0.25">
      <c r="A10">
        <v>6</v>
      </c>
      <c r="B10">
        <f t="shared" si="0"/>
        <v>421.34292431280005</v>
      </c>
      <c r="D10" s="68">
        <f>C2/E10</f>
        <v>160</v>
      </c>
      <c r="E10" s="68">
        <f>(G10/F10)*H10*勿动!A3</f>
        <v>45</v>
      </c>
      <c r="F10" s="92">
        <v>2</v>
      </c>
      <c r="G10" s="92">
        <v>2</v>
      </c>
      <c r="H10" s="92">
        <v>0.75</v>
      </c>
    </row>
    <row r="11" spans="1:9" ht="14.4" customHeight="1" x14ac:dyDescent="0.25">
      <c r="A11">
        <v>7</v>
      </c>
      <c r="B11">
        <f t="shared" si="0"/>
        <v>489.12949506967203</v>
      </c>
      <c r="I11" s="54"/>
    </row>
    <row r="12" spans="1:9" ht="13.8" customHeight="1" x14ac:dyDescent="0.25">
      <c r="A12">
        <v>8</v>
      </c>
      <c r="B12">
        <f t="shared" si="0"/>
        <v>556.23820011897533</v>
      </c>
    </row>
    <row r="13" spans="1:9" x14ac:dyDescent="0.25">
      <c r="A13">
        <v>9</v>
      </c>
      <c r="B13">
        <f t="shared" si="0"/>
        <v>622.67581811778564</v>
      </c>
    </row>
    <row r="14" spans="1:9" ht="13.8" customHeight="1" x14ac:dyDescent="0.25">
      <c r="A14">
        <v>10</v>
      </c>
      <c r="B14">
        <f t="shared" si="0"/>
        <v>688.4490599366078</v>
      </c>
      <c r="D14" s="100" t="s">
        <v>280</v>
      </c>
      <c r="E14" s="100" t="s">
        <v>279</v>
      </c>
      <c r="F14" s="100" t="s">
        <v>281</v>
      </c>
      <c r="G14" s="100" t="s">
        <v>282</v>
      </c>
    </row>
    <row r="15" spans="1:9" ht="13.8" customHeight="1" x14ac:dyDescent="0.25">
      <c r="A15">
        <v>11</v>
      </c>
      <c r="B15">
        <f t="shared" si="0"/>
        <v>753.56456933724166</v>
      </c>
      <c r="D15" s="92"/>
      <c r="E15" s="92"/>
      <c r="F15" s="68">
        <f>((E15+1)*60*60)/900*15</f>
        <v>60</v>
      </c>
      <c r="G15" s="68">
        <f>F15*D15</f>
        <v>0</v>
      </c>
    </row>
    <row r="16" spans="1:9" x14ac:dyDescent="0.25">
      <c r="A16">
        <v>12</v>
      </c>
      <c r="B16">
        <f t="shared" si="0"/>
        <v>818.02892364386923</v>
      </c>
    </row>
    <row r="17" spans="1:2" ht="13.8" customHeight="1" x14ac:dyDescent="0.25">
      <c r="A17">
        <v>13</v>
      </c>
      <c r="B17">
        <f t="shared" si="0"/>
        <v>881.8486344074305</v>
      </c>
    </row>
    <row r="18" spans="1:2" ht="13.8" customHeight="1" x14ac:dyDescent="0.25">
      <c r="A18">
        <v>14</v>
      </c>
      <c r="B18">
        <f t="shared" si="0"/>
        <v>945.03014806335614</v>
      </c>
    </row>
    <row r="19" spans="1:2" x14ac:dyDescent="0.25">
      <c r="A19">
        <v>15</v>
      </c>
      <c r="B19">
        <f t="shared" si="0"/>
        <v>1007.5798465827226</v>
      </c>
    </row>
    <row r="20" spans="1:2" ht="13.8" customHeight="1" x14ac:dyDescent="0.25">
      <c r="A20">
        <v>16</v>
      </c>
      <c r="B20">
        <f t="shared" si="0"/>
        <v>1069.5040481168953</v>
      </c>
    </row>
    <row r="21" spans="1:2" ht="13.8" customHeight="1" x14ac:dyDescent="0.25">
      <c r="A21">
        <v>17</v>
      </c>
      <c r="B21">
        <f t="shared" si="0"/>
        <v>1130.8090076357264</v>
      </c>
    </row>
    <row r="22" spans="1:2" x14ac:dyDescent="0.25">
      <c r="A22">
        <v>18</v>
      </c>
      <c r="B22">
        <f t="shared" si="0"/>
        <v>1191.5009175593691</v>
      </c>
    </row>
    <row r="23" spans="1:2" ht="13.8" customHeight="1" x14ac:dyDescent="0.25">
      <c r="A23">
        <v>19</v>
      </c>
      <c r="B23">
        <f t="shared" si="0"/>
        <v>1251.5859083837754</v>
      </c>
    </row>
    <row r="24" spans="1:2" ht="13.8" customHeight="1" x14ac:dyDescent="0.25">
      <c r="A24">
        <v>20</v>
      </c>
      <c r="B24">
        <f t="shared" si="0"/>
        <v>1311.0700492999376</v>
      </c>
    </row>
    <row r="25" spans="1:2" x14ac:dyDescent="0.25">
      <c r="A25">
        <v>21</v>
      </c>
      <c r="B25">
        <f t="shared" si="0"/>
        <v>1369.9593488069384</v>
      </c>
    </row>
    <row r="26" spans="1:2" x14ac:dyDescent="0.25">
      <c r="A26">
        <v>22</v>
      </c>
      <c r="B26">
        <f t="shared" si="0"/>
        <v>1428.2597553188689</v>
      </c>
    </row>
    <row r="27" spans="1:2" x14ac:dyDescent="0.25">
      <c r="A27">
        <v>23</v>
      </c>
      <c r="B27">
        <f t="shared" si="0"/>
        <v>1485.9771577656802</v>
      </c>
    </row>
    <row r="28" spans="1:2" x14ac:dyDescent="0.25">
      <c r="A28">
        <v>24</v>
      </c>
      <c r="B28">
        <f t="shared" si="0"/>
        <v>1543.1173861880234</v>
      </c>
    </row>
    <row r="29" spans="1:2" x14ac:dyDescent="0.25">
      <c r="A29">
        <v>25</v>
      </c>
      <c r="B29">
        <f t="shared" si="0"/>
        <v>1599.686212326143</v>
      </c>
    </row>
    <row r="30" spans="1:2" x14ac:dyDescent="0.25">
      <c r="A30">
        <v>26</v>
      </c>
      <c r="B30">
        <f t="shared" si="0"/>
        <v>1655.6893502028815</v>
      </c>
    </row>
    <row r="31" spans="1:2" x14ac:dyDescent="0.25">
      <c r="A31">
        <v>27</v>
      </c>
      <c r="B31">
        <f t="shared" si="0"/>
        <v>1711.1324567008528</v>
      </c>
    </row>
    <row r="32" spans="1:2" x14ac:dyDescent="0.25">
      <c r="A32">
        <v>28</v>
      </c>
      <c r="B32">
        <f t="shared" si="0"/>
        <v>1766.0211321338443</v>
      </c>
    </row>
    <row r="33" spans="1:2" x14ac:dyDescent="0.25">
      <c r="A33">
        <v>29</v>
      </c>
      <c r="B33">
        <f t="shared" si="0"/>
        <v>1820.3609208125058</v>
      </c>
    </row>
    <row r="34" spans="1:2" x14ac:dyDescent="0.25">
      <c r="A34">
        <v>30</v>
      </c>
      <c r="B34">
        <f t="shared" si="0"/>
        <v>1874.1573116043808</v>
      </c>
    </row>
    <row r="35" spans="1:2" x14ac:dyDescent="0.25">
      <c r="A35">
        <v>31</v>
      </c>
      <c r="B35">
        <f t="shared" si="0"/>
        <v>1927.415738488337</v>
      </c>
    </row>
    <row r="36" spans="1:2" x14ac:dyDescent="0.25">
      <c r="A36">
        <v>32</v>
      </c>
      <c r="B36">
        <f t="shared" si="0"/>
        <v>1980.1415811034535</v>
      </c>
    </row>
    <row r="37" spans="1:2" x14ac:dyDescent="0.25">
      <c r="A37">
        <v>33</v>
      </c>
      <c r="B37">
        <f t="shared" si="0"/>
        <v>2032.340165292419</v>
      </c>
    </row>
    <row r="38" spans="1:2" x14ac:dyDescent="0.25">
      <c r="A38">
        <v>34</v>
      </c>
      <c r="B38">
        <f t="shared" ref="B38:B69" si="1">B37+(C$2-B37)*0.01</f>
        <v>2084.0167636394949</v>
      </c>
    </row>
    <row r="39" spans="1:2" x14ac:dyDescent="0.25">
      <c r="A39">
        <v>35</v>
      </c>
      <c r="B39">
        <f t="shared" si="1"/>
        <v>2135.1765960030998</v>
      </c>
    </row>
    <row r="40" spans="1:2" x14ac:dyDescent="0.25">
      <c r="A40">
        <v>36</v>
      </c>
      <c r="B40">
        <f t="shared" si="1"/>
        <v>2185.8248300430687</v>
      </c>
    </row>
    <row r="41" spans="1:2" x14ac:dyDescent="0.25">
      <c r="A41">
        <v>37</v>
      </c>
      <c r="B41">
        <f t="shared" si="1"/>
        <v>2235.966581742638</v>
      </c>
    </row>
    <row r="42" spans="1:2" x14ac:dyDescent="0.25">
      <c r="A42">
        <v>38</v>
      </c>
      <c r="B42">
        <f t="shared" si="1"/>
        <v>2285.6069159252115</v>
      </c>
    </row>
    <row r="43" spans="1:2" x14ac:dyDescent="0.25">
      <c r="A43">
        <v>39</v>
      </c>
      <c r="B43">
        <f t="shared" si="1"/>
        <v>2334.7508467659595</v>
      </c>
    </row>
    <row r="44" spans="1:2" x14ac:dyDescent="0.25">
      <c r="A44">
        <v>40</v>
      </c>
      <c r="B44">
        <f t="shared" si="1"/>
        <v>2383.4033382982998</v>
      </c>
    </row>
    <row r="45" spans="1:2" x14ac:dyDescent="0.25">
      <c r="A45">
        <v>41</v>
      </c>
      <c r="B45">
        <f t="shared" si="1"/>
        <v>2431.5693049153169</v>
      </c>
    </row>
    <row r="46" spans="1:2" x14ac:dyDescent="0.25">
      <c r="A46">
        <v>42</v>
      </c>
      <c r="B46">
        <f t="shared" si="1"/>
        <v>2479.2536118661637</v>
      </c>
    </row>
    <row r="47" spans="1:2" x14ac:dyDescent="0.25">
      <c r="A47">
        <v>43</v>
      </c>
      <c r="B47">
        <f t="shared" si="1"/>
        <v>2526.461075747502</v>
      </c>
    </row>
    <row r="48" spans="1:2" x14ac:dyDescent="0.25">
      <c r="A48">
        <v>44</v>
      </c>
      <c r="B48">
        <f t="shared" si="1"/>
        <v>2573.1964649900269</v>
      </c>
    </row>
    <row r="49" spans="1:2" x14ac:dyDescent="0.25">
      <c r="A49">
        <v>45</v>
      </c>
      <c r="B49">
        <f t="shared" si="1"/>
        <v>2619.4645003401265</v>
      </c>
    </row>
    <row r="50" spans="1:2" x14ac:dyDescent="0.25">
      <c r="A50">
        <v>46</v>
      </c>
      <c r="B50">
        <f t="shared" si="1"/>
        <v>2665.2698553367254</v>
      </c>
    </row>
    <row r="51" spans="1:2" x14ac:dyDescent="0.25">
      <c r="A51">
        <v>47</v>
      </c>
      <c r="B51">
        <f t="shared" si="1"/>
        <v>2710.617156783358</v>
      </c>
    </row>
    <row r="52" spans="1:2" x14ac:dyDescent="0.25">
      <c r="A52">
        <v>48</v>
      </c>
      <c r="B52">
        <f t="shared" si="1"/>
        <v>2755.5109852155247</v>
      </c>
    </row>
    <row r="53" spans="1:2" x14ac:dyDescent="0.25">
      <c r="A53">
        <v>49</v>
      </c>
      <c r="B53">
        <f t="shared" si="1"/>
        <v>2799.9558753633696</v>
      </c>
    </row>
    <row r="54" spans="1:2" x14ac:dyDescent="0.25">
      <c r="A54">
        <v>50</v>
      </c>
      <c r="B54">
        <f t="shared" si="1"/>
        <v>2843.9563166097359</v>
      </c>
    </row>
    <row r="55" spans="1:2" x14ac:dyDescent="0.25">
      <c r="A55">
        <v>51</v>
      </c>
      <c r="B55">
        <f t="shared" si="1"/>
        <v>2887.5167534436387</v>
      </c>
    </row>
    <row r="56" spans="1:2" x14ac:dyDescent="0.25">
      <c r="A56">
        <v>52</v>
      </c>
      <c r="B56">
        <f t="shared" si="1"/>
        <v>2930.6415859092021</v>
      </c>
    </row>
    <row r="57" spans="1:2" x14ac:dyDescent="0.25">
      <c r="A57">
        <v>53</v>
      </c>
      <c r="B57">
        <f t="shared" si="1"/>
        <v>2973.3351700501103</v>
      </c>
    </row>
    <row r="58" spans="1:2" x14ac:dyDescent="0.25">
      <c r="A58">
        <v>54</v>
      </c>
      <c r="B58">
        <f t="shared" si="1"/>
        <v>3015.6018183496089</v>
      </c>
    </row>
    <row r="59" spans="1:2" x14ac:dyDescent="0.25">
      <c r="A59">
        <v>55</v>
      </c>
      <c r="B59">
        <f t="shared" si="1"/>
        <v>3057.4458001661128</v>
      </c>
    </row>
    <row r="60" spans="1:2" x14ac:dyDescent="0.25">
      <c r="A60">
        <v>56</v>
      </c>
      <c r="B60">
        <f t="shared" si="1"/>
        <v>3098.8713421644516</v>
      </c>
    </row>
    <row r="61" spans="1:2" x14ac:dyDescent="0.25">
      <c r="A61">
        <v>57</v>
      </c>
      <c r="B61">
        <f t="shared" si="1"/>
        <v>3139.8826287428069</v>
      </c>
    </row>
    <row r="62" spans="1:2" x14ac:dyDescent="0.25">
      <c r="A62">
        <v>58</v>
      </c>
      <c r="B62">
        <f t="shared" si="1"/>
        <v>3180.4838024553787</v>
      </c>
    </row>
    <row r="63" spans="1:2" x14ac:dyDescent="0.25">
      <c r="A63">
        <v>59</v>
      </c>
      <c r="B63">
        <f t="shared" si="1"/>
        <v>3220.6789644308251</v>
      </c>
    </row>
    <row r="64" spans="1:2" x14ac:dyDescent="0.25">
      <c r="A64">
        <v>60</v>
      </c>
      <c r="B64">
        <f t="shared" si="1"/>
        <v>3260.4721747865169</v>
      </c>
    </row>
    <row r="65" spans="1:2" x14ac:dyDescent="0.25">
      <c r="A65">
        <v>61</v>
      </c>
      <c r="B65">
        <f t="shared" si="1"/>
        <v>3299.8674530386515</v>
      </c>
    </row>
    <row r="66" spans="1:2" x14ac:dyDescent="0.25">
      <c r="A66">
        <v>62</v>
      </c>
      <c r="B66">
        <f t="shared" si="1"/>
        <v>3338.8687785082652</v>
      </c>
    </row>
    <row r="67" spans="1:2" x14ac:dyDescent="0.25">
      <c r="A67">
        <v>63</v>
      </c>
      <c r="B67">
        <f t="shared" si="1"/>
        <v>3377.4800907231825</v>
      </c>
    </row>
    <row r="68" spans="1:2" x14ac:dyDescent="0.25">
      <c r="A68">
        <v>64</v>
      </c>
      <c r="B68">
        <f t="shared" si="1"/>
        <v>3415.7052898159504</v>
      </c>
    </row>
    <row r="69" spans="1:2" x14ac:dyDescent="0.25">
      <c r="A69">
        <v>65</v>
      </c>
      <c r="B69">
        <f t="shared" si="1"/>
        <v>3453.5482369177907</v>
      </c>
    </row>
    <row r="70" spans="1:2" x14ac:dyDescent="0.25">
      <c r="A70">
        <v>66</v>
      </c>
      <c r="B70">
        <f t="shared" ref="B70:B101" si="2">B69+(C$2-B69)*0.01</f>
        <v>3491.012754548613</v>
      </c>
    </row>
    <row r="71" spans="1:2" x14ac:dyDescent="0.25">
      <c r="A71">
        <v>67</v>
      </c>
      <c r="B71">
        <f t="shared" si="2"/>
        <v>3528.1026270031271</v>
      </c>
    </row>
    <row r="72" spans="1:2" x14ac:dyDescent="0.25">
      <c r="A72">
        <v>68</v>
      </c>
      <c r="B72">
        <f t="shared" si="2"/>
        <v>3564.8216007330957</v>
      </c>
    </row>
    <row r="73" spans="1:2" x14ac:dyDescent="0.25">
      <c r="A73">
        <v>69</v>
      </c>
      <c r="B73">
        <f t="shared" si="2"/>
        <v>3601.1733847257647</v>
      </c>
    </row>
    <row r="74" spans="1:2" x14ac:dyDescent="0.25">
      <c r="A74">
        <v>70</v>
      </c>
      <c r="B74">
        <f t="shared" si="2"/>
        <v>3637.1616508785069</v>
      </c>
    </row>
    <row r="75" spans="1:2" x14ac:dyDescent="0.25">
      <c r="A75">
        <v>71</v>
      </c>
      <c r="B75">
        <f t="shared" si="2"/>
        <v>3672.790034369722</v>
      </c>
    </row>
    <row r="76" spans="1:2" x14ac:dyDescent="0.25">
      <c r="A76">
        <v>72</v>
      </c>
      <c r="B76">
        <f t="shared" si="2"/>
        <v>3708.062134026025</v>
      </c>
    </row>
    <row r="77" spans="1:2" x14ac:dyDescent="0.25">
      <c r="A77">
        <v>73</v>
      </c>
      <c r="B77">
        <f t="shared" si="2"/>
        <v>3742.9815126857648</v>
      </c>
    </row>
    <row r="78" spans="1:2" x14ac:dyDescent="0.25">
      <c r="A78">
        <v>74</v>
      </c>
      <c r="B78">
        <f t="shared" si="2"/>
        <v>3777.5516975589071</v>
      </c>
    </row>
    <row r="79" spans="1:2" x14ac:dyDescent="0.25">
      <c r="A79">
        <v>75</v>
      </c>
      <c r="B79">
        <f t="shared" si="2"/>
        <v>3811.7761805833179</v>
      </c>
    </row>
    <row r="80" spans="1:2" x14ac:dyDescent="0.25">
      <c r="A80">
        <v>76</v>
      </c>
      <c r="B80">
        <f t="shared" si="2"/>
        <v>3845.6584187774847</v>
      </c>
    </row>
    <row r="81" spans="1:2" x14ac:dyDescent="0.25">
      <c r="A81">
        <v>77</v>
      </c>
      <c r="B81">
        <f t="shared" si="2"/>
        <v>3879.20183458971</v>
      </c>
    </row>
    <row r="82" spans="1:2" x14ac:dyDescent="0.25">
      <c r="A82">
        <v>78</v>
      </c>
      <c r="B82">
        <f t="shared" si="2"/>
        <v>3912.4098162438127</v>
      </c>
    </row>
    <row r="83" spans="1:2" x14ac:dyDescent="0.25">
      <c r="A83">
        <v>79</v>
      </c>
      <c r="B83">
        <f t="shared" si="2"/>
        <v>3945.2857180813744</v>
      </c>
    </row>
    <row r="84" spans="1:2" x14ac:dyDescent="0.25">
      <c r="A84">
        <v>80</v>
      </c>
      <c r="B84">
        <f t="shared" si="2"/>
        <v>3977.8328609005607</v>
      </c>
    </row>
    <row r="85" spans="1:2" x14ac:dyDescent="0.25">
      <c r="A85">
        <v>81</v>
      </c>
      <c r="B85">
        <f t="shared" si="2"/>
        <v>4010.054532291555</v>
      </c>
    </row>
    <row r="86" spans="1:2" x14ac:dyDescent="0.25">
      <c r="A86">
        <v>82</v>
      </c>
      <c r="B86">
        <f t="shared" si="2"/>
        <v>4041.9539869686396</v>
      </c>
    </row>
    <row r="87" spans="1:2" x14ac:dyDescent="0.25">
      <c r="A87">
        <v>83</v>
      </c>
      <c r="B87">
        <f t="shared" si="2"/>
        <v>4073.534447098953</v>
      </c>
    </row>
    <row r="88" spans="1:2" x14ac:dyDescent="0.25">
      <c r="A88">
        <v>84</v>
      </c>
      <c r="B88">
        <f t="shared" si="2"/>
        <v>4104.7991026279633</v>
      </c>
    </row>
    <row r="89" spans="1:2" x14ac:dyDescent="0.25">
      <c r="A89">
        <v>85</v>
      </c>
      <c r="B89">
        <f t="shared" si="2"/>
        <v>4135.751111601684</v>
      </c>
    </row>
    <row r="90" spans="1:2" x14ac:dyDescent="0.25">
      <c r="A90">
        <v>86</v>
      </c>
      <c r="B90">
        <f t="shared" si="2"/>
        <v>4166.3936004856669</v>
      </c>
    </row>
    <row r="91" spans="1:2" x14ac:dyDescent="0.25">
      <c r="A91">
        <v>87</v>
      </c>
      <c r="B91">
        <f t="shared" si="2"/>
        <v>4196.7296644808102</v>
      </c>
    </row>
    <row r="92" spans="1:2" x14ac:dyDescent="0.25">
      <c r="A92">
        <v>88</v>
      </c>
      <c r="B92">
        <f t="shared" si="2"/>
        <v>4226.7623678360023</v>
      </c>
    </row>
    <row r="93" spans="1:2" x14ac:dyDescent="0.25">
      <c r="A93">
        <v>89</v>
      </c>
      <c r="B93">
        <f t="shared" si="2"/>
        <v>4256.4947441576423</v>
      </c>
    </row>
    <row r="94" spans="1:2" x14ac:dyDescent="0.25">
      <c r="A94">
        <v>90</v>
      </c>
      <c r="B94">
        <f t="shared" si="2"/>
        <v>4285.9297967160655</v>
      </c>
    </row>
    <row r="95" spans="1:2" x14ac:dyDescent="0.25">
      <c r="A95">
        <v>91</v>
      </c>
      <c r="B95">
        <f t="shared" si="2"/>
        <v>4315.0704987489053</v>
      </c>
    </row>
    <row r="96" spans="1:2" x14ac:dyDescent="0.25">
      <c r="A96">
        <v>92</v>
      </c>
      <c r="B96">
        <f t="shared" si="2"/>
        <v>4343.9197937614163</v>
      </c>
    </row>
    <row r="97" spans="1:2" x14ac:dyDescent="0.25">
      <c r="A97">
        <v>93</v>
      </c>
      <c r="B97">
        <f t="shared" si="2"/>
        <v>4372.4805958238021</v>
      </c>
    </row>
    <row r="98" spans="1:2" x14ac:dyDescent="0.25">
      <c r="A98">
        <v>94</v>
      </c>
      <c r="B98">
        <f t="shared" si="2"/>
        <v>4400.7557898655641</v>
      </c>
    </row>
    <row r="99" spans="1:2" x14ac:dyDescent="0.25">
      <c r="A99">
        <v>95</v>
      </c>
      <c r="B99">
        <f t="shared" si="2"/>
        <v>4428.7482319669089</v>
      </c>
    </row>
    <row r="100" spans="1:2" x14ac:dyDescent="0.25">
      <c r="A100">
        <v>96</v>
      </c>
      <c r="B100">
        <f t="shared" si="2"/>
        <v>4456.4607496472399</v>
      </c>
    </row>
    <row r="101" spans="1:2" x14ac:dyDescent="0.25">
      <c r="A101">
        <v>97</v>
      </c>
      <c r="B101">
        <f t="shared" si="2"/>
        <v>4483.8961421507674</v>
      </c>
    </row>
    <row r="102" spans="1:2" x14ac:dyDescent="0.25">
      <c r="A102">
        <v>98</v>
      </c>
      <c r="B102">
        <f>B101+(C$2-B101)*0.01</f>
        <v>4511.0571807292599</v>
      </c>
    </row>
    <row r="103" spans="1:2" x14ac:dyDescent="0.25">
      <c r="A103">
        <v>99</v>
      </c>
      <c r="B103">
        <f>B102+(C$2-B102)*0.01</f>
        <v>4537.9466089219677</v>
      </c>
    </row>
    <row r="104" spans="1:2" x14ac:dyDescent="0.25">
      <c r="A104">
        <v>100</v>
      </c>
      <c r="B104">
        <f>B103+(C$2-B103)*0.01</f>
        <v>4564.5671428327478</v>
      </c>
    </row>
  </sheetData>
  <dataConsolidate/>
  <mergeCells count="2">
    <mergeCell ref="A3:B3"/>
    <mergeCell ref="E4:F4"/>
  </mergeCells>
  <phoneticPr fontId="24" type="noConversion"/>
  <dataValidations count="8">
    <dataValidation type="list" allowBlank="1" showInputMessage="1" showErrorMessage="1" sqref="B3" xr:uid="{2480B4E3-94AE-4614-A561-47A8FE0344E9}">
      <formula1>"1,2,3,4"</formula1>
    </dataValidation>
    <dataValidation type="list" allowBlank="1" showInputMessage="1" showErrorMessage="1" sqref="A3" xr:uid="{60B7D0EF-54BD-4BBB-9E39-C17138DDF17D}">
      <formula1>"黄带,绿带,蓝带"</formula1>
    </dataValidation>
    <dataValidation type="list" showInputMessage="1" showErrorMessage="1" sqref="D2" xr:uid="{CC8392F5-2200-4619-90C3-C0CFE956C9C4}">
      <formula1>"/S,/min"</formula1>
    </dataValidation>
    <dataValidation type="list" showInputMessage="1" showErrorMessage="1" sqref="G4" xr:uid="{028C593E-B560-4E5B-8401-6E290195F207}">
      <formula1>"发电量（光子）,发电量（直发）"</formula1>
    </dataValidation>
    <dataValidation type="list" showInputMessage="1" showErrorMessage="1" sqref="E2" xr:uid="{1B10A830-9A1B-4B1F-8359-E03FDF997399}">
      <formula1>"MW,GW,TW"</formula1>
    </dataValidation>
    <dataValidation type="list" showInputMessage="1" showErrorMessage="1" sqref="A2" xr:uid="{6922E579-F949-4A75-B685-9780AEAD62E6}">
      <formula1>"黄带,绿带,蓝带"</formula1>
    </dataValidation>
    <dataValidation type="list" showInputMessage="1" showErrorMessage="1" sqref="B2" xr:uid="{63693D6E-9011-41FA-A45B-1939A7A79B75}">
      <formula1>"1,2,3,4"</formula1>
    </dataValidation>
    <dataValidation type="list" showInputMessage="1" showErrorMessage="1" sqref="H10" xr:uid="{57A99635-BE5A-43F4-8878-74EAA4E29D65}">
      <formula1>"0.75,1,1.5,2,3,4,6,=0.75*1.25,=1*1.25,=1.5*1.25,=2*1.25,=3*1.25"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EFF5-A914-418A-ABE2-0CF277931A86}">
  <dimension ref="A1:AN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defaultRowHeight="13.8" x14ac:dyDescent="0.25"/>
  <cols>
    <col min="1" max="1" width="11.6640625" style="65" bestFit="1" customWidth="1"/>
    <col min="2" max="3" width="11.6640625" style="66" customWidth="1"/>
    <col min="4" max="4" width="8.88671875" style="66" customWidth="1"/>
    <col min="5" max="6" width="8.88671875" style="66"/>
    <col min="7" max="7" width="8.88671875" style="66" customWidth="1"/>
    <col min="8" max="16384" width="8.88671875" style="66"/>
  </cols>
  <sheetData>
    <row r="1" spans="1:40" s="65" customFormat="1" x14ac:dyDescent="0.25">
      <c r="A1" s="65" t="s">
        <v>173</v>
      </c>
      <c r="B1" s="84" t="s">
        <v>265</v>
      </c>
      <c r="C1" s="84" t="s">
        <v>264</v>
      </c>
      <c r="D1" s="65" t="s">
        <v>170</v>
      </c>
      <c r="E1" s="65" t="s">
        <v>133</v>
      </c>
      <c r="F1" s="65" t="s">
        <v>168</v>
      </c>
      <c r="G1" s="65" t="s">
        <v>177</v>
      </c>
      <c r="H1" s="65" t="s">
        <v>129</v>
      </c>
      <c r="I1" s="65" t="s">
        <v>165</v>
      </c>
      <c r="J1" s="65" t="s">
        <v>160</v>
      </c>
      <c r="K1" s="65" t="s">
        <v>195</v>
      </c>
      <c r="L1" s="65" t="s">
        <v>190</v>
      </c>
      <c r="M1" s="65" t="s">
        <v>162</v>
      </c>
      <c r="N1" s="65" t="s">
        <v>184</v>
      </c>
      <c r="O1" s="65" t="s">
        <v>172</v>
      </c>
      <c r="P1" s="65" t="s">
        <v>180</v>
      </c>
      <c r="Q1" s="65" t="s">
        <v>188</v>
      </c>
      <c r="R1" s="65" t="s">
        <v>161</v>
      </c>
      <c r="S1" s="65" t="s">
        <v>178</v>
      </c>
      <c r="T1" s="65" t="s">
        <v>145</v>
      </c>
      <c r="U1" s="65" t="s">
        <v>179</v>
      </c>
      <c r="V1" s="65" t="s">
        <v>163</v>
      </c>
      <c r="W1" s="65" t="s">
        <v>222</v>
      </c>
      <c r="X1" s="65" t="s">
        <v>171</v>
      </c>
      <c r="Y1" s="65" t="s">
        <v>175</v>
      </c>
      <c r="Z1" s="65" t="s">
        <v>204</v>
      </c>
      <c r="AA1" s="65" t="s">
        <v>242</v>
      </c>
      <c r="AB1" s="65" t="s">
        <v>48</v>
      </c>
      <c r="AC1" s="65" t="s">
        <v>49</v>
      </c>
      <c r="AD1" s="65" t="s">
        <v>194</v>
      </c>
      <c r="AE1" s="65" t="s">
        <v>181</v>
      </c>
      <c r="AF1" s="65" t="s">
        <v>233</v>
      </c>
      <c r="AG1" s="65" t="s">
        <v>227</v>
      </c>
      <c r="AH1" s="65" t="s">
        <v>239</v>
      </c>
      <c r="AI1" s="65" t="s">
        <v>223</v>
      </c>
      <c r="AJ1" s="65" t="s">
        <v>249</v>
      </c>
      <c r="AK1" s="80" t="s">
        <v>187</v>
      </c>
      <c r="AL1" s="65" t="s">
        <v>214</v>
      </c>
      <c r="AM1" s="65" t="s">
        <v>215</v>
      </c>
      <c r="AN1" s="65" t="s">
        <v>228</v>
      </c>
    </row>
    <row r="2" spans="1:40" x14ac:dyDescent="0.25">
      <c r="A2" s="74" t="s">
        <v>189</v>
      </c>
      <c r="C2" s="101">
        <f>B2+C3</f>
        <v>3</v>
      </c>
      <c r="D2" s="101">
        <f>$C2*勿动!J2</f>
        <v>0</v>
      </c>
      <c r="E2" s="101">
        <f>$C2*勿动!K2</f>
        <v>0</v>
      </c>
      <c r="F2" s="101">
        <f>$C2*勿动!L2</f>
        <v>0</v>
      </c>
      <c r="G2" s="101">
        <f>$C2*勿动!M2</f>
        <v>0</v>
      </c>
      <c r="H2" s="101">
        <f>$C2*勿动!N2</f>
        <v>2</v>
      </c>
      <c r="I2" s="101">
        <f>$C2*勿动!O2</f>
        <v>1</v>
      </c>
      <c r="J2" s="101">
        <f>$C2*勿动!P2</f>
        <v>0</v>
      </c>
      <c r="K2" s="101">
        <f>$C2*勿动!Q2</f>
        <v>0</v>
      </c>
      <c r="L2" s="101">
        <f>$C2*勿动!R2</f>
        <v>0</v>
      </c>
      <c r="M2" s="101">
        <f>$C2*勿动!S2</f>
        <v>0</v>
      </c>
      <c r="N2" s="101">
        <f>$C2*勿动!T2</f>
        <v>0</v>
      </c>
      <c r="O2" s="101">
        <f>$C2*勿动!U2</f>
        <v>0</v>
      </c>
      <c r="P2" s="101">
        <f>$C2*勿动!V2</f>
        <v>0</v>
      </c>
      <c r="Q2" s="101">
        <f>$C2*勿动!W2</f>
        <v>0</v>
      </c>
      <c r="R2" s="101">
        <f>$C2*勿动!X2</f>
        <v>0</v>
      </c>
      <c r="S2" s="101">
        <f>$C2*勿动!Y2</f>
        <v>0</v>
      </c>
      <c r="T2" s="101">
        <f>$C2*勿动!Z2</f>
        <v>0</v>
      </c>
      <c r="U2" s="101">
        <f>$C2*勿动!AA2</f>
        <v>0</v>
      </c>
      <c r="V2" s="101">
        <f>$C2*勿动!AB2</f>
        <v>0</v>
      </c>
      <c r="W2" s="101">
        <f>$C2*勿动!AC2</f>
        <v>0</v>
      </c>
      <c r="X2" s="101">
        <f>$C2*勿动!AD2</f>
        <v>0</v>
      </c>
      <c r="Y2" s="101">
        <f>$C2*勿动!AE2</f>
        <v>0</v>
      </c>
      <c r="Z2" s="101">
        <f>$C2*勿动!AF2</f>
        <v>0</v>
      </c>
      <c r="AA2" s="101">
        <f>$C2*勿动!AG2</f>
        <v>0</v>
      </c>
      <c r="AB2" s="101">
        <f>$C2*勿动!AH2</f>
        <v>0</v>
      </c>
      <c r="AC2" s="101">
        <f>$C2*勿动!AI2</f>
        <v>0</v>
      </c>
      <c r="AD2" s="101">
        <f>$C2*勿动!AJ2</f>
        <v>0</v>
      </c>
      <c r="AE2" s="101">
        <f>$C2*勿动!AK2</f>
        <v>0</v>
      </c>
      <c r="AF2" s="101">
        <f>$C2*勿动!AL2</f>
        <v>0</v>
      </c>
      <c r="AG2" s="101">
        <f>$C2*勿动!AM2</f>
        <v>0</v>
      </c>
      <c r="AH2" s="101">
        <f>$C2*勿动!AN2</f>
        <v>0</v>
      </c>
      <c r="AI2" s="101">
        <f>$C2*勿动!AO2</f>
        <v>0</v>
      </c>
      <c r="AJ2" s="101">
        <f>$C2*勿动!AP2</f>
        <v>0</v>
      </c>
      <c r="AK2" s="101">
        <f>$C2*勿动!AQ2</f>
        <v>0</v>
      </c>
      <c r="AL2" s="101">
        <f>$C2*勿动!AR2</f>
        <v>0</v>
      </c>
      <c r="AM2" s="101">
        <f>$C2*勿动!AS2</f>
        <v>0</v>
      </c>
      <c r="AN2" s="101">
        <f>$C2*勿动!AT2</f>
        <v>0</v>
      </c>
    </row>
    <row r="3" spans="1:40" x14ac:dyDescent="0.25">
      <c r="A3" s="74" t="s">
        <v>191</v>
      </c>
      <c r="C3" s="101">
        <f>B3+C4</f>
        <v>3</v>
      </c>
      <c r="D3" s="101">
        <f>$C3*勿动!J3</f>
        <v>0</v>
      </c>
      <c r="E3" s="101">
        <f>$C3*勿动!K3</f>
        <v>0</v>
      </c>
      <c r="F3" s="101">
        <f>$C3*勿动!L3</f>
        <v>0</v>
      </c>
      <c r="G3" s="101">
        <f>$C3*勿动!M3</f>
        <v>0</v>
      </c>
      <c r="H3" s="101">
        <f>$C3*勿动!N3</f>
        <v>0</v>
      </c>
      <c r="I3" s="101">
        <f>$C3*勿动!O3</f>
        <v>0</v>
      </c>
      <c r="J3" s="101">
        <f>$C3*勿动!P3</f>
        <v>0</v>
      </c>
      <c r="K3" s="101">
        <f>$C3*勿动!Q3</f>
        <v>0</v>
      </c>
      <c r="L3" s="101">
        <f>$C3*勿动!R3</f>
        <v>1</v>
      </c>
      <c r="M3" s="101">
        <f>$C3*勿动!S3</f>
        <v>0</v>
      </c>
      <c r="N3" s="101">
        <f>$C3*勿动!T3</f>
        <v>0</v>
      </c>
      <c r="O3" s="101">
        <f>$C3*勿动!U3</f>
        <v>0</v>
      </c>
      <c r="P3" s="101">
        <f>$C3*勿动!V3</f>
        <v>0</v>
      </c>
      <c r="Q3" s="101">
        <f>$C3*勿动!W3</f>
        <v>0</v>
      </c>
      <c r="R3" s="101">
        <f>$C3*勿动!X3</f>
        <v>0</v>
      </c>
      <c r="S3" s="101">
        <f>$C3*勿动!Y3</f>
        <v>0</v>
      </c>
      <c r="T3" s="101">
        <f>$C3*勿动!Z3</f>
        <v>0</v>
      </c>
      <c r="U3" s="101">
        <f>$C3*勿动!AA3</f>
        <v>0</v>
      </c>
      <c r="V3" s="101">
        <f>$C3*勿动!AB3</f>
        <v>0</v>
      </c>
      <c r="W3" s="101">
        <f>$C3*勿动!AC3</f>
        <v>0</v>
      </c>
      <c r="X3" s="101">
        <f>$C3*勿动!AD3</f>
        <v>0</v>
      </c>
      <c r="Y3" s="101">
        <f>$C3*勿动!AE3</f>
        <v>0</v>
      </c>
      <c r="Z3" s="101">
        <f>$C3*勿动!AF3</f>
        <v>0</v>
      </c>
      <c r="AA3" s="101">
        <f>$C3*勿动!AG3</f>
        <v>0</v>
      </c>
      <c r="AB3" s="101">
        <f>$C3*勿动!AH3</f>
        <v>0</v>
      </c>
      <c r="AC3" s="101">
        <f>$C3*勿动!AI3</f>
        <v>0</v>
      </c>
      <c r="AD3" s="101">
        <f>$C3*勿动!AJ3</f>
        <v>0</v>
      </c>
      <c r="AE3" s="101">
        <f>$C3*勿动!AK3</f>
        <v>0</v>
      </c>
      <c r="AF3" s="101">
        <f>$C3*勿动!AL3</f>
        <v>0</v>
      </c>
      <c r="AG3" s="101">
        <f>$C3*勿动!AM3</f>
        <v>0</v>
      </c>
      <c r="AH3" s="101">
        <f>$C3*勿动!AN3</f>
        <v>0</v>
      </c>
      <c r="AI3" s="101">
        <f>$C3*勿动!AO3</f>
        <v>0</v>
      </c>
      <c r="AJ3" s="101">
        <f>$C3*勿动!AP3</f>
        <v>0</v>
      </c>
      <c r="AK3" s="101">
        <f>$C3*勿动!AQ3</f>
        <v>0</v>
      </c>
      <c r="AL3" s="101">
        <f>$C3*勿动!AR3</f>
        <v>0</v>
      </c>
      <c r="AM3" s="101">
        <f>$C3*勿动!AS3</f>
        <v>0</v>
      </c>
      <c r="AN3" s="101">
        <f>$C3*勿动!AT3</f>
        <v>0</v>
      </c>
    </row>
    <row r="4" spans="1:40" x14ac:dyDescent="0.25">
      <c r="A4" s="74" t="s">
        <v>193</v>
      </c>
      <c r="B4" s="66">
        <v>3</v>
      </c>
      <c r="C4" s="101">
        <f>B4</f>
        <v>3</v>
      </c>
      <c r="D4" s="101">
        <f>$C4*勿动!J4</f>
        <v>0</v>
      </c>
      <c r="E4" s="101">
        <f>$C4*勿动!K4</f>
        <v>0</v>
      </c>
      <c r="F4" s="101">
        <f>$C4*勿动!L4</f>
        <v>0</v>
      </c>
      <c r="G4" s="101">
        <f>$C4*勿动!M4</f>
        <v>0</v>
      </c>
      <c r="H4" s="101">
        <f>$C4*勿动!N4</f>
        <v>0</v>
      </c>
      <c r="I4" s="101">
        <f>$C4*勿动!O4</f>
        <v>0</v>
      </c>
      <c r="J4" s="101">
        <f>$C4*勿动!P4</f>
        <v>0</v>
      </c>
      <c r="K4" s="101">
        <f>$C4*勿动!Q4</f>
        <v>0</v>
      </c>
      <c r="L4" s="101">
        <f>$C4*勿动!R4</f>
        <v>0</v>
      </c>
      <c r="M4" s="101">
        <f>$C4*勿动!S4</f>
        <v>1</v>
      </c>
      <c r="N4" s="101">
        <f>$C4*勿动!T4</f>
        <v>0</v>
      </c>
      <c r="O4" s="101">
        <f>$C4*勿动!U4</f>
        <v>0</v>
      </c>
      <c r="P4" s="101">
        <f>$C4*勿动!V4</f>
        <v>0</v>
      </c>
      <c r="Q4" s="101">
        <f>$C4*勿动!W4</f>
        <v>0</v>
      </c>
      <c r="R4" s="101">
        <f>$C4*勿动!X4</f>
        <v>0</v>
      </c>
      <c r="S4" s="101">
        <f>$C4*勿动!Y4</f>
        <v>0</v>
      </c>
      <c r="T4" s="101">
        <f>$C4*勿动!Z4</f>
        <v>0</v>
      </c>
      <c r="U4" s="101">
        <f>$C4*勿动!AA4</f>
        <v>0</v>
      </c>
      <c r="V4" s="101">
        <f>$C4*勿动!AB4</f>
        <v>0</v>
      </c>
      <c r="W4" s="101">
        <f>$C4*勿动!AC4</f>
        <v>0</v>
      </c>
      <c r="X4" s="101">
        <f>$C4*勿动!AD4</f>
        <v>0</v>
      </c>
      <c r="Y4" s="101">
        <f>$C4*勿动!AE4</f>
        <v>0</v>
      </c>
      <c r="Z4" s="101">
        <f>$C4*勿动!AF4</f>
        <v>0</v>
      </c>
      <c r="AA4" s="101">
        <f>$C4*勿动!AG4</f>
        <v>0</v>
      </c>
      <c r="AB4" s="101">
        <f>$C4*勿动!AH4</f>
        <v>0</v>
      </c>
      <c r="AC4" s="101">
        <f>$C4*勿动!AI4</f>
        <v>0</v>
      </c>
      <c r="AD4" s="101">
        <f>$C4*勿动!AJ4</f>
        <v>1</v>
      </c>
      <c r="AE4" s="101">
        <f>$C4*勿动!AK4</f>
        <v>0</v>
      </c>
      <c r="AF4" s="101">
        <f>$C4*勿动!AL4</f>
        <v>0</v>
      </c>
      <c r="AG4" s="101">
        <f>$C4*勿动!AM4</f>
        <v>0</v>
      </c>
      <c r="AH4" s="101">
        <f>$C4*勿动!AN4</f>
        <v>0</v>
      </c>
      <c r="AI4" s="101">
        <f>$C4*勿动!AO4</f>
        <v>0</v>
      </c>
      <c r="AJ4" s="101">
        <f>$C4*勿动!AP4</f>
        <v>0</v>
      </c>
      <c r="AK4" s="101">
        <f>$C4*勿动!AQ4</f>
        <v>0</v>
      </c>
      <c r="AL4" s="101">
        <f>$C4*勿动!AR4</f>
        <v>0</v>
      </c>
      <c r="AM4" s="101">
        <f>$C4*勿动!AS4</f>
        <v>0</v>
      </c>
      <c r="AN4" s="101">
        <f>$C4*勿动!AT4</f>
        <v>0</v>
      </c>
    </row>
    <row r="5" spans="1:40" x14ac:dyDescent="0.25">
      <c r="A5" s="74" t="s">
        <v>196</v>
      </c>
      <c r="C5" s="101">
        <f>B5+C6</f>
        <v>2</v>
      </c>
      <c r="D5" s="101">
        <f>$C5*勿动!J5</f>
        <v>0</v>
      </c>
      <c r="E5" s="101">
        <f>$C5*勿动!K5</f>
        <v>0</v>
      </c>
      <c r="F5" s="101">
        <f>$C5*勿动!L5</f>
        <v>0</v>
      </c>
      <c r="G5" s="101">
        <f>$C5*勿动!M5</f>
        <v>0</v>
      </c>
      <c r="H5" s="101">
        <f>$C5*勿动!N5</f>
        <v>2</v>
      </c>
      <c r="I5" s="101">
        <f>$C5*勿动!O5</f>
        <v>0</v>
      </c>
      <c r="J5" s="101">
        <f>$C5*勿动!P5</f>
        <v>0</v>
      </c>
      <c r="K5" s="101">
        <f>$C5*勿动!Q5</f>
        <v>0</v>
      </c>
      <c r="L5" s="101">
        <f>$C5*勿动!R5</f>
        <v>0</v>
      </c>
      <c r="M5" s="101">
        <f>$C5*勿动!S5</f>
        <v>0</v>
      </c>
      <c r="N5" s="101">
        <f>$C5*勿动!T5</f>
        <v>0</v>
      </c>
      <c r="O5" s="101">
        <f>$C5*勿动!U5</f>
        <v>2</v>
      </c>
      <c r="P5" s="101">
        <f>$C5*勿动!V5</f>
        <v>0</v>
      </c>
      <c r="Q5" s="101">
        <f>$C5*勿动!W5</f>
        <v>0</v>
      </c>
      <c r="R5" s="101">
        <f>$C5*勿动!X5</f>
        <v>0</v>
      </c>
      <c r="S5" s="101">
        <f>$C5*勿动!Y5</f>
        <v>0</v>
      </c>
      <c r="T5" s="101">
        <f>$C5*勿动!Z5</f>
        <v>0</v>
      </c>
      <c r="U5" s="101">
        <f>$C5*勿动!AA5</f>
        <v>0</v>
      </c>
      <c r="V5" s="101">
        <f>$C5*勿动!AB5</f>
        <v>0</v>
      </c>
      <c r="W5" s="101">
        <f>$C5*勿动!AC5</f>
        <v>0</v>
      </c>
      <c r="X5" s="101">
        <f>$C5*勿动!AD5</f>
        <v>0</v>
      </c>
      <c r="Y5" s="101">
        <f>$C5*勿动!AE5</f>
        <v>0</v>
      </c>
      <c r="Z5" s="101">
        <f>$C5*勿动!AF5</f>
        <v>0</v>
      </c>
      <c r="AA5" s="101">
        <f>$C5*勿动!AG5</f>
        <v>0</v>
      </c>
      <c r="AB5" s="101">
        <f>$C5*勿动!AH5</f>
        <v>0</v>
      </c>
      <c r="AC5" s="101">
        <f>$C5*勿动!AI5</f>
        <v>0</v>
      </c>
      <c r="AD5" s="101">
        <f>$C5*勿动!AJ5</f>
        <v>0</v>
      </c>
      <c r="AE5" s="101">
        <f>$C5*勿动!AK5</f>
        <v>0</v>
      </c>
      <c r="AF5" s="101">
        <f>$C5*勿动!AL5</f>
        <v>0</v>
      </c>
      <c r="AG5" s="101">
        <f>$C5*勿动!AM5</f>
        <v>0</v>
      </c>
      <c r="AH5" s="101">
        <f>$C5*勿动!AN5</f>
        <v>0</v>
      </c>
      <c r="AI5" s="101">
        <f>$C5*勿动!AO5</f>
        <v>0</v>
      </c>
      <c r="AJ5" s="101">
        <f>$C5*勿动!AP5</f>
        <v>0</v>
      </c>
      <c r="AK5" s="101">
        <f>$C5*勿动!AQ5</f>
        <v>0</v>
      </c>
      <c r="AL5" s="101">
        <f>$C5*勿动!AR5</f>
        <v>0</v>
      </c>
      <c r="AM5" s="101">
        <f>$C5*勿动!AS5</f>
        <v>0</v>
      </c>
      <c r="AN5" s="101">
        <f>$C5*勿动!AT5</f>
        <v>0</v>
      </c>
    </row>
    <row r="6" spans="1:40" x14ac:dyDescent="0.25">
      <c r="A6" s="74" t="s">
        <v>197</v>
      </c>
      <c r="C6" s="101">
        <f>B6+C7</f>
        <v>2</v>
      </c>
      <c r="D6" s="101">
        <f>$C6*勿动!J6</f>
        <v>0</v>
      </c>
      <c r="E6" s="101">
        <f>$C6*勿动!K6</f>
        <v>0</v>
      </c>
      <c r="F6" s="101">
        <f>$C6*勿动!L6</f>
        <v>0</v>
      </c>
      <c r="G6" s="101">
        <f>$C6*勿动!M6</f>
        <v>0</v>
      </c>
      <c r="H6" s="101">
        <f>$C6*勿动!N6</f>
        <v>0</v>
      </c>
      <c r="I6" s="101">
        <f>$C6*勿动!O6</f>
        <v>0</v>
      </c>
      <c r="J6" s="101">
        <f>$C6*勿动!P6</f>
        <v>0</v>
      </c>
      <c r="K6" s="101">
        <f>$C6*勿动!Q6</f>
        <v>1</v>
      </c>
      <c r="L6" s="101">
        <f>$C6*勿动!R6</f>
        <v>0</v>
      </c>
      <c r="M6" s="101">
        <f>$C6*勿动!S6</f>
        <v>0</v>
      </c>
      <c r="N6" s="101">
        <f>$C6*勿动!T6</f>
        <v>0</v>
      </c>
      <c r="O6" s="101">
        <f>$C6*勿动!U6</f>
        <v>0</v>
      </c>
      <c r="P6" s="101">
        <f>$C6*勿动!V6</f>
        <v>0</v>
      </c>
      <c r="Q6" s="101">
        <f>$C6*勿动!W6</f>
        <v>0</v>
      </c>
      <c r="R6" s="101">
        <f>$C6*勿动!X6</f>
        <v>0</v>
      </c>
      <c r="S6" s="101">
        <f>$C6*勿动!Y6</f>
        <v>0</v>
      </c>
      <c r="T6" s="101">
        <f>$C6*勿动!Z6</f>
        <v>0</v>
      </c>
      <c r="U6" s="101">
        <f>$C6*勿动!AA6</f>
        <v>0</v>
      </c>
      <c r="V6" s="101">
        <f>$C6*勿动!AB6</f>
        <v>0</v>
      </c>
      <c r="W6" s="101">
        <f>$C6*勿动!AC6</f>
        <v>0</v>
      </c>
      <c r="X6" s="101">
        <f>$C6*勿动!AD6</f>
        <v>0</v>
      </c>
      <c r="Y6" s="101">
        <f>$C6*勿动!AE6</f>
        <v>0</v>
      </c>
      <c r="Z6" s="101">
        <f>$C6*勿动!AF6</f>
        <v>0</v>
      </c>
      <c r="AA6" s="101">
        <f>$C6*勿动!AG6</f>
        <v>0</v>
      </c>
      <c r="AB6" s="101">
        <f>$C6*勿动!AH6</f>
        <v>0</v>
      </c>
      <c r="AC6" s="101">
        <f>$C6*勿动!AI6</f>
        <v>0</v>
      </c>
      <c r="AD6" s="101">
        <f>$C6*勿动!AJ6</f>
        <v>0</v>
      </c>
      <c r="AE6" s="101">
        <f>$C6*勿动!AK6</f>
        <v>0</v>
      </c>
      <c r="AF6" s="101">
        <f>$C6*勿动!AL6</f>
        <v>0</v>
      </c>
      <c r="AG6" s="101">
        <f>$C6*勿动!AM6</f>
        <v>0</v>
      </c>
      <c r="AH6" s="101">
        <f>$C6*勿动!AN6</f>
        <v>0</v>
      </c>
      <c r="AI6" s="101">
        <f>$C6*勿动!AO6</f>
        <v>0</v>
      </c>
      <c r="AJ6" s="101">
        <f>$C6*勿动!AP6</f>
        <v>0</v>
      </c>
      <c r="AK6" s="101">
        <f>$C6*勿动!AQ6</f>
        <v>0</v>
      </c>
      <c r="AL6" s="101">
        <f>$C6*勿动!AR6</f>
        <v>0</v>
      </c>
      <c r="AM6" s="101">
        <f>$C6*勿动!AS6</f>
        <v>0</v>
      </c>
      <c r="AN6" s="101">
        <f>$C6*勿动!AT6</f>
        <v>0</v>
      </c>
    </row>
    <row r="7" spans="1:40" x14ac:dyDescent="0.25">
      <c r="A7" s="74" t="s">
        <v>198</v>
      </c>
      <c r="C7" s="101">
        <f>B7+C8*2</f>
        <v>2</v>
      </c>
      <c r="D7" s="101">
        <f>$C7*勿动!J7</f>
        <v>0</v>
      </c>
      <c r="E7" s="101">
        <f>$C7*勿动!K7</f>
        <v>0</v>
      </c>
      <c r="F7" s="101">
        <f>$C7*勿动!L7</f>
        <v>0</v>
      </c>
      <c r="G7" s="101">
        <f>$C7*勿动!M7</f>
        <v>0</v>
      </c>
      <c r="H7" s="101">
        <f>$C7*勿动!N7</f>
        <v>0</v>
      </c>
      <c r="I7" s="101">
        <f>$C7*勿动!O7</f>
        <v>0</v>
      </c>
      <c r="J7" s="101">
        <f>$C7*勿动!P7</f>
        <v>0</v>
      </c>
      <c r="K7" s="101">
        <f>$C7*勿动!Q7</f>
        <v>0</v>
      </c>
      <c r="L7" s="101">
        <f>$C7*勿动!R7</f>
        <v>1</v>
      </c>
      <c r="M7" s="101">
        <f>$C7*勿动!S7</f>
        <v>0</v>
      </c>
      <c r="N7" s="101">
        <f>$C7*勿动!T7</f>
        <v>0</v>
      </c>
      <c r="O7" s="101">
        <f>$C7*勿动!U7</f>
        <v>0</v>
      </c>
      <c r="P7" s="101">
        <f>$C7*勿动!V7</f>
        <v>0</v>
      </c>
      <c r="Q7" s="101">
        <f>$C7*勿动!W7</f>
        <v>0</v>
      </c>
      <c r="R7" s="101">
        <f>$C7*勿动!X7</f>
        <v>0</v>
      </c>
      <c r="S7" s="101">
        <f>$C7*勿动!Y7</f>
        <v>0</v>
      </c>
      <c r="T7" s="101">
        <f>$C7*勿动!Z7</f>
        <v>0</v>
      </c>
      <c r="U7" s="101">
        <f>$C7*勿动!AA7</f>
        <v>0</v>
      </c>
      <c r="V7" s="101">
        <f>$C7*勿动!AB7</f>
        <v>0</v>
      </c>
      <c r="W7" s="101">
        <f>$C7*勿动!AC7</f>
        <v>0</v>
      </c>
      <c r="X7" s="101">
        <f>$C7*勿动!AD7</f>
        <v>0</v>
      </c>
      <c r="Y7" s="101">
        <f>$C7*勿动!AE7</f>
        <v>0</v>
      </c>
      <c r="Z7" s="101">
        <f>$C7*勿动!AF7</f>
        <v>0</v>
      </c>
      <c r="AA7" s="101">
        <f>$C7*勿动!AG7</f>
        <v>0</v>
      </c>
      <c r="AB7" s="101">
        <f>$C7*勿动!AH7</f>
        <v>0</v>
      </c>
      <c r="AC7" s="101">
        <f>$C7*勿动!AI7</f>
        <v>0</v>
      </c>
      <c r="AD7" s="101">
        <f>$C7*勿动!AJ7</f>
        <v>0</v>
      </c>
      <c r="AE7" s="101">
        <f>$C7*勿动!AK7</f>
        <v>0</v>
      </c>
      <c r="AF7" s="101">
        <f>$C7*勿动!AL7</f>
        <v>0</v>
      </c>
      <c r="AG7" s="101">
        <f>$C7*勿动!AM7</f>
        <v>0</v>
      </c>
      <c r="AH7" s="101">
        <f>$C7*勿动!AN7</f>
        <v>0</v>
      </c>
      <c r="AI7" s="101">
        <f>$C7*勿动!AO7</f>
        <v>0</v>
      </c>
      <c r="AJ7" s="101">
        <f>$C7*勿动!AP7</f>
        <v>0</v>
      </c>
      <c r="AK7" s="101">
        <f>$C7*勿动!AQ7</f>
        <v>0</v>
      </c>
      <c r="AL7" s="101">
        <f>$C7*勿动!AR7</f>
        <v>0</v>
      </c>
      <c r="AM7" s="101">
        <f>$C7*勿动!AS7</f>
        <v>0</v>
      </c>
      <c r="AN7" s="101">
        <f>$C7*勿动!AT7</f>
        <v>0</v>
      </c>
    </row>
    <row r="8" spans="1:40" x14ac:dyDescent="0.25">
      <c r="A8" s="74" t="s">
        <v>199</v>
      </c>
      <c r="B8" s="66">
        <v>1</v>
      </c>
      <c r="C8" s="101">
        <f>B8</f>
        <v>1</v>
      </c>
      <c r="D8" s="101">
        <f>$C8*勿动!J8</f>
        <v>0</v>
      </c>
      <c r="E8" s="101">
        <f>$C8*勿动!K8</f>
        <v>0</v>
      </c>
      <c r="F8" s="101">
        <f>$C8*勿动!L8</f>
        <v>0</v>
      </c>
      <c r="G8" s="101">
        <f>$C8*勿动!M8</f>
        <v>0</v>
      </c>
      <c r="H8" s="101">
        <f>$C8*勿动!N8</f>
        <v>0</v>
      </c>
      <c r="I8" s="101">
        <f>$C8*勿动!O8</f>
        <v>0</v>
      </c>
      <c r="J8" s="101">
        <f>$C8*勿动!P8</f>
        <v>0</v>
      </c>
      <c r="K8" s="101">
        <f>$C8*勿动!Q8</f>
        <v>0</v>
      </c>
      <c r="L8" s="101">
        <f>$C8*勿动!R8</f>
        <v>0</v>
      </c>
      <c r="M8" s="101">
        <f>$C8*勿动!S8</f>
        <v>1</v>
      </c>
      <c r="N8" s="101">
        <f>$C8*勿动!T8</f>
        <v>0</v>
      </c>
      <c r="O8" s="101">
        <f>$C8*勿动!U8</f>
        <v>0</v>
      </c>
      <c r="P8" s="101">
        <f>$C8*勿动!V8</f>
        <v>1</v>
      </c>
      <c r="Q8" s="101">
        <f>$C8*勿动!W8</f>
        <v>0</v>
      </c>
      <c r="R8" s="101">
        <f>$C8*勿动!X8</f>
        <v>0</v>
      </c>
      <c r="S8" s="101">
        <f>$C8*勿动!Y8</f>
        <v>0</v>
      </c>
      <c r="T8" s="101">
        <f>$C8*勿动!Z8</f>
        <v>0</v>
      </c>
      <c r="U8" s="101">
        <f>$C8*勿动!AA8</f>
        <v>0</v>
      </c>
      <c r="V8" s="101">
        <f>$C8*勿动!AB8</f>
        <v>0</v>
      </c>
      <c r="W8" s="101">
        <f>$C8*勿动!AC8</f>
        <v>0</v>
      </c>
      <c r="X8" s="101">
        <f>$C8*勿动!AD8</f>
        <v>0</v>
      </c>
      <c r="Y8" s="101">
        <f>$C8*勿动!AE8</f>
        <v>0</v>
      </c>
      <c r="Z8" s="101">
        <f>$C8*勿动!AF8</f>
        <v>0</v>
      </c>
      <c r="AA8" s="101">
        <f>$C8*勿动!AG8</f>
        <v>0</v>
      </c>
      <c r="AB8" s="101">
        <f>$C8*勿动!AH8</f>
        <v>0</v>
      </c>
      <c r="AC8" s="101">
        <f>$C8*勿动!AI8</f>
        <v>0</v>
      </c>
      <c r="AD8" s="101">
        <f>$C8*勿动!AJ8</f>
        <v>0</v>
      </c>
      <c r="AE8" s="101">
        <f>$C8*勿动!AK8</f>
        <v>0</v>
      </c>
      <c r="AF8" s="101">
        <f>$C8*勿动!AL8</f>
        <v>0</v>
      </c>
      <c r="AG8" s="101">
        <f>$C8*勿动!AM8</f>
        <v>0</v>
      </c>
      <c r="AH8" s="101">
        <f>$C8*勿动!AN8</f>
        <v>0</v>
      </c>
      <c r="AI8" s="101">
        <f>$C8*勿动!AO8</f>
        <v>0</v>
      </c>
      <c r="AJ8" s="101">
        <f>$C8*勿动!AP8</f>
        <v>0</v>
      </c>
      <c r="AK8" s="101">
        <f>$C8*勿动!AQ8</f>
        <v>0</v>
      </c>
      <c r="AL8" s="101">
        <f>$C8*勿动!AR8</f>
        <v>0</v>
      </c>
      <c r="AM8" s="101">
        <f>$C8*勿动!AS8</f>
        <v>0</v>
      </c>
      <c r="AN8" s="101">
        <f>$C8*勿动!AT8</f>
        <v>0</v>
      </c>
    </row>
    <row r="9" spans="1:40" x14ac:dyDescent="0.25">
      <c r="A9" s="73" t="s">
        <v>225</v>
      </c>
      <c r="C9" s="101">
        <f>B9+C10</f>
        <v>1</v>
      </c>
      <c r="D9" s="101">
        <f>$C9*勿动!J9</f>
        <v>0</v>
      </c>
      <c r="E9" s="101">
        <f>$C9*勿动!K9</f>
        <v>0</v>
      </c>
      <c r="F9" s="101">
        <f>$C9*勿动!L9</f>
        <v>2</v>
      </c>
      <c r="G9" s="101">
        <f>$C9*勿动!M9</f>
        <v>0</v>
      </c>
      <c r="H9" s="101">
        <f>$C9*勿动!N9</f>
        <v>4</v>
      </c>
      <c r="I9" s="101">
        <f>$C9*勿动!O9</f>
        <v>0</v>
      </c>
      <c r="J9" s="101">
        <f>$C9*勿动!P9</f>
        <v>2</v>
      </c>
      <c r="K9" s="101">
        <f>$C9*勿动!Q9</f>
        <v>0</v>
      </c>
      <c r="L9" s="101">
        <f>$C9*勿动!R9</f>
        <v>0</v>
      </c>
      <c r="M9" s="101">
        <f>$C9*勿动!S9</f>
        <v>0</v>
      </c>
      <c r="N9" s="101">
        <f>$C9*勿动!T9</f>
        <v>0</v>
      </c>
      <c r="O9" s="101">
        <f>$C9*勿动!U9</f>
        <v>4</v>
      </c>
      <c r="P9" s="101">
        <f>$C9*勿动!V9</f>
        <v>0</v>
      </c>
      <c r="Q9" s="101">
        <f>$C9*勿动!W9</f>
        <v>0</v>
      </c>
      <c r="R9" s="101">
        <f>$C9*勿动!X9</f>
        <v>0</v>
      </c>
      <c r="S9" s="101">
        <f>$C9*勿动!Y9</f>
        <v>0</v>
      </c>
      <c r="T9" s="101">
        <f>$C9*勿动!Z9</f>
        <v>0</v>
      </c>
      <c r="U9" s="101">
        <f>$C9*勿动!AA9</f>
        <v>0</v>
      </c>
      <c r="V9" s="101">
        <f>$C9*勿动!AB9</f>
        <v>0</v>
      </c>
      <c r="W9" s="101">
        <f>$C9*勿动!AC9</f>
        <v>0</v>
      </c>
      <c r="X9" s="101">
        <f>$C9*勿动!AD9</f>
        <v>0</v>
      </c>
      <c r="Y9" s="101">
        <f>$C9*勿动!AE9</f>
        <v>0</v>
      </c>
      <c r="Z9" s="101">
        <f>$C9*勿动!AF9</f>
        <v>0</v>
      </c>
      <c r="AA9" s="101">
        <f>$C9*勿动!AG9</f>
        <v>0</v>
      </c>
      <c r="AB9" s="101">
        <f>$C9*勿动!AH9</f>
        <v>0</v>
      </c>
      <c r="AC9" s="101">
        <f>$C9*勿动!AI9</f>
        <v>0</v>
      </c>
      <c r="AD9" s="101">
        <f>$C9*勿动!AJ9</f>
        <v>0</v>
      </c>
      <c r="AE9" s="101">
        <f>$C9*勿动!AK9</f>
        <v>0</v>
      </c>
      <c r="AF9" s="101">
        <f>$C9*勿动!AL9</f>
        <v>0</v>
      </c>
      <c r="AG9" s="101">
        <f>$C9*勿动!AM9</f>
        <v>0</v>
      </c>
      <c r="AH9" s="101">
        <f>$C9*勿动!AN9</f>
        <v>0</v>
      </c>
      <c r="AI9" s="101">
        <f>$C9*勿动!AO9</f>
        <v>0</v>
      </c>
      <c r="AJ9" s="101">
        <f>$C9*勿动!AP9</f>
        <v>0</v>
      </c>
      <c r="AK9" s="101">
        <f>$C9*勿动!AQ9</f>
        <v>0</v>
      </c>
      <c r="AL9" s="101">
        <f>$C9*勿动!AR9</f>
        <v>0</v>
      </c>
      <c r="AM9" s="101">
        <f>$C9*勿动!AS9</f>
        <v>0</v>
      </c>
      <c r="AN9" s="101">
        <f>$C9*勿动!AT9</f>
        <v>0</v>
      </c>
    </row>
    <row r="10" spans="1:40" x14ac:dyDescent="0.25">
      <c r="A10" s="73" t="s">
        <v>226</v>
      </c>
      <c r="C10" s="101">
        <f>B10+C11</f>
        <v>1</v>
      </c>
      <c r="D10" s="101">
        <f>$C10*勿动!J10</f>
        <v>0</v>
      </c>
      <c r="E10" s="101">
        <f>$C10*勿动!K10</f>
        <v>0</v>
      </c>
      <c r="F10" s="101">
        <f>$C10*勿动!L10</f>
        <v>0</v>
      </c>
      <c r="G10" s="101">
        <f>$C10*勿动!M10</f>
        <v>0</v>
      </c>
      <c r="H10" s="101">
        <f>$C10*勿动!N10</f>
        <v>0</v>
      </c>
      <c r="I10" s="101">
        <f>$C10*勿动!O10</f>
        <v>0</v>
      </c>
      <c r="J10" s="101">
        <f>$C10*勿动!P10</f>
        <v>0</v>
      </c>
      <c r="K10" s="101">
        <f>$C10*勿动!Q10</f>
        <v>0</v>
      </c>
      <c r="L10" s="101">
        <f>$C10*勿动!R10</f>
        <v>0</v>
      </c>
      <c r="M10" s="101">
        <f>$C10*勿动!S10</f>
        <v>0</v>
      </c>
      <c r="N10" s="101">
        <f>$C10*勿动!T10</f>
        <v>0</v>
      </c>
      <c r="O10" s="101">
        <f>$C10*勿动!U10</f>
        <v>0</v>
      </c>
      <c r="P10" s="101">
        <f>$C10*勿动!V10</f>
        <v>0</v>
      </c>
      <c r="Q10" s="101">
        <f>$C10*勿动!W10</f>
        <v>0</v>
      </c>
      <c r="R10" s="101">
        <f>$C10*勿动!X10</f>
        <v>0</v>
      </c>
      <c r="S10" s="101">
        <f>$C10*勿动!Y10</f>
        <v>0</v>
      </c>
      <c r="T10" s="101">
        <f>$C10*勿动!Z10</f>
        <v>0</v>
      </c>
      <c r="U10" s="101">
        <f>$C10*勿动!AA10</f>
        <v>0</v>
      </c>
      <c r="V10" s="101">
        <f>$C10*勿动!AB10</f>
        <v>5</v>
      </c>
      <c r="W10" s="101">
        <f>$C10*勿动!AC10</f>
        <v>0</v>
      </c>
      <c r="X10" s="101">
        <f>$C10*勿动!AD10</f>
        <v>0</v>
      </c>
      <c r="Y10" s="101">
        <f>$C10*勿动!AE10</f>
        <v>0</v>
      </c>
      <c r="Z10" s="101">
        <f>$C10*勿动!AF10</f>
        <v>0</v>
      </c>
      <c r="AA10" s="101">
        <f>$C10*勿动!AG10</f>
        <v>0</v>
      </c>
      <c r="AB10" s="101">
        <f>$C10*勿动!AH10</f>
        <v>0</v>
      </c>
      <c r="AC10" s="101">
        <f>$C10*勿动!AI10</f>
        <v>0</v>
      </c>
      <c r="AD10" s="101">
        <f>$C10*勿动!AJ10</f>
        <v>0</v>
      </c>
      <c r="AE10" s="101">
        <f>$C10*勿动!AK10</f>
        <v>0</v>
      </c>
      <c r="AF10" s="101">
        <f>$C10*勿动!AL10</f>
        <v>0</v>
      </c>
      <c r="AG10" s="101">
        <f>$C10*勿动!AM10</f>
        <v>4</v>
      </c>
      <c r="AH10" s="101">
        <f>$C10*勿动!AN10</f>
        <v>0</v>
      </c>
      <c r="AI10" s="101">
        <f>$C10*勿动!AO10</f>
        <v>0</v>
      </c>
      <c r="AJ10" s="101">
        <f>$C10*勿动!AP10</f>
        <v>0</v>
      </c>
      <c r="AK10" s="101">
        <f>$C10*勿动!AQ10</f>
        <v>0</v>
      </c>
      <c r="AL10" s="101">
        <f>$C10*勿动!AR10</f>
        <v>0</v>
      </c>
      <c r="AM10" s="101">
        <f>$C10*勿动!AS10</f>
        <v>15</v>
      </c>
      <c r="AN10" s="101">
        <f>$C10*勿动!AT10</f>
        <v>0</v>
      </c>
    </row>
    <row r="11" spans="1:40" x14ac:dyDescent="0.25">
      <c r="A11" s="73" t="s">
        <v>229</v>
      </c>
      <c r="B11" s="66">
        <v>1</v>
      </c>
      <c r="C11" s="101">
        <f>B11</f>
        <v>1</v>
      </c>
      <c r="D11" s="101">
        <f>$C11*勿动!J11</f>
        <v>0</v>
      </c>
      <c r="E11" s="101">
        <f>$C11*勿动!K11</f>
        <v>0</v>
      </c>
      <c r="F11" s="101">
        <f>$C11*勿动!L11</f>
        <v>0</v>
      </c>
      <c r="G11" s="101">
        <f>$C11*勿动!M11</f>
        <v>0</v>
      </c>
      <c r="H11" s="101">
        <f>$C11*勿动!N11</f>
        <v>0</v>
      </c>
      <c r="I11" s="101">
        <f>$C11*勿动!O11</f>
        <v>0</v>
      </c>
      <c r="J11" s="101">
        <f>$C11*勿动!P11</f>
        <v>0</v>
      </c>
      <c r="K11" s="101">
        <f>$C11*勿动!Q11</f>
        <v>0</v>
      </c>
      <c r="L11" s="101">
        <f>$C11*勿动!R11</f>
        <v>0</v>
      </c>
      <c r="M11" s="101">
        <f>$C11*勿动!S11</f>
        <v>0</v>
      </c>
      <c r="N11" s="101">
        <f>$C11*勿动!T11</f>
        <v>0</v>
      </c>
      <c r="O11" s="101">
        <f>$C11*勿动!U11</f>
        <v>0</v>
      </c>
      <c r="P11" s="101">
        <f>$C11*勿动!V11</f>
        <v>4</v>
      </c>
      <c r="Q11" s="101">
        <f>$C11*勿动!W11</f>
        <v>0</v>
      </c>
      <c r="R11" s="101">
        <f>$C11*勿动!X11</f>
        <v>0</v>
      </c>
      <c r="S11" s="101">
        <f>$C11*勿动!Y11</f>
        <v>0</v>
      </c>
      <c r="T11" s="101">
        <f>$C11*勿动!Z11</f>
        <v>0</v>
      </c>
      <c r="U11" s="101">
        <f>$C11*勿动!AA11</f>
        <v>0</v>
      </c>
      <c r="V11" s="101">
        <f>$C11*勿动!AB11</f>
        <v>0</v>
      </c>
      <c r="W11" s="101">
        <f>$C11*勿动!AC11</f>
        <v>0</v>
      </c>
      <c r="X11" s="101">
        <f>$C11*勿动!AD11</f>
        <v>0</v>
      </c>
      <c r="Y11" s="101">
        <f>$C11*勿动!AE11</f>
        <v>0</v>
      </c>
      <c r="Z11" s="101">
        <f>$C11*勿动!AF11</f>
        <v>0</v>
      </c>
      <c r="AA11" s="101">
        <f>$C11*勿动!AG11</f>
        <v>0</v>
      </c>
      <c r="AB11" s="101">
        <f>$C11*勿动!AH11</f>
        <v>0</v>
      </c>
      <c r="AC11" s="101">
        <f>$C11*勿动!AI11</f>
        <v>0</v>
      </c>
      <c r="AD11" s="101">
        <f>$C11*勿动!AJ11</f>
        <v>0</v>
      </c>
      <c r="AE11" s="101">
        <f>$C11*勿动!AK11</f>
        <v>0</v>
      </c>
      <c r="AF11" s="101">
        <f>$C11*勿动!AL11</f>
        <v>0</v>
      </c>
      <c r="AG11" s="101">
        <f>$C11*勿动!AM11</f>
        <v>0</v>
      </c>
      <c r="AH11" s="101">
        <f>$C11*勿动!AN11</f>
        <v>0</v>
      </c>
      <c r="AI11" s="101">
        <f>$C11*勿动!AO11</f>
        <v>0</v>
      </c>
      <c r="AJ11" s="101">
        <f>$C11*勿动!AP11</f>
        <v>0</v>
      </c>
      <c r="AK11" s="101">
        <f>$C11*勿动!AQ11</f>
        <v>0</v>
      </c>
      <c r="AL11" s="101">
        <f>$C11*勿动!AR11</f>
        <v>0</v>
      </c>
      <c r="AM11" s="101">
        <f>$C11*勿动!AS11</f>
        <v>0</v>
      </c>
      <c r="AN11" s="101">
        <f>$C11*勿动!AT11</f>
        <v>40</v>
      </c>
    </row>
    <row r="12" spans="1:40" x14ac:dyDescent="0.25">
      <c r="A12" s="73" t="s">
        <v>230</v>
      </c>
      <c r="C12" s="101">
        <f>B12+C13</f>
        <v>1</v>
      </c>
      <c r="D12" s="101">
        <f>$C12*勿动!J12</f>
        <v>0</v>
      </c>
      <c r="E12" s="101">
        <f>$C12*勿动!K12</f>
        <v>0</v>
      </c>
      <c r="F12" s="101">
        <f>$C12*勿动!L12</f>
        <v>0</v>
      </c>
      <c r="G12" s="101">
        <f>$C12*勿动!M12</f>
        <v>0</v>
      </c>
      <c r="H12" s="101">
        <f>$C12*勿动!N12</f>
        <v>4</v>
      </c>
      <c r="I12" s="101">
        <f>$C12*勿动!O12</f>
        <v>8</v>
      </c>
      <c r="J12" s="101">
        <f>$C12*勿动!P12</f>
        <v>0</v>
      </c>
      <c r="K12" s="101">
        <f>$C12*勿动!Q12</f>
        <v>0</v>
      </c>
      <c r="L12" s="101">
        <f>$C12*勿动!R12</f>
        <v>0</v>
      </c>
      <c r="M12" s="101">
        <f>$C12*勿动!S12</f>
        <v>0</v>
      </c>
      <c r="N12" s="101">
        <f>$C12*勿动!T12</f>
        <v>0</v>
      </c>
      <c r="O12" s="101">
        <f>$C12*勿动!U12</f>
        <v>4</v>
      </c>
      <c r="P12" s="101">
        <f>$C12*勿动!V12</f>
        <v>0</v>
      </c>
      <c r="Q12" s="101">
        <f>$C12*勿动!W12</f>
        <v>0</v>
      </c>
      <c r="R12" s="101">
        <f>$C12*勿动!X12</f>
        <v>0</v>
      </c>
      <c r="S12" s="101">
        <f>$C12*勿动!Y12</f>
        <v>0</v>
      </c>
      <c r="T12" s="101">
        <f>$C12*勿动!Z12</f>
        <v>0</v>
      </c>
      <c r="U12" s="101">
        <f>$C12*勿动!AA12</f>
        <v>0</v>
      </c>
      <c r="V12" s="101">
        <f>$C12*勿动!AB12</f>
        <v>0</v>
      </c>
      <c r="W12" s="101">
        <f>$C12*勿动!AC12</f>
        <v>0</v>
      </c>
      <c r="X12" s="101">
        <f>$C12*勿动!AD12</f>
        <v>0</v>
      </c>
      <c r="Y12" s="101">
        <f>$C12*勿动!AE12</f>
        <v>0</v>
      </c>
      <c r="Z12" s="101">
        <f>$C12*勿动!AF12</f>
        <v>0</v>
      </c>
      <c r="AA12" s="101">
        <f>$C12*勿动!AG12</f>
        <v>0</v>
      </c>
      <c r="AB12" s="101">
        <f>$C12*勿动!AH12</f>
        <v>0</v>
      </c>
      <c r="AC12" s="101">
        <f>$C12*勿动!AI12</f>
        <v>0</v>
      </c>
      <c r="AD12" s="101">
        <f>$C12*勿动!AJ12</f>
        <v>0</v>
      </c>
      <c r="AE12" s="101">
        <f>$C12*勿动!AK12</f>
        <v>0</v>
      </c>
      <c r="AF12" s="101">
        <f>$C12*勿动!AL12</f>
        <v>0</v>
      </c>
      <c r="AG12" s="101">
        <f>$C12*勿动!AM12</f>
        <v>0</v>
      </c>
      <c r="AH12" s="101">
        <f>$C12*勿动!AN12</f>
        <v>0</v>
      </c>
      <c r="AI12" s="101">
        <f>$C12*勿动!AO12</f>
        <v>0</v>
      </c>
      <c r="AJ12" s="101">
        <f>$C12*勿动!AP12</f>
        <v>0</v>
      </c>
      <c r="AK12" s="101">
        <f>$C12*勿动!AQ12</f>
        <v>0</v>
      </c>
      <c r="AL12" s="101">
        <f>$C12*勿动!AR12</f>
        <v>0</v>
      </c>
      <c r="AM12" s="101">
        <f>$C12*勿动!AS12</f>
        <v>0</v>
      </c>
      <c r="AN12" s="101">
        <f>$C12*勿动!AT12</f>
        <v>0</v>
      </c>
    </row>
    <row r="13" spans="1:40" x14ac:dyDescent="0.25">
      <c r="A13" s="73" t="s">
        <v>231</v>
      </c>
      <c r="C13" s="101">
        <f>B13+C14</f>
        <v>1</v>
      </c>
      <c r="D13" s="101">
        <f>$C13*勿动!J13</f>
        <v>0</v>
      </c>
      <c r="E13" s="101">
        <f>$C13*勿动!K13</f>
        <v>0</v>
      </c>
      <c r="F13" s="101">
        <f>$C13*勿动!L13</f>
        <v>0</v>
      </c>
      <c r="G13" s="101">
        <f>$C13*勿动!M13</f>
        <v>0</v>
      </c>
      <c r="H13" s="101">
        <f>$C13*勿动!N13</f>
        <v>0</v>
      </c>
      <c r="I13" s="101">
        <f>$C13*勿动!O13</f>
        <v>0</v>
      </c>
      <c r="J13" s="101">
        <f>$C13*勿动!P13</f>
        <v>0</v>
      </c>
      <c r="K13" s="101">
        <f>$C13*勿动!Q13</f>
        <v>0</v>
      </c>
      <c r="L13" s="101">
        <f>$C13*勿动!R13</f>
        <v>0</v>
      </c>
      <c r="M13" s="101">
        <f>$C13*勿动!S13</f>
        <v>0</v>
      </c>
      <c r="N13" s="101">
        <f>$C13*勿动!T13</f>
        <v>0</v>
      </c>
      <c r="O13" s="101">
        <f>$C13*勿动!U13</f>
        <v>0</v>
      </c>
      <c r="P13" s="101">
        <f>$C13*勿动!V13</f>
        <v>4</v>
      </c>
      <c r="Q13" s="101">
        <f>$C13*勿动!W13</f>
        <v>0</v>
      </c>
      <c r="R13" s="101">
        <f>$C13*勿动!X13</f>
        <v>0</v>
      </c>
      <c r="S13" s="101">
        <f>$C13*勿动!Y13</f>
        <v>0</v>
      </c>
      <c r="T13" s="101">
        <f>$C13*勿动!Z13</f>
        <v>0</v>
      </c>
      <c r="U13" s="101">
        <f>$C13*勿动!AA13</f>
        <v>0</v>
      </c>
      <c r="V13" s="101">
        <f>$C13*勿动!AB13</f>
        <v>0</v>
      </c>
      <c r="W13" s="101">
        <f>$C13*勿动!AC13</f>
        <v>0</v>
      </c>
      <c r="X13" s="101">
        <f>$C13*勿动!AD13</f>
        <v>0</v>
      </c>
      <c r="Y13" s="101">
        <f>$C13*勿动!AE13</f>
        <v>0</v>
      </c>
      <c r="Z13" s="101">
        <f>$C13*勿动!AF13</f>
        <v>0</v>
      </c>
      <c r="AA13" s="101">
        <f>$C13*勿动!AG13</f>
        <v>0</v>
      </c>
      <c r="AB13" s="101">
        <f>$C13*勿动!AH13</f>
        <v>0</v>
      </c>
      <c r="AC13" s="101">
        <f>$C13*勿动!AI13</f>
        <v>0</v>
      </c>
      <c r="AD13" s="101">
        <f>$C13*勿动!AJ13</f>
        <v>8</v>
      </c>
      <c r="AE13" s="101">
        <f>$C13*勿动!AK13</f>
        <v>0</v>
      </c>
      <c r="AF13" s="101">
        <f>$C13*勿动!AL13</f>
        <v>0</v>
      </c>
      <c r="AG13" s="101">
        <f>$C13*勿动!AM13</f>
        <v>0</v>
      </c>
      <c r="AH13" s="101">
        <f>$C13*勿动!AN13</f>
        <v>0</v>
      </c>
      <c r="AI13" s="101">
        <f>$C13*勿动!AO13</f>
        <v>0</v>
      </c>
      <c r="AJ13" s="101">
        <f>$C13*勿动!AP13</f>
        <v>0</v>
      </c>
      <c r="AK13" s="101">
        <f>$C13*勿动!AQ13</f>
        <v>0</v>
      </c>
      <c r="AL13" s="101">
        <f>$C13*勿动!AR13</f>
        <v>0</v>
      </c>
      <c r="AM13" s="101">
        <f>$C13*勿动!AS13</f>
        <v>0</v>
      </c>
      <c r="AN13" s="101">
        <f>$C13*勿动!AT13</f>
        <v>0</v>
      </c>
    </row>
    <row r="14" spans="1:40" x14ac:dyDescent="0.25">
      <c r="A14" s="73" t="s">
        <v>232</v>
      </c>
      <c r="C14" s="101">
        <f>B14+C15</f>
        <v>1</v>
      </c>
      <c r="D14" s="101">
        <f>$C14*勿动!J14</f>
        <v>0</v>
      </c>
      <c r="E14" s="101">
        <f>$C14*勿动!K14</f>
        <v>0</v>
      </c>
      <c r="F14" s="101">
        <f>$C14*勿动!L14</f>
        <v>0</v>
      </c>
      <c r="G14" s="101">
        <f>$C14*勿动!M14</f>
        <v>0</v>
      </c>
      <c r="H14" s="101">
        <f>$C14*勿动!N14</f>
        <v>0</v>
      </c>
      <c r="I14" s="101">
        <f>$C14*勿动!O14</f>
        <v>0</v>
      </c>
      <c r="J14" s="101">
        <f>$C14*勿动!P14</f>
        <v>0</v>
      </c>
      <c r="K14" s="101">
        <f>$C14*勿动!Q14</f>
        <v>0</v>
      </c>
      <c r="L14" s="101">
        <f>$C14*勿动!R14</f>
        <v>0</v>
      </c>
      <c r="M14" s="101">
        <f>$C14*勿动!S14</f>
        <v>0</v>
      </c>
      <c r="N14" s="101">
        <f>$C14*勿动!T14</f>
        <v>0</v>
      </c>
      <c r="O14" s="101">
        <f>$C14*勿动!U14</f>
        <v>0</v>
      </c>
      <c r="P14" s="101">
        <f>$C14*勿动!V14</f>
        <v>0</v>
      </c>
      <c r="Q14" s="101">
        <f>$C14*勿动!W14</f>
        <v>2</v>
      </c>
      <c r="R14" s="101">
        <f>$C14*勿动!X14</f>
        <v>0</v>
      </c>
      <c r="S14" s="101">
        <f>$C14*勿动!Y14</f>
        <v>0</v>
      </c>
      <c r="T14" s="101">
        <f>$C14*勿动!Z14</f>
        <v>0</v>
      </c>
      <c r="U14" s="101">
        <f>$C14*勿动!AA14</f>
        <v>0</v>
      </c>
      <c r="V14" s="101">
        <f>$C14*勿动!AB14</f>
        <v>0</v>
      </c>
      <c r="W14" s="101">
        <f>$C14*勿动!AC14</f>
        <v>0</v>
      </c>
      <c r="X14" s="101">
        <f>$C14*勿动!AD14</f>
        <v>0</v>
      </c>
      <c r="Y14" s="101">
        <f>$C14*勿动!AE14</f>
        <v>0</v>
      </c>
      <c r="Z14" s="101">
        <f>$C14*勿动!AF14</f>
        <v>0</v>
      </c>
      <c r="AA14" s="101">
        <f>$C14*勿动!AG14</f>
        <v>0</v>
      </c>
      <c r="AB14" s="101">
        <f>$C14*勿动!AH14</f>
        <v>0</v>
      </c>
      <c r="AC14" s="101">
        <f>$C14*勿动!AI14</f>
        <v>0</v>
      </c>
      <c r="AD14" s="101">
        <f>$C14*勿动!AJ14</f>
        <v>0</v>
      </c>
      <c r="AE14" s="101">
        <f>$C14*勿动!AK14</f>
        <v>0</v>
      </c>
      <c r="AF14" s="101">
        <f>$C14*勿动!AL14</f>
        <v>8</v>
      </c>
      <c r="AG14" s="101">
        <f>$C14*勿动!AM14</f>
        <v>0</v>
      </c>
      <c r="AH14" s="101">
        <f>$C14*勿动!AN14</f>
        <v>0</v>
      </c>
      <c r="AI14" s="101">
        <f>$C14*勿动!AO14</f>
        <v>0</v>
      </c>
      <c r="AJ14" s="101">
        <f>$C14*勿动!AP14</f>
        <v>0</v>
      </c>
      <c r="AK14" s="101">
        <f>$C14*勿动!AQ14</f>
        <v>0</v>
      </c>
      <c r="AL14" s="101">
        <f>$C14*勿动!AR14</f>
        <v>0</v>
      </c>
      <c r="AM14" s="101">
        <f>$C14*勿动!AS14</f>
        <v>0</v>
      </c>
      <c r="AN14" s="101">
        <f>$C14*勿动!AT14</f>
        <v>0</v>
      </c>
    </row>
    <row r="15" spans="1:40" x14ac:dyDescent="0.25">
      <c r="A15" s="73" t="s">
        <v>234</v>
      </c>
      <c r="B15" s="66">
        <v>1</v>
      </c>
      <c r="C15" s="101">
        <f>B15</f>
        <v>1</v>
      </c>
      <c r="D15" s="101">
        <f>$C15*勿动!J15</f>
        <v>0</v>
      </c>
      <c r="E15" s="101">
        <f>$C15*勿动!K15</f>
        <v>0</v>
      </c>
      <c r="F15" s="101">
        <f>$C15*勿动!L15</f>
        <v>0</v>
      </c>
      <c r="G15" s="101">
        <f>$C15*勿动!M15</f>
        <v>0</v>
      </c>
      <c r="H15" s="101">
        <f>$C15*勿动!N15</f>
        <v>0</v>
      </c>
      <c r="I15" s="101">
        <f>$C15*勿动!O15</f>
        <v>0</v>
      </c>
      <c r="J15" s="101">
        <f>$C15*勿动!P15</f>
        <v>0</v>
      </c>
      <c r="K15" s="101">
        <f>$C15*勿动!Q15</f>
        <v>0</v>
      </c>
      <c r="L15" s="101">
        <f>$C15*勿动!R15</f>
        <v>0</v>
      </c>
      <c r="M15" s="101">
        <f>$C15*勿动!S15</f>
        <v>0</v>
      </c>
      <c r="N15" s="101">
        <f>$C15*勿动!T15</f>
        <v>0</v>
      </c>
      <c r="O15" s="101">
        <f>$C15*勿动!U15</f>
        <v>0</v>
      </c>
      <c r="P15" s="101">
        <f>$C15*勿动!V15</f>
        <v>0</v>
      </c>
      <c r="Q15" s="101">
        <f>$C15*勿动!W15</f>
        <v>4</v>
      </c>
      <c r="R15" s="101">
        <f>$C15*勿动!X15</f>
        <v>0</v>
      </c>
      <c r="S15" s="101">
        <f>$C15*勿动!Y15</f>
        <v>0</v>
      </c>
      <c r="T15" s="101">
        <f>$C15*勿动!Z15</f>
        <v>0</v>
      </c>
      <c r="U15" s="101">
        <f>$C15*勿动!AA15</f>
        <v>0</v>
      </c>
      <c r="V15" s="101">
        <f>$C15*勿动!AB15</f>
        <v>0</v>
      </c>
      <c r="W15" s="101">
        <f>$C15*勿动!AC15</f>
        <v>0</v>
      </c>
      <c r="X15" s="101">
        <f>$C15*勿动!AD15</f>
        <v>0</v>
      </c>
      <c r="Y15" s="101">
        <f>$C15*勿动!AE15</f>
        <v>0</v>
      </c>
      <c r="Z15" s="101">
        <f>$C15*勿动!AF15</f>
        <v>0</v>
      </c>
      <c r="AA15" s="101">
        <f>$C15*勿动!AG15</f>
        <v>0</v>
      </c>
      <c r="AB15" s="101">
        <f>$C15*勿动!AH15</f>
        <v>0</v>
      </c>
      <c r="AC15" s="101">
        <f>$C15*勿动!AI15</f>
        <v>0</v>
      </c>
      <c r="AD15" s="101">
        <f>$C15*勿动!AJ15</f>
        <v>0</v>
      </c>
      <c r="AE15" s="101">
        <f>$C15*勿动!AK15</f>
        <v>0</v>
      </c>
      <c r="AF15" s="101">
        <f>$C15*勿动!AL15</f>
        <v>0</v>
      </c>
      <c r="AG15" s="101">
        <f>$C15*勿动!AM15</f>
        <v>0</v>
      </c>
      <c r="AH15" s="101">
        <f>$C15*勿动!AN15</f>
        <v>0</v>
      </c>
      <c r="AI15" s="101">
        <f>$C15*勿动!AO15</f>
        <v>0</v>
      </c>
      <c r="AJ15" s="101">
        <f>$C15*勿动!AP15</f>
        <v>0</v>
      </c>
      <c r="AK15" s="101">
        <f>$C15*勿动!AQ15</f>
        <v>0</v>
      </c>
      <c r="AL15" s="101">
        <f>$C15*勿动!AR15</f>
        <v>0</v>
      </c>
      <c r="AM15" s="101">
        <f>$C15*勿动!AS15</f>
        <v>0</v>
      </c>
      <c r="AN15" s="101">
        <f>$C15*勿动!AT15</f>
        <v>40</v>
      </c>
    </row>
    <row r="16" spans="1:40" x14ac:dyDescent="0.25">
      <c r="A16" s="73" t="s">
        <v>235</v>
      </c>
      <c r="C16" s="101">
        <f>B16+C17</f>
        <v>1</v>
      </c>
      <c r="D16" s="101">
        <f>$C16*勿动!J16</f>
        <v>0</v>
      </c>
      <c r="E16" s="101">
        <f>$C16*勿动!K16</f>
        <v>4</v>
      </c>
      <c r="F16" s="101">
        <f>$C16*勿动!L16</f>
        <v>0</v>
      </c>
      <c r="G16" s="101">
        <f>$C16*勿动!M16</f>
        <v>0</v>
      </c>
      <c r="H16" s="101">
        <f>$C16*勿动!N16</f>
        <v>8</v>
      </c>
      <c r="I16" s="101">
        <f>$C16*勿动!O16</f>
        <v>0</v>
      </c>
      <c r="J16" s="101">
        <f>$C16*勿动!P16</f>
        <v>4</v>
      </c>
      <c r="K16" s="101">
        <f>$C16*勿动!Q16</f>
        <v>0</v>
      </c>
      <c r="L16" s="101">
        <f>$C16*勿动!R16</f>
        <v>0</v>
      </c>
      <c r="M16" s="101">
        <f>$C16*勿动!S16</f>
        <v>0</v>
      </c>
      <c r="N16" s="101">
        <f>$C16*勿动!T16</f>
        <v>0</v>
      </c>
      <c r="O16" s="101">
        <f>$C16*勿动!U16</f>
        <v>4</v>
      </c>
      <c r="P16" s="101">
        <f>$C16*勿动!V16</f>
        <v>0</v>
      </c>
      <c r="Q16" s="101">
        <f>$C16*勿动!W16</f>
        <v>0</v>
      </c>
      <c r="R16" s="101">
        <f>$C16*勿动!X16</f>
        <v>0</v>
      </c>
      <c r="S16" s="101">
        <f>$C16*勿动!Y16</f>
        <v>0</v>
      </c>
      <c r="T16" s="101">
        <f>$C16*勿动!Z16</f>
        <v>0</v>
      </c>
      <c r="U16" s="101">
        <f>$C16*勿动!AA16</f>
        <v>0</v>
      </c>
      <c r="V16" s="101">
        <f>$C16*勿动!AB16</f>
        <v>0</v>
      </c>
      <c r="W16" s="101">
        <f>$C16*勿动!AC16</f>
        <v>0</v>
      </c>
      <c r="X16" s="101">
        <f>$C16*勿动!AD16</f>
        <v>0</v>
      </c>
      <c r="Y16" s="101">
        <f>$C16*勿动!AE16</f>
        <v>0</v>
      </c>
      <c r="Z16" s="101">
        <f>$C16*勿动!AF16</f>
        <v>0</v>
      </c>
      <c r="AA16" s="101">
        <f>$C16*勿动!AG16</f>
        <v>0</v>
      </c>
      <c r="AB16" s="101">
        <f>$C16*勿动!AH16</f>
        <v>0</v>
      </c>
      <c r="AC16" s="101">
        <f>$C16*勿动!AI16</f>
        <v>0</v>
      </c>
      <c r="AD16" s="101">
        <f>$C16*勿动!AJ16</f>
        <v>0</v>
      </c>
      <c r="AE16" s="101">
        <f>$C16*勿动!AK16</f>
        <v>0</v>
      </c>
      <c r="AF16" s="101">
        <f>$C16*勿动!AL16</f>
        <v>0</v>
      </c>
      <c r="AG16" s="101">
        <f>$C16*勿动!AM16</f>
        <v>0</v>
      </c>
      <c r="AH16" s="101">
        <f>$C16*勿动!AN16</f>
        <v>0</v>
      </c>
      <c r="AI16" s="101">
        <f>$C16*勿动!AO16</f>
        <v>0</v>
      </c>
      <c r="AJ16" s="101">
        <f>$C16*勿动!AP16</f>
        <v>0</v>
      </c>
      <c r="AK16" s="101">
        <f>$C16*勿动!AQ16</f>
        <v>0</v>
      </c>
      <c r="AL16" s="101">
        <f>$C16*勿动!AR16</f>
        <v>0</v>
      </c>
      <c r="AM16" s="101">
        <f>$C16*勿动!AS16</f>
        <v>0</v>
      </c>
      <c r="AN16" s="101">
        <f>$C16*勿动!AT16</f>
        <v>0</v>
      </c>
    </row>
    <row r="17" spans="1:40" x14ac:dyDescent="0.25">
      <c r="A17" s="73" t="s">
        <v>236</v>
      </c>
      <c r="B17" s="66">
        <v>1</v>
      </c>
      <c r="C17" s="101">
        <f>B17</f>
        <v>1</v>
      </c>
      <c r="D17" s="101">
        <f>$C17*勿动!J17</f>
        <v>0</v>
      </c>
      <c r="E17" s="101">
        <f>$C17*勿动!K17</f>
        <v>0</v>
      </c>
      <c r="F17" s="101">
        <f>$C17*勿动!L17</f>
        <v>0</v>
      </c>
      <c r="G17" s="101">
        <f>$C17*勿动!M17</f>
        <v>0</v>
      </c>
      <c r="H17" s="101">
        <f>$C17*勿动!N17</f>
        <v>0</v>
      </c>
      <c r="I17" s="101">
        <f>$C17*勿动!O17</f>
        <v>0</v>
      </c>
      <c r="J17" s="101">
        <f>$C17*勿动!P17</f>
        <v>0</v>
      </c>
      <c r="K17" s="101">
        <f>$C17*勿动!Q17</f>
        <v>0</v>
      </c>
      <c r="L17" s="101">
        <f>$C17*勿动!R17</f>
        <v>0</v>
      </c>
      <c r="M17" s="101">
        <f>$C17*勿动!S17</f>
        <v>0</v>
      </c>
      <c r="N17" s="101">
        <f>$C17*勿动!T17</f>
        <v>0</v>
      </c>
      <c r="O17" s="101">
        <f>$C17*勿动!U17</f>
        <v>0</v>
      </c>
      <c r="P17" s="101">
        <f>$C17*勿动!V17</f>
        <v>0</v>
      </c>
      <c r="Q17" s="101">
        <f>$C17*勿动!W17</f>
        <v>4</v>
      </c>
      <c r="R17" s="101">
        <f>$C17*勿动!X17</f>
        <v>0</v>
      </c>
      <c r="S17" s="101">
        <f>$C17*勿动!Y17</f>
        <v>0</v>
      </c>
      <c r="T17" s="101">
        <f>$C17*勿动!Z17</f>
        <v>0</v>
      </c>
      <c r="U17" s="101">
        <f>$C17*勿动!AA17</f>
        <v>0</v>
      </c>
      <c r="V17" s="101">
        <f>$C17*勿动!AB17</f>
        <v>0</v>
      </c>
      <c r="W17" s="101">
        <f>$C17*勿动!AC17</f>
        <v>0</v>
      </c>
      <c r="X17" s="101">
        <f>$C17*勿动!AD17</f>
        <v>0</v>
      </c>
      <c r="Y17" s="101">
        <f>$C17*勿动!AE17</f>
        <v>0</v>
      </c>
      <c r="Z17" s="101">
        <f>$C17*勿动!AF17</f>
        <v>0</v>
      </c>
      <c r="AA17" s="101">
        <f>$C17*勿动!AG17</f>
        <v>0</v>
      </c>
      <c r="AB17" s="101">
        <f>$C17*勿动!AH17</f>
        <v>0</v>
      </c>
      <c r="AC17" s="101">
        <f>$C17*勿动!AI17</f>
        <v>0</v>
      </c>
      <c r="AD17" s="101">
        <f>$C17*勿动!AJ17</f>
        <v>0</v>
      </c>
      <c r="AE17" s="101">
        <f>$C17*勿动!AK17</f>
        <v>0</v>
      </c>
      <c r="AF17" s="101">
        <f>$C17*勿动!AL17</f>
        <v>0</v>
      </c>
      <c r="AG17" s="101">
        <f>$C17*勿动!AM17</f>
        <v>0</v>
      </c>
      <c r="AH17" s="101">
        <f>$C17*勿动!AN17</f>
        <v>0</v>
      </c>
      <c r="AI17" s="101">
        <f>$C17*勿动!AO17</f>
        <v>0</v>
      </c>
      <c r="AJ17" s="101">
        <f>$C17*勿动!AP17</f>
        <v>0</v>
      </c>
      <c r="AK17" s="101">
        <f>$C17*勿动!AQ17</f>
        <v>0</v>
      </c>
      <c r="AL17" s="101">
        <f>$C17*勿动!AR17</f>
        <v>0</v>
      </c>
      <c r="AM17" s="101">
        <f>$C17*勿动!AS17</f>
        <v>0</v>
      </c>
      <c r="AN17" s="101">
        <f>$C17*勿动!AT17</f>
        <v>30</v>
      </c>
    </row>
    <row r="18" spans="1:40" x14ac:dyDescent="0.25">
      <c r="A18" s="73" t="s">
        <v>218</v>
      </c>
      <c r="B18" s="66">
        <v>1</v>
      </c>
      <c r="C18" s="101">
        <f>B18</f>
        <v>1</v>
      </c>
      <c r="D18" s="101">
        <f>$C18*勿动!J18</f>
        <v>0</v>
      </c>
      <c r="E18" s="101">
        <f>$C18*勿动!K18</f>
        <v>0</v>
      </c>
      <c r="F18" s="101">
        <f>$C18*勿动!L18</f>
        <v>10</v>
      </c>
      <c r="G18" s="101">
        <f>$C18*勿动!M18</f>
        <v>10</v>
      </c>
      <c r="H18" s="101">
        <f>$C18*勿动!N18</f>
        <v>0</v>
      </c>
      <c r="I18" s="101">
        <f>$C18*勿动!O18</f>
        <v>0</v>
      </c>
      <c r="J18" s="101">
        <f>$C18*勿动!P18</f>
        <v>0</v>
      </c>
      <c r="K18" s="101">
        <f>$C18*勿动!Q18</f>
        <v>0</v>
      </c>
      <c r="L18" s="101">
        <f>$C18*勿动!R18</f>
        <v>0</v>
      </c>
      <c r="M18" s="101">
        <f>$C18*勿动!S18</f>
        <v>0</v>
      </c>
      <c r="N18" s="101">
        <f>$C18*勿动!T18</f>
        <v>0</v>
      </c>
      <c r="O18" s="101">
        <f>$C18*勿动!U18</f>
        <v>6</v>
      </c>
      <c r="P18" s="101">
        <f>$C18*勿动!V18</f>
        <v>0</v>
      </c>
      <c r="Q18" s="101">
        <f>$C18*勿动!W18</f>
        <v>0</v>
      </c>
      <c r="R18" s="101">
        <f>$C18*勿动!X18</f>
        <v>6</v>
      </c>
      <c r="S18" s="101">
        <f>$C18*勿动!Y18</f>
        <v>0</v>
      </c>
      <c r="T18" s="101">
        <f>$C18*勿动!Z18</f>
        <v>0</v>
      </c>
      <c r="U18" s="101">
        <f>$C18*勿动!AA18</f>
        <v>0</v>
      </c>
      <c r="V18" s="101">
        <f>$C18*勿动!AB18</f>
        <v>0</v>
      </c>
      <c r="W18" s="101">
        <f>$C18*勿动!AC18</f>
        <v>0</v>
      </c>
      <c r="X18" s="101">
        <f>$C18*勿动!AD18</f>
        <v>0</v>
      </c>
      <c r="Y18" s="101">
        <f>$C18*勿动!AE18</f>
        <v>0</v>
      </c>
      <c r="Z18" s="101">
        <f>$C18*勿动!AF18</f>
        <v>0</v>
      </c>
      <c r="AA18" s="101">
        <f>$C18*勿动!AG18</f>
        <v>0</v>
      </c>
      <c r="AB18" s="101">
        <f>$C18*勿动!AH18</f>
        <v>0</v>
      </c>
      <c r="AC18" s="101">
        <f>$C18*勿动!AI18</f>
        <v>0</v>
      </c>
      <c r="AD18" s="101">
        <f>$C18*勿动!AJ18</f>
        <v>0</v>
      </c>
      <c r="AE18" s="101">
        <f>$C18*勿动!AK18</f>
        <v>0</v>
      </c>
      <c r="AF18" s="101">
        <f>$C18*勿动!AL18</f>
        <v>0</v>
      </c>
      <c r="AG18" s="101">
        <f>$C18*勿动!AM18</f>
        <v>0</v>
      </c>
      <c r="AH18" s="101">
        <f>$C18*勿动!AN18</f>
        <v>0</v>
      </c>
      <c r="AI18" s="101">
        <f>$C18*勿动!AO18</f>
        <v>0</v>
      </c>
      <c r="AJ18" s="101">
        <f>$C18*勿动!AP18</f>
        <v>0</v>
      </c>
      <c r="AK18" s="101">
        <f>$C18*勿动!AQ18</f>
        <v>0</v>
      </c>
      <c r="AL18" s="101">
        <f>$C18*勿动!AR18</f>
        <v>0</v>
      </c>
      <c r="AM18" s="101">
        <f>$C18*勿动!AS18</f>
        <v>0</v>
      </c>
      <c r="AN18" s="101">
        <f>$C18*勿动!AT18</f>
        <v>0</v>
      </c>
    </row>
    <row r="19" spans="1:40" x14ac:dyDescent="0.25">
      <c r="A19" s="73" t="s">
        <v>219</v>
      </c>
      <c r="B19" s="66">
        <v>1</v>
      </c>
      <c r="C19" s="101">
        <f>B19</f>
        <v>1</v>
      </c>
      <c r="D19" s="101">
        <f>$C19*勿动!J19</f>
        <v>0</v>
      </c>
      <c r="E19" s="101">
        <f>$C19*勿动!K19</f>
        <v>4</v>
      </c>
      <c r="F19" s="101">
        <f>$C19*勿动!L19</f>
        <v>4</v>
      </c>
      <c r="G19" s="101">
        <f>$C19*勿动!M19</f>
        <v>8</v>
      </c>
      <c r="H19" s="101">
        <f>$C19*勿动!N19</f>
        <v>0</v>
      </c>
      <c r="I19" s="101">
        <f>$C19*勿动!O19</f>
        <v>0</v>
      </c>
      <c r="J19" s="101">
        <f>$C19*勿动!P19</f>
        <v>0</v>
      </c>
      <c r="K19" s="101">
        <f>$C19*勿动!Q19</f>
        <v>0</v>
      </c>
      <c r="L19" s="101">
        <f>$C19*勿动!R19</f>
        <v>0</v>
      </c>
      <c r="M19" s="101">
        <f>$C19*勿动!S19</f>
        <v>0</v>
      </c>
      <c r="N19" s="101">
        <f>$C19*勿动!T19</f>
        <v>0</v>
      </c>
      <c r="O19" s="101">
        <f>$C19*勿动!U19</f>
        <v>0</v>
      </c>
      <c r="P19" s="101">
        <f>$C19*勿动!V19</f>
        <v>1</v>
      </c>
      <c r="Q19" s="101">
        <f>$C19*勿动!W19</f>
        <v>0</v>
      </c>
      <c r="R19" s="101">
        <f>$C19*勿动!X19</f>
        <v>0</v>
      </c>
      <c r="S19" s="101">
        <f>$C19*勿动!Y19</f>
        <v>0</v>
      </c>
      <c r="T19" s="101">
        <f>$C19*勿动!Z19</f>
        <v>0</v>
      </c>
      <c r="U19" s="101">
        <f>$C19*勿动!AA19</f>
        <v>0</v>
      </c>
      <c r="V19" s="101">
        <f>$C19*勿动!AB19</f>
        <v>0</v>
      </c>
      <c r="W19" s="101">
        <f>$C19*勿动!AC19</f>
        <v>0</v>
      </c>
      <c r="X19" s="101">
        <f>$C19*勿动!AD19</f>
        <v>0</v>
      </c>
      <c r="Y19" s="101">
        <f>$C19*勿动!AE19</f>
        <v>0</v>
      </c>
      <c r="Z19" s="101">
        <f>$C19*勿动!AF19</f>
        <v>0</v>
      </c>
      <c r="AA19" s="101">
        <f>$C19*勿动!AG19</f>
        <v>0</v>
      </c>
      <c r="AB19" s="101">
        <f>$C19*勿动!AH19</f>
        <v>0</v>
      </c>
      <c r="AC19" s="101">
        <f>$C19*勿动!AI19</f>
        <v>0</v>
      </c>
      <c r="AD19" s="101">
        <f>$C19*勿动!AJ19</f>
        <v>0</v>
      </c>
      <c r="AE19" s="101">
        <f>$C19*勿动!AK19</f>
        <v>0</v>
      </c>
      <c r="AF19" s="101">
        <f>$C19*勿动!AL19</f>
        <v>0</v>
      </c>
      <c r="AG19" s="101">
        <f>$C19*勿动!AM19</f>
        <v>0</v>
      </c>
      <c r="AH19" s="101">
        <f>$C19*勿动!AN19</f>
        <v>0</v>
      </c>
      <c r="AI19" s="101">
        <f>$C19*勿动!AO19</f>
        <v>0</v>
      </c>
      <c r="AJ19" s="101">
        <f>$C19*勿动!AP19</f>
        <v>0</v>
      </c>
      <c r="AK19" s="101">
        <f>$C19*勿动!AQ19</f>
        <v>0</v>
      </c>
      <c r="AL19" s="101">
        <f>$C19*勿动!AR19</f>
        <v>0</v>
      </c>
      <c r="AM19" s="101">
        <f>$C19*勿动!AS19</f>
        <v>0</v>
      </c>
      <c r="AN19" s="101">
        <f>$C19*勿动!AT19</f>
        <v>0</v>
      </c>
    </row>
    <row r="20" spans="1:40" x14ac:dyDescent="0.25">
      <c r="A20" s="73" t="s">
        <v>220</v>
      </c>
      <c r="C20" s="101">
        <f>B20+C21</f>
        <v>1</v>
      </c>
      <c r="D20" s="101">
        <f>$C20*勿动!J20</f>
        <v>0</v>
      </c>
      <c r="E20" s="101">
        <f>$C20*勿动!K20</f>
        <v>8</v>
      </c>
      <c r="F20" s="101">
        <f>$C20*勿动!L20</f>
        <v>8</v>
      </c>
      <c r="G20" s="101">
        <f>$C20*勿动!M20</f>
        <v>8</v>
      </c>
      <c r="H20" s="101">
        <f>$C20*勿动!N20</f>
        <v>0</v>
      </c>
      <c r="I20" s="101">
        <f>$C20*勿动!O20</f>
        <v>0</v>
      </c>
      <c r="J20" s="101">
        <f>$C20*勿动!P20</f>
        <v>0</v>
      </c>
      <c r="K20" s="101">
        <f>$C20*勿动!Q20</f>
        <v>0</v>
      </c>
      <c r="L20" s="101">
        <f>$C20*勿动!R20</f>
        <v>0</v>
      </c>
      <c r="M20" s="101">
        <f>$C20*勿动!S20</f>
        <v>0</v>
      </c>
      <c r="N20" s="101">
        <f>$C20*勿动!T20</f>
        <v>0</v>
      </c>
      <c r="O20" s="101">
        <f>$C20*勿动!U20</f>
        <v>2</v>
      </c>
      <c r="P20" s="101">
        <f>$C20*勿动!V20</f>
        <v>0</v>
      </c>
      <c r="Q20" s="101">
        <f>$C20*勿动!W20</f>
        <v>0</v>
      </c>
      <c r="R20" s="101">
        <f>$C20*勿动!X20</f>
        <v>0</v>
      </c>
      <c r="S20" s="101">
        <f>$C20*勿动!Y20</f>
        <v>0</v>
      </c>
      <c r="T20" s="101">
        <f>$C20*勿动!Z20</f>
        <v>0</v>
      </c>
      <c r="U20" s="101">
        <f>$C20*勿动!AA20</f>
        <v>0</v>
      </c>
      <c r="V20" s="101">
        <f>$C20*勿动!AB20</f>
        <v>0</v>
      </c>
      <c r="W20" s="101">
        <f>$C20*勿动!AC20</f>
        <v>0</v>
      </c>
      <c r="X20" s="101">
        <f>$C20*勿动!AD20</f>
        <v>0</v>
      </c>
      <c r="Y20" s="101">
        <f>$C20*勿动!AE20</f>
        <v>0</v>
      </c>
      <c r="Z20" s="101">
        <f>$C20*勿动!AF20</f>
        <v>0</v>
      </c>
      <c r="AA20" s="101">
        <f>$C20*勿动!AG20</f>
        <v>0</v>
      </c>
      <c r="AB20" s="101">
        <f>$C20*勿动!AH20</f>
        <v>0</v>
      </c>
      <c r="AC20" s="101">
        <f>$C20*勿动!AI20</f>
        <v>0</v>
      </c>
      <c r="AD20" s="101">
        <f>$C20*勿动!AJ20</f>
        <v>0</v>
      </c>
      <c r="AE20" s="101">
        <f>$C20*勿动!AK20</f>
        <v>0</v>
      </c>
      <c r="AF20" s="101">
        <f>$C20*勿动!AL20</f>
        <v>0</v>
      </c>
      <c r="AG20" s="101">
        <f>$C20*勿动!AM20</f>
        <v>0</v>
      </c>
      <c r="AH20" s="101">
        <f>$C20*勿动!AN20</f>
        <v>0</v>
      </c>
      <c r="AI20" s="101">
        <f>$C20*勿动!AO20</f>
        <v>0</v>
      </c>
      <c r="AJ20" s="101">
        <f>$C20*勿动!AP20</f>
        <v>0</v>
      </c>
      <c r="AK20" s="101">
        <f>$C20*勿动!AQ20</f>
        <v>0</v>
      </c>
      <c r="AL20" s="101">
        <f>$C20*勿动!AR20</f>
        <v>0</v>
      </c>
      <c r="AM20" s="101">
        <f>$C20*勿动!AS20</f>
        <v>0</v>
      </c>
      <c r="AN20" s="101">
        <f>$C20*勿动!AT20</f>
        <v>0</v>
      </c>
    </row>
    <row r="21" spans="1:40" x14ac:dyDescent="0.25">
      <c r="A21" s="73" t="s">
        <v>221</v>
      </c>
      <c r="B21" s="66">
        <v>1</v>
      </c>
      <c r="C21" s="101">
        <f t="shared" ref="C21:C26" si="0">B21</f>
        <v>1</v>
      </c>
      <c r="D21" s="101">
        <f>$C21*勿动!J21</f>
        <v>0</v>
      </c>
      <c r="E21" s="101">
        <f>$C21*勿动!K21</f>
        <v>0</v>
      </c>
      <c r="F21" s="101">
        <f>$C21*勿动!L21</f>
        <v>0</v>
      </c>
      <c r="G21" s="101">
        <f>$C21*勿动!M21</f>
        <v>0</v>
      </c>
      <c r="H21" s="101">
        <f>$C21*勿动!N21</f>
        <v>0</v>
      </c>
      <c r="I21" s="101">
        <f>$C21*勿动!O21</f>
        <v>0</v>
      </c>
      <c r="J21" s="101">
        <f>$C21*勿动!P21</f>
        <v>0</v>
      </c>
      <c r="K21" s="101">
        <f>$C21*勿动!Q21</f>
        <v>0</v>
      </c>
      <c r="L21" s="101">
        <f>$C21*勿动!R21</f>
        <v>0</v>
      </c>
      <c r="M21" s="101">
        <f>$C21*勿动!S21</f>
        <v>0</v>
      </c>
      <c r="N21" s="101">
        <f>$C21*勿动!T21</f>
        <v>0</v>
      </c>
      <c r="O21" s="101">
        <f>$C21*勿动!U21</f>
        <v>0</v>
      </c>
      <c r="P21" s="101">
        <f>$C21*勿动!V21</f>
        <v>0</v>
      </c>
      <c r="Q21" s="101">
        <f>$C21*勿动!W21</f>
        <v>3</v>
      </c>
      <c r="R21" s="101">
        <f>$C21*勿动!X21</f>
        <v>0</v>
      </c>
      <c r="S21" s="101">
        <f>$C21*勿动!Y21</f>
        <v>0</v>
      </c>
      <c r="T21" s="101">
        <f>$C21*勿动!Z21</f>
        <v>0</v>
      </c>
      <c r="U21" s="101">
        <f>$C21*勿动!AA21</f>
        <v>0</v>
      </c>
      <c r="V21" s="101">
        <f>$C21*勿动!AB21</f>
        <v>0</v>
      </c>
      <c r="W21" s="101">
        <f>$C21*勿动!AC21</f>
        <v>10</v>
      </c>
      <c r="X21" s="101">
        <f>$C21*勿动!AD21</f>
        <v>0</v>
      </c>
      <c r="Y21" s="101">
        <f>$C21*勿动!AE21</f>
        <v>0</v>
      </c>
      <c r="Z21" s="101">
        <f>$C21*勿动!AF21</f>
        <v>0</v>
      </c>
      <c r="AA21" s="101">
        <f>$C21*勿动!AG21</f>
        <v>0</v>
      </c>
      <c r="AB21" s="101">
        <f>$C21*勿动!AH21</f>
        <v>0</v>
      </c>
      <c r="AC21" s="101">
        <f>$C21*勿动!AI21</f>
        <v>0</v>
      </c>
      <c r="AD21" s="101">
        <f>$C21*勿动!AJ21</f>
        <v>0</v>
      </c>
      <c r="AE21" s="101">
        <f>$C21*勿动!AK21</f>
        <v>0</v>
      </c>
      <c r="AF21" s="101">
        <f>$C21*勿动!AL21</f>
        <v>0</v>
      </c>
      <c r="AG21" s="101">
        <f>$C21*勿动!AM21</f>
        <v>0</v>
      </c>
      <c r="AH21" s="101">
        <f>$C21*勿动!AN21</f>
        <v>0</v>
      </c>
      <c r="AI21" s="101">
        <f>$C21*勿动!AO21</f>
        <v>3</v>
      </c>
      <c r="AJ21" s="101">
        <f>$C21*勿动!AP21</f>
        <v>0</v>
      </c>
      <c r="AK21" s="101">
        <f>$C21*勿动!AQ21</f>
        <v>0</v>
      </c>
      <c r="AL21" s="101">
        <f>$C21*勿动!AR21</f>
        <v>0</v>
      </c>
      <c r="AM21" s="101">
        <f>$C21*勿动!AS21</f>
        <v>0</v>
      </c>
      <c r="AN21" s="101">
        <f>$C21*勿动!AT21</f>
        <v>0</v>
      </c>
    </row>
    <row r="22" spans="1:40" x14ac:dyDescent="0.25">
      <c r="A22" s="73" t="s">
        <v>224</v>
      </c>
      <c r="B22" s="66">
        <v>1</v>
      </c>
      <c r="C22" s="101">
        <f t="shared" si="0"/>
        <v>1</v>
      </c>
      <c r="D22" s="101">
        <f>$C22*勿动!J22</f>
        <v>0</v>
      </c>
      <c r="E22" s="101">
        <f>$C22*勿动!K22</f>
        <v>0</v>
      </c>
      <c r="F22" s="101">
        <f>$C22*勿动!L22</f>
        <v>0</v>
      </c>
      <c r="G22" s="101">
        <f>$C22*勿动!M22</f>
        <v>0</v>
      </c>
      <c r="H22" s="101">
        <f>$C22*勿动!N22</f>
        <v>0</v>
      </c>
      <c r="I22" s="101">
        <f>$C22*勿动!O22</f>
        <v>0</v>
      </c>
      <c r="J22" s="101">
        <f>$C22*勿动!P22</f>
        <v>0</v>
      </c>
      <c r="K22" s="101">
        <f>$C22*勿动!Q22</f>
        <v>0</v>
      </c>
      <c r="L22" s="101">
        <f>$C22*勿动!R22</f>
        <v>0</v>
      </c>
      <c r="M22" s="101">
        <f>$C22*勿动!S22</f>
        <v>25</v>
      </c>
      <c r="N22" s="101">
        <f>$C22*勿动!T22</f>
        <v>0</v>
      </c>
      <c r="O22" s="101">
        <f>$C22*勿动!U22</f>
        <v>0</v>
      </c>
      <c r="P22" s="101">
        <f>$C22*勿动!V22</f>
        <v>8</v>
      </c>
      <c r="Q22" s="101">
        <f>$C22*勿动!W22</f>
        <v>0</v>
      </c>
      <c r="R22" s="101">
        <f>$C22*勿动!X22</f>
        <v>0</v>
      </c>
      <c r="S22" s="101">
        <f>$C22*勿动!Y22</f>
        <v>0</v>
      </c>
      <c r="T22" s="101">
        <f>$C22*勿动!Z22</f>
        <v>0</v>
      </c>
      <c r="U22" s="101">
        <f>$C22*勿动!AA22</f>
        <v>20</v>
      </c>
      <c r="V22" s="101">
        <f>$C22*勿动!AB22</f>
        <v>20</v>
      </c>
      <c r="W22" s="101">
        <f>$C22*勿动!AC22</f>
        <v>0</v>
      </c>
      <c r="X22" s="101">
        <f>$C22*勿动!AD22</f>
        <v>0</v>
      </c>
      <c r="Y22" s="101">
        <f>$C22*勿动!AE22</f>
        <v>0</v>
      </c>
      <c r="Z22" s="101">
        <f>$C22*勿动!AF22</f>
        <v>0</v>
      </c>
      <c r="AA22" s="101">
        <f>$C22*勿动!AG22</f>
        <v>0</v>
      </c>
      <c r="AB22" s="101">
        <f>$C22*勿动!AH22</f>
        <v>0</v>
      </c>
      <c r="AC22" s="101">
        <f>$C22*勿动!AI22</f>
        <v>0</v>
      </c>
      <c r="AD22" s="101">
        <f>$C22*勿动!AJ22</f>
        <v>10</v>
      </c>
      <c r="AE22" s="101">
        <f>$C22*勿动!AK22</f>
        <v>0</v>
      </c>
      <c r="AF22" s="101">
        <f>$C22*勿动!AL22</f>
        <v>0</v>
      </c>
      <c r="AG22" s="101">
        <f>$C22*勿动!AM22</f>
        <v>0</v>
      </c>
      <c r="AH22" s="101">
        <f>$C22*勿动!AN22</f>
        <v>0</v>
      </c>
      <c r="AI22" s="101">
        <f>$C22*勿动!AO22</f>
        <v>0</v>
      </c>
      <c r="AJ22" s="101">
        <f>$C22*勿动!AP22</f>
        <v>0</v>
      </c>
      <c r="AK22" s="101">
        <f>$C22*勿动!AQ22</f>
        <v>0</v>
      </c>
      <c r="AL22" s="101">
        <f>$C22*勿动!AR22</f>
        <v>0</v>
      </c>
      <c r="AM22" s="101">
        <f>$C22*勿动!AS22</f>
        <v>0</v>
      </c>
      <c r="AN22" s="101">
        <f>$C22*勿动!AT22</f>
        <v>0</v>
      </c>
    </row>
    <row r="23" spans="1:40" x14ac:dyDescent="0.25">
      <c r="A23" s="73" t="s">
        <v>203</v>
      </c>
      <c r="B23" s="66">
        <v>1</v>
      </c>
      <c r="C23" s="101">
        <f t="shared" si="0"/>
        <v>1</v>
      </c>
      <c r="D23" s="101">
        <f>$C23*勿动!J23</f>
        <v>0</v>
      </c>
      <c r="E23" s="101">
        <f>$C23*勿动!K23</f>
        <v>0</v>
      </c>
      <c r="F23" s="101">
        <f>$C23*勿动!L23</f>
        <v>0</v>
      </c>
      <c r="G23" s="101">
        <f>$C23*勿动!M23</f>
        <v>4</v>
      </c>
      <c r="H23" s="101">
        <f>$C23*勿动!N23</f>
        <v>0</v>
      </c>
      <c r="I23" s="101">
        <f>$C23*勿动!O23</f>
        <v>0</v>
      </c>
      <c r="J23" s="101">
        <f>$C23*勿动!P23</f>
        <v>0</v>
      </c>
      <c r="K23" s="101">
        <f>$C23*勿动!Q23</f>
        <v>0</v>
      </c>
      <c r="L23" s="101">
        <f>$C23*勿动!R23</f>
        <v>0</v>
      </c>
      <c r="M23" s="101">
        <f>$C23*勿动!S23</f>
        <v>0</v>
      </c>
      <c r="N23" s="101">
        <f>$C23*勿动!T23</f>
        <v>0</v>
      </c>
      <c r="O23" s="101">
        <f>$C23*勿动!U23</f>
        <v>2</v>
      </c>
      <c r="P23" s="101">
        <f>$C23*勿动!V23</f>
        <v>0</v>
      </c>
      <c r="Q23" s="101">
        <f>$C23*勿动!W23</f>
        <v>0</v>
      </c>
      <c r="R23" s="101">
        <f>$C23*勿动!X23</f>
        <v>2</v>
      </c>
      <c r="S23" s="101">
        <f>$C23*勿动!Y23</f>
        <v>0</v>
      </c>
      <c r="T23" s="101">
        <f>$C23*勿动!Z23</f>
        <v>0</v>
      </c>
      <c r="U23" s="101">
        <f>$C23*勿动!AA23</f>
        <v>0</v>
      </c>
      <c r="V23" s="101">
        <f>$C23*勿动!AB23</f>
        <v>0</v>
      </c>
      <c r="W23" s="101">
        <f>$C23*勿动!AC23</f>
        <v>0</v>
      </c>
      <c r="X23" s="101">
        <f>$C23*勿动!AD23</f>
        <v>0</v>
      </c>
      <c r="Y23" s="101">
        <f>$C23*勿动!AE23</f>
        <v>0</v>
      </c>
      <c r="Z23" s="101">
        <f>$C23*勿动!AF23</f>
        <v>2</v>
      </c>
      <c r="AA23" s="101">
        <f>$C23*勿动!AG23</f>
        <v>0</v>
      </c>
      <c r="AB23" s="101">
        <f>$C23*勿动!AH23</f>
        <v>0</v>
      </c>
      <c r="AC23" s="101">
        <f>$C23*勿动!AI23</f>
        <v>0</v>
      </c>
      <c r="AD23" s="101">
        <f>$C23*勿动!AJ23</f>
        <v>0</v>
      </c>
      <c r="AE23" s="101">
        <f>$C23*勿动!AK23</f>
        <v>0</v>
      </c>
      <c r="AF23" s="101">
        <f>$C23*勿动!AL23</f>
        <v>0</v>
      </c>
      <c r="AG23" s="101">
        <f>$C23*勿动!AM23</f>
        <v>0</v>
      </c>
      <c r="AH23" s="101">
        <f>$C23*勿动!AN23</f>
        <v>0</v>
      </c>
      <c r="AI23" s="101">
        <f>$C23*勿动!AO23</f>
        <v>0</v>
      </c>
      <c r="AJ23" s="101">
        <f>$C23*勿动!AP23</f>
        <v>0</v>
      </c>
      <c r="AK23" s="101">
        <f>$C23*勿动!AQ23</f>
        <v>0</v>
      </c>
      <c r="AL23" s="101">
        <f>$C23*勿动!AR23</f>
        <v>0</v>
      </c>
      <c r="AM23" s="101">
        <f>$C23*勿动!AS23</f>
        <v>0</v>
      </c>
      <c r="AN23" s="101">
        <f>$C23*勿动!AT23</f>
        <v>0</v>
      </c>
    </row>
    <row r="24" spans="1:40" x14ac:dyDescent="0.25">
      <c r="A24" s="71" t="s">
        <v>185</v>
      </c>
      <c r="B24" s="66">
        <v>1</v>
      </c>
      <c r="C24" s="101">
        <f t="shared" si="0"/>
        <v>1</v>
      </c>
      <c r="D24" s="101">
        <f>$C24*勿动!J24</f>
        <v>0</v>
      </c>
      <c r="E24" s="101">
        <f>$C24*勿动!K24</f>
        <v>0</v>
      </c>
      <c r="F24" s="101">
        <f>$C24*勿动!L24</f>
        <v>0</v>
      </c>
      <c r="G24" s="101">
        <f>$C24*勿动!M24</f>
        <v>20</v>
      </c>
      <c r="H24" s="101">
        <f>$C24*勿动!N24</f>
        <v>0</v>
      </c>
      <c r="I24" s="101">
        <f>$C24*勿动!O24</f>
        <v>0</v>
      </c>
      <c r="J24" s="101">
        <f>$C24*勿动!P24</f>
        <v>0</v>
      </c>
      <c r="K24" s="101">
        <f>$C24*勿动!Q24</f>
        <v>0</v>
      </c>
      <c r="L24" s="101">
        <f>$C24*勿动!R24</f>
        <v>0</v>
      </c>
      <c r="M24" s="101">
        <f>$C24*勿动!S24</f>
        <v>20</v>
      </c>
      <c r="N24" s="101">
        <f>$C24*勿动!T24</f>
        <v>0</v>
      </c>
      <c r="O24" s="101">
        <f>$C24*勿动!U24</f>
        <v>0</v>
      </c>
      <c r="P24" s="101">
        <f>$C24*勿动!V24</f>
        <v>5</v>
      </c>
      <c r="Q24" s="101">
        <f>$C24*勿动!W24</f>
        <v>0</v>
      </c>
      <c r="R24" s="101">
        <f>$C24*勿动!X24</f>
        <v>0</v>
      </c>
      <c r="S24" s="101">
        <f>$C24*勿动!Y24</f>
        <v>10</v>
      </c>
      <c r="T24" s="101">
        <f>$C24*勿动!Z24</f>
        <v>0</v>
      </c>
      <c r="U24" s="101">
        <f>$C24*勿动!AA24</f>
        <v>0</v>
      </c>
      <c r="V24" s="101">
        <f>$C24*勿动!AB24</f>
        <v>0</v>
      </c>
      <c r="W24" s="101">
        <f>$C24*勿动!AC24</f>
        <v>0</v>
      </c>
      <c r="X24" s="101">
        <f>$C24*勿动!AD24</f>
        <v>20</v>
      </c>
      <c r="Y24" s="101">
        <f>$C24*勿动!AE24</f>
        <v>0</v>
      </c>
      <c r="Z24" s="101">
        <f>$C24*勿动!AF24</f>
        <v>0</v>
      </c>
      <c r="AA24" s="101">
        <f>$C24*勿动!AG24</f>
        <v>0</v>
      </c>
      <c r="AB24" s="101">
        <f>$C24*勿动!AH24</f>
        <v>0</v>
      </c>
      <c r="AC24" s="101">
        <f>$C24*勿动!AI24</f>
        <v>0</v>
      </c>
      <c r="AD24" s="101">
        <f>$C24*勿动!AJ24</f>
        <v>0</v>
      </c>
      <c r="AE24" s="101">
        <f>$C24*勿动!AK24</f>
        <v>0</v>
      </c>
      <c r="AF24" s="101">
        <f>$C24*勿动!AL24</f>
        <v>0</v>
      </c>
      <c r="AG24" s="101">
        <f>$C24*勿动!AM24</f>
        <v>0</v>
      </c>
      <c r="AH24" s="101">
        <f>$C24*勿动!AN24</f>
        <v>0</v>
      </c>
      <c r="AI24" s="101">
        <f>$C24*勿动!AO24</f>
        <v>0</v>
      </c>
      <c r="AJ24" s="101">
        <f>$C24*勿动!AP24</f>
        <v>0</v>
      </c>
      <c r="AK24" s="101">
        <f>$C24*勿动!AQ24</f>
        <v>0</v>
      </c>
      <c r="AL24" s="101">
        <f>$C24*勿动!AR24</f>
        <v>0</v>
      </c>
      <c r="AM24" s="101">
        <f>$C24*勿动!AS24</f>
        <v>0</v>
      </c>
      <c r="AN24" s="101">
        <f>$C24*勿动!AT24</f>
        <v>0</v>
      </c>
    </row>
    <row r="25" spans="1:40" x14ac:dyDescent="0.25">
      <c r="A25" s="71" t="s">
        <v>237</v>
      </c>
      <c r="B25" s="66">
        <v>1</v>
      </c>
      <c r="C25" s="101">
        <f t="shared" si="0"/>
        <v>1</v>
      </c>
      <c r="D25" s="101">
        <f>$C25*勿动!J25</f>
        <v>0</v>
      </c>
      <c r="E25" s="101">
        <f>$C25*勿动!K25</f>
        <v>0</v>
      </c>
      <c r="F25" s="101">
        <f>$C25*勿动!L25</f>
        <v>0</v>
      </c>
      <c r="G25" s="101">
        <f>$C25*勿动!M25</f>
        <v>20</v>
      </c>
      <c r="H25" s="101">
        <f>$C25*勿动!N25</f>
        <v>0</v>
      </c>
      <c r="I25" s="101">
        <f>$C25*勿动!O25</f>
        <v>20</v>
      </c>
      <c r="J25" s="101">
        <f>$C25*勿动!P25</f>
        <v>0</v>
      </c>
      <c r="K25" s="101">
        <f>$C25*勿动!Q25</f>
        <v>0</v>
      </c>
      <c r="L25" s="101">
        <f>$C25*勿动!R25</f>
        <v>0</v>
      </c>
      <c r="M25" s="101">
        <f>$C25*勿动!S25</f>
        <v>10</v>
      </c>
      <c r="N25" s="101">
        <f>$C25*勿动!T25</f>
        <v>0</v>
      </c>
      <c r="O25" s="101">
        <f>$C25*勿动!U25</f>
        <v>0</v>
      </c>
      <c r="P25" s="101">
        <f>$C25*勿动!V25</f>
        <v>5</v>
      </c>
      <c r="Q25" s="101">
        <f>$C25*勿动!W25</f>
        <v>0</v>
      </c>
      <c r="R25" s="101">
        <f>$C25*勿动!X25</f>
        <v>0</v>
      </c>
      <c r="S25" s="101">
        <f>$C25*勿动!Y25</f>
        <v>0</v>
      </c>
      <c r="T25" s="101">
        <f>$C25*勿动!Z25</f>
        <v>0</v>
      </c>
      <c r="U25" s="101">
        <f>$C25*勿动!AA25</f>
        <v>0</v>
      </c>
      <c r="V25" s="101">
        <f>$C25*勿动!AB25</f>
        <v>0</v>
      </c>
      <c r="W25" s="101">
        <f>$C25*勿动!AC25</f>
        <v>0</v>
      </c>
      <c r="X25" s="101">
        <f>$C25*勿动!AD25</f>
        <v>0</v>
      </c>
      <c r="Y25" s="101">
        <f>$C25*勿动!AE25</f>
        <v>0</v>
      </c>
      <c r="Z25" s="101">
        <f>$C25*勿动!AF25</f>
        <v>0</v>
      </c>
      <c r="AA25" s="101">
        <f>$C25*勿动!AG25</f>
        <v>0</v>
      </c>
      <c r="AB25" s="101">
        <f>$C25*勿动!AH25</f>
        <v>0</v>
      </c>
      <c r="AC25" s="101">
        <f>$C25*勿动!AI25</f>
        <v>0</v>
      </c>
      <c r="AD25" s="101">
        <f>$C25*勿动!AJ25</f>
        <v>0</v>
      </c>
      <c r="AE25" s="101">
        <f>$C25*勿动!AK25</f>
        <v>0</v>
      </c>
      <c r="AF25" s="101">
        <f>$C25*勿动!AL25</f>
        <v>0</v>
      </c>
      <c r="AG25" s="101">
        <f>$C25*勿动!AM25</f>
        <v>0</v>
      </c>
      <c r="AH25" s="101">
        <f>$C25*勿动!AN25</f>
        <v>0</v>
      </c>
      <c r="AI25" s="101">
        <f>$C25*勿动!AO25</f>
        <v>0</v>
      </c>
      <c r="AJ25" s="101">
        <f>$C25*勿动!AP25</f>
        <v>0</v>
      </c>
      <c r="AK25" s="101">
        <f>$C25*勿动!AQ25</f>
        <v>0</v>
      </c>
      <c r="AL25" s="101">
        <f>$C25*勿动!AR25</f>
        <v>0</v>
      </c>
      <c r="AM25" s="101">
        <f>$C25*勿动!AS25</f>
        <v>0</v>
      </c>
      <c r="AN25" s="101">
        <f>$C25*勿动!AT25</f>
        <v>0</v>
      </c>
    </row>
    <row r="26" spans="1:40" x14ac:dyDescent="0.25">
      <c r="A26" s="71" t="s">
        <v>238</v>
      </c>
      <c r="B26" s="66">
        <v>1</v>
      </c>
      <c r="C26" s="101">
        <f t="shared" si="0"/>
        <v>1</v>
      </c>
      <c r="D26" s="101">
        <f>$C26*勿动!J26</f>
        <v>0</v>
      </c>
      <c r="E26" s="101">
        <f>$C26*勿动!K26</f>
        <v>0</v>
      </c>
      <c r="F26" s="101">
        <f>$C26*勿动!L26</f>
        <v>0</v>
      </c>
      <c r="G26" s="101">
        <f>$C26*勿动!M26</f>
        <v>0</v>
      </c>
      <c r="H26" s="101">
        <f>$C26*勿动!N26</f>
        <v>0</v>
      </c>
      <c r="I26" s="101">
        <f>$C26*勿动!O26</f>
        <v>0</v>
      </c>
      <c r="J26" s="101">
        <f>$C26*勿动!P26</f>
        <v>0</v>
      </c>
      <c r="K26" s="101">
        <f>$C26*勿动!Q26</f>
        <v>0</v>
      </c>
      <c r="L26" s="101">
        <f>$C26*勿动!R26</f>
        <v>0</v>
      </c>
      <c r="M26" s="101">
        <f>$C26*勿动!S26</f>
        <v>0</v>
      </c>
      <c r="N26" s="101">
        <f>$C26*勿动!T26</f>
        <v>0</v>
      </c>
      <c r="O26" s="101">
        <f>$C26*勿动!U26</f>
        <v>0</v>
      </c>
      <c r="P26" s="101">
        <f>$C26*勿动!V26</f>
        <v>0</v>
      </c>
      <c r="Q26" s="101">
        <f>$C26*勿动!W26</f>
        <v>10</v>
      </c>
      <c r="R26" s="101">
        <f>$C26*勿动!X26</f>
        <v>0</v>
      </c>
      <c r="S26" s="101">
        <f>$C26*勿动!Y26</f>
        <v>0</v>
      </c>
      <c r="T26" s="101">
        <f>$C26*勿动!Z26</f>
        <v>0</v>
      </c>
      <c r="U26" s="101">
        <f>$C26*勿动!AA26</f>
        <v>80</v>
      </c>
      <c r="V26" s="101">
        <f>$C26*勿动!AB26</f>
        <v>30</v>
      </c>
      <c r="W26" s="101">
        <f>$C26*勿动!AC26</f>
        <v>0</v>
      </c>
      <c r="X26" s="101">
        <f>$C26*勿动!AD26</f>
        <v>0</v>
      </c>
      <c r="Y26" s="101">
        <f>$C26*勿动!AE26</f>
        <v>0</v>
      </c>
      <c r="Z26" s="101">
        <f>$C26*勿动!AF26</f>
        <v>0</v>
      </c>
      <c r="AA26" s="101">
        <f>$C26*勿动!AG26</f>
        <v>0</v>
      </c>
      <c r="AB26" s="101">
        <f>$C26*勿动!AH26</f>
        <v>0</v>
      </c>
      <c r="AC26" s="101">
        <f>$C26*勿动!AI26</f>
        <v>0</v>
      </c>
      <c r="AD26" s="101">
        <f>$C26*勿动!AJ26</f>
        <v>0</v>
      </c>
      <c r="AE26" s="101">
        <f>$C26*勿动!AK26</f>
        <v>0</v>
      </c>
      <c r="AF26" s="101">
        <f>$C26*勿动!AL26</f>
        <v>0</v>
      </c>
      <c r="AG26" s="101">
        <f>$C26*勿动!AM26</f>
        <v>0</v>
      </c>
      <c r="AH26" s="101">
        <f>$C26*勿动!AN26</f>
        <v>20</v>
      </c>
      <c r="AI26" s="101">
        <f>$C26*勿动!AO26</f>
        <v>0</v>
      </c>
      <c r="AJ26" s="101">
        <f>$C26*勿动!AP26</f>
        <v>0</v>
      </c>
      <c r="AK26" s="101">
        <f>$C26*勿动!AQ26</f>
        <v>0</v>
      </c>
      <c r="AL26" s="101">
        <f>$C26*勿动!AR26</f>
        <v>0</v>
      </c>
      <c r="AM26" s="101">
        <f>$C26*勿动!AS26</f>
        <v>0</v>
      </c>
      <c r="AN26" s="101">
        <f>$C26*勿动!AT26</f>
        <v>0</v>
      </c>
    </row>
    <row r="27" spans="1:40" x14ac:dyDescent="0.25">
      <c r="A27" s="72" t="s">
        <v>158</v>
      </c>
      <c r="C27" s="101">
        <f>B27+C28</f>
        <v>2</v>
      </c>
      <c r="D27" s="101">
        <f>$C27*勿动!J27</f>
        <v>0</v>
      </c>
      <c r="E27" s="101">
        <f>$C27*勿动!K27</f>
        <v>0</v>
      </c>
      <c r="F27" s="101">
        <f>$C27*勿动!L27</f>
        <v>0</v>
      </c>
      <c r="G27" s="101">
        <f>$C27*勿动!M27</f>
        <v>0</v>
      </c>
      <c r="H27" s="101">
        <f>$C27*勿动!N27</f>
        <v>4</v>
      </c>
      <c r="I27" s="101">
        <f>$C27*勿动!O27</f>
        <v>0</v>
      </c>
      <c r="J27" s="101">
        <f>$C27*勿动!P27</f>
        <v>2</v>
      </c>
      <c r="K27" s="101">
        <f>$C27*勿动!Q27</f>
        <v>0</v>
      </c>
      <c r="L27" s="101">
        <f>$C27*勿动!R27</f>
        <v>0</v>
      </c>
      <c r="M27" s="101">
        <f>$C27*勿动!S27</f>
        <v>0</v>
      </c>
      <c r="N27" s="101">
        <f>$C27*勿动!T27</f>
        <v>0</v>
      </c>
      <c r="O27" s="101">
        <f>$C27*勿动!U27</f>
        <v>0</v>
      </c>
      <c r="P27" s="101">
        <f>$C27*勿动!V27</f>
        <v>0</v>
      </c>
      <c r="Q27" s="101">
        <f>$C27*勿动!W27</f>
        <v>0</v>
      </c>
      <c r="R27" s="101">
        <f>$C27*勿动!X27</f>
        <v>0</v>
      </c>
      <c r="S27" s="101">
        <f>$C27*勿动!Y27</f>
        <v>0</v>
      </c>
      <c r="T27" s="101">
        <f>$C27*勿动!Z27</f>
        <v>0</v>
      </c>
      <c r="U27" s="101">
        <f>$C27*勿动!AA27</f>
        <v>0</v>
      </c>
      <c r="V27" s="101">
        <f>$C27*勿动!AB27</f>
        <v>0</v>
      </c>
      <c r="W27" s="101">
        <f>$C27*勿动!AC27</f>
        <v>0</v>
      </c>
      <c r="X27" s="101">
        <f>$C27*勿动!AD27</f>
        <v>0</v>
      </c>
      <c r="Y27" s="101">
        <f>$C27*勿动!AE27</f>
        <v>0</v>
      </c>
      <c r="Z27" s="101">
        <f>$C27*勿动!AF27</f>
        <v>0</v>
      </c>
      <c r="AA27" s="101">
        <f>$C27*勿动!AG27</f>
        <v>0</v>
      </c>
      <c r="AB27" s="101">
        <f>$C27*勿动!AH27</f>
        <v>0</v>
      </c>
      <c r="AC27" s="101">
        <f>$C27*勿动!AI27</f>
        <v>0</v>
      </c>
      <c r="AD27" s="101">
        <f>$C27*勿动!AJ27</f>
        <v>0</v>
      </c>
      <c r="AE27" s="101">
        <f>$C27*勿动!AK27</f>
        <v>0</v>
      </c>
      <c r="AF27" s="101">
        <f>$C27*勿动!AL27</f>
        <v>0</v>
      </c>
      <c r="AG27" s="101">
        <f>$C27*勿动!AM27</f>
        <v>0</v>
      </c>
      <c r="AH27" s="101">
        <f>$C27*勿动!AN27</f>
        <v>0</v>
      </c>
      <c r="AI27" s="101">
        <f>$C27*勿动!AO27</f>
        <v>0</v>
      </c>
      <c r="AJ27" s="101">
        <f>$C27*勿动!AP27</f>
        <v>0</v>
      </c>
      <c r="AK27" s="101">
        <f>$C27*勿动!AQ27</f>
        <v>0</v>
      </c>
      <c r="AL27" s="101">
        <f>$C27*勿动!AR27</f>
        <v>0</v>
      </c>
      <c r="AM27" s="101">
        <f>$C27*勿动!AS27</f>
        <v>0</v>
      </c>
      <c r="AN27" s="101">
        <f>$C27*勿动!AT27</f>
        <v>0</v>
      </c>
    </row>
    <row r="28" spans="1:40" x14ac:dyDescent="0.25">
      <c r="A28" s="72" t="s">
        <v>159</v>
      </c>
      <c r="C28" s="101">
        <f>B28+C29+C63</f>
        <v>2</v>
      </c>
      <c r="D28" s="101">
        <f>$C28*勿动!J28</f>
        <v>0</v>
      </c>
      <c r="E28" s="101">
        <f>$C28*勿动!K28</f>
        <v>0</v>
      </c>
      <c r="F28" s="101">
        <f>$C28*勿动!L28</f>
        <v>0</v>
      </c>
      <c r="G28" s="101">
        <f>$C28*勿动!M28</f>
        <v>0</v>
      </c>
      <c r="H28" s="101">
        <f>$C28*勿动!N28</f>
        <v>0</v>
      </c>
      <c r="I28" s="101">
        <f>$C28*勿动!O28</f>
        <v>0</v>
      </c>
      <c r="J28" s="101">
        <f>$C28*勿动!P28</f>
        <v>0</v>
      </c>
      <c r="K28" s="101">
        <f>$C28*勿动!Q28</f>
        <v>0</v>
      </c>
      <c r="L28" s="101">
        <f>$C28*勿动!R28</f>
        <v>0</v>
      </c>
      <c r="M28" s="101">
        <f>$C28*勿动!S28</f>
        <v>0</v>
      </c>
      <c r="N28" s="101">
        <f>$C28*勿动!T28</f>
        <v>0</v>
      </c>
      <c r="O28" s="101">
        <f>$C28*勿动!U28</f>
        <v>0</v>
      </c>
      <c r="P28" s="101">
        <f>$C28*勿动!V28</f>
        <v>0</v>
      </c>
      <c r="Q28" s="101">
        <f>$C28*勿动!W28</f>
        <v>0</v>
      </c>
      <c r="R28" s="101">
        <f>$C28*勿动!X28</f>
        <v>6</v>
      </c>
      <c r="S28" s="101">
        <f>$C28*勿动!Y28</f>
        <v>0</v>
      </c>
      <c r="T28" s="101">
        <f>$C28*勿动!Z28</f>
        <v>0</v>
      </c>
      <c r="U28" s="101">
        <f>$C28*勿动!AA28</f>
        <v>0</v>
      </c>
      <c r="V28" s="101">
        <f>$C28*勿动!AB28</f>
        <v>0</v>
      </c>
      <c r="W28" s="101">
        <f>$C28*勿动!AC28</f>
        <v>0</v>
      </c>
      <c r="X28" s="101">
        <f>$C28*勿动!AD28</f>
        <v>0</v>
      </c>
      <c r="Y28" s="101">
        <f>$C28*勿动!AE28</f>
        <v>0</v>
      </c>
      <c r="Z28" s="101">
        <f>$C28*勿动!AF28</f>
        <v>0</v>
      </c>
      <c r="AA28" s="101">
        <f>$C28*勿动!AG28</f>
        <v>0</v>
      </c>
      <c r="AB28" s="101">
        <f>$C28*勿动!AH28</f>
        <v>0</v>
      </c>
      <c r="AC28" s="101">
        <f>$C28*勿动!AI28</f>
        <v>0</v>
      </c>
      <c r="AD28" s="101">
        <f>$C28*勿动!AJ28</f>
        <v>0</v>
      </c>
      <c r="AE28" s="101">
        <f>$C28*勿动!AK28</f>
        <v>0</v>
      </c>
      <c r="AF28" s="101">
        <f>$C28*勿动!AL28</f>
        <v>0</v>
      </c>
      <c r="AG28" s="101">
        <f>$C28*勿动!AM28</f>
        <v>0</v>
      </c>
      <c r="AH28" s="101">
        <f>$C28*勿动!AN28</f>
        <v>0</v>
      </c>
      <c r="AI28" s="101">
        <f>$C28*勿动!AO28</f>
        <v>0</v>
      </c>
      <c r="AJ28" s="101">
        <f>$C28*勿动!AP28</f>
        <v>0</v>
      </c>
      <c r="AK28" s="101">
        <f>$C28*勿动!AQ28</f>
        <v>0</v>
      </c>
      <c r="AL28" s="101">
        <f>$C28*勿动!AR28</f>
        <v>0</v>
      </c>
      <c r="AM28" s="101">
        <f>$C28*勿动!AS28</f>
        <v>0</v>
      </c>
      <c r="AN28" s="101">
        <f>$C28*勿动!AT28</f>
        <v>0</v>
      </c>
    </row>
    <row r="29" spans="1:40" x14ac:dyDescent="0.25">
      <c r="A29" s="72" t="s">
        <v>164</v>
      </c>
      <c r="B29" s="66">
        <v>1</v>
      </c>
      <c r="C29" s="101">
        <f>B29</f>
        <v>1</v>
      </c>
      <c r="D29" s="101">
        <f>$C29*勿动!J29</f>
        <v>0</v>
      </c>
      <c r="E29" s="101">
        <f>$C29*勿动!K29</f>
        <v>0</v>
      </c>
      <c r="F29" s="101">
        <f>$C29*勿动!L29</f>
        <v>0</v>
      </c>
      <c r="G29" s="101">
        <f>$C29*勿动!M29</f>
        <v>0</v>
      </c>
      <c r="H29" s="101">
        <f>$C29*勿动!N29</f>
        <v>0</v>
      </c>
      <c r="I29" s="101">
        <f>$C29*勿动!O29</f>
        <v>0</v>
      </c>
      <c r="J29" s="101">
        <f>$C29*勿动!P29</f>
        <v>0</v>
      </c>
      <c r="K29" s="101">
        <f>$C29*勿动!Q29</f>
        <v>0</v>
      </c>
      <c r="L29" s="101">
        <f>$C29*勿动!R29</f>
        <v>0</v>
      </c>
      <c r="M29" s="101">
        <f>$C29*勿动!S29</f>
        <v>10</v>
      </c>
      <c r="N29" s="101">
        <f>$C29*勿动!T29</f>
        <v>0</v>
      </c>
      <c r="O29" s="101">
        <f>$C29*勿动!U29</f>
        <v>0</v>
      </c>
      <c r="P29" s="101">
        <f>$C29*勿动!V29</f>
        <v>0</v>
      </c>
      <c r="Q29" s="101">
        <f>$C29*勿动!W29</f>
        <v>0</v>
      </c>
      <c r="R29" s="101">
        <f>$C29*勿动!X29</f>
        <v>0</v>
      </c>
      <c r="S29" s="101">
        <f>$C29*勿动!Y29</f>
        <v>0</v>
      </c>
      <c r="T29" s="101">
        <f>$C29*勿动!Z29</f>
        <v>0</v>
      </c>
      <c r="U29" s="101">
        <f>$C29*勿动!AA29</f>
        <v>0</v>
      </c>
      <c r="V29" s="101">
        <f>$C29*勿动!AB29</f>
        <v>2</v>
      </c>
      <c r="W29" s="101">
        <f>$C29*勿动!AC29</f>
        <v>0</v>
      </c>
      <c r="X29" s="101">
        <f>$C29*勿动!AD29</f>
        <v>0</v>
      </c>
      <c r="Y29" s="101">
        <f>$C29*勿动!AE29</f>
        <v>0</v>
      </c>
      <c r="Z29" s="101">
        <f>$C29*勿动!AF29</f>
        <v>0</v>
      </c>
      <c r="AA29" s="101">
        <f>$C29*勿动!AG29</f>
        <v>0</v>
      </c>
      <c r="AB29" s="101">
        <f>$C29*勿动!AH29</f>
        <v>0</v>
      </c>
      <c r="AC29" s="101">
        <f>$C29*勿动!AI29</f>
        <v>0</v>
      </c>
      <c r="AD29" s="101">
        <f>$C29*勿动!AJ29</f>
        <v>0</v>
      </c>
      <c r="AE29" s="101">
        <f>$C29*勿动!AK29</f>
        <v>0</v>
      </c>
      <c r="AF29" s="101">
        <f>$C29*勿动!AL29</f>
        <v>0</v>
      </c>
      <c r="AG29" s="101">
        <f>$C29*勿动!AM29</f>
        <v>0</v>
      </c>
      <c r="AH29" s="101">
        <f>$C29*勿动!AN29</f>
        <v>0</v>
      </c>
      <c r="AI29" s="101">
        <f>$C29*勿动!AO29</f>
        <v>0</v>
      </c>
      <c r="AJ29" s="101">
        <f>$C29*勿动!AP29</f>
        <v>0</v>
      </c>
      <c r="AK29" s="101">
        <f>$C29*勿动!AQ29</f>
        <v>0</v>
      </c>
      <c r="AL29" s="101">
        <f>$C29*勿动!AR29</f>
        <v>0</v>
      </c>
      <c r="AM29" s="101">
        <f>$C29*勿动!AS29</f>
        <v>0</v>
      </c>
      <c r="AN29" s="101">
        <f>$C29*勿动!AT29</f>
        <v>0</v>
      </c>
    </row>
    <row r="30" spans="1:40" x14ac:dyDescent="0.25">
      <c r="A30" s="72" t="s">
        <v>166</v>
      </c>
      <c r="B30" s="66">
        <v>1</v>
      </c>
      <c r="C30" s="101">
        <f>B30</f>
        <v>1</v>
      </c>
      <c r="D30" s="101">
        <f>$C30*勿动!J30</f>
        <v>0</v>
      </c>
      <c r="E30" s="101">
        <f>$C30*勿动!K30</f>
        <v>0</v>
      </c>
      <c r="F30" s="101">
        <f>$C30*勿动!L30</f>
        <v>0</v>
      </c>
      <c r="G30" s="101">
        <f>$C30*勿动!M30</f>
        <v>0</v>
      </c>
      <c r="H30" s="101">
        <f>$C30*勿动!N30</f>
        <v>6</v>
      </c>
      <c r="I30" s="101">
        <f>$C30*勿动!O30</f>
        <v>1</v>
      </c>
      <c r="J30" s="101">
        <f>$C30*勿动!P30</f>
        <v>3</v>
      </c>
      <c r="K30" s="101">
        <f>$C30*勿动!Q30</f>
        <v>0</v>
      </c>
      <c r="L30" s="101">
        <f>$C30*勿动!R30</f>
        <v>0</v>
      </c>
      <c r="M30" s="101">
        <f>$C30*勿动!S30</f>
        <v>0</v>
      </c>
      <c r="N30" s="101">
        <f>$C30*勿动!T30</f>
        <v>0</v>
      </c>
      <c r="O30" s="101">
        <f>$C30*勿动!U30</f>
        <v>0</v>
      </c>
      <c r="P30" s="101">
        <f>$C30*勿动!V30</f>
        <v>0</v>
      </c>
      <c r="Q30" s="101">
        <f>$C30*勿动!W30</f>
        <v>0</v>
      </c>
      <c r="R30" s="101">
        <f>$C30*勿动!X30</f>
        <v>0</v>
      </c>
      <c r="S30" s="101">
        <f>$C30*勿动!Y30</f>
        <v>0</v>
      </c>
      <c r="T30" s="101">
        <f>$C30*勿动!Z30</f>
        <v>0</v>
      </c>
      <c r="U30" s="101">
        <f>$C30*勿动!AA30</f>
        <v>0</v>
      </c>
      <c r="V30" s="101">
        <f>$C30*勿动!AB30</f>
        <v>0</v>
      </c>
      <c r="W30" s="101">
        <f>$C30*勿动!AC30</f>
        <v>0</v>
      </c>
      <c r="X30" s="101">
        <f>$C30*勿动!AD30</f>
        <v>0</v>
      </c>
      <c r="Y30" s="101">
        <f>$C30*勿动!AE30</f>
        <v>0</v>
      </c>
      <c r="Z30" s="101">
        <f>$C30*勿动!AF30</f>
        <v>0</v>
      </c>
      <c r="AA30" s="101">
        <f>$C30*勿动!AG30</f>
        <v>0</v>
      </c>
      <c r="AB30" s="101">
        <f>$C30*勿动!AH30</f>
        <v>0</v>
      </c>
      <c r="AC30" s="101">
        <f>$C30*勿动!AI30</f>
        <v>0</v>
      </c>
      <c r="AD30" s="101">
        <f>$C30*勿动!AJ30</f>
        <v>0</v>
      </c>
      <c r="AE30" s="101">
        <f>$C30*勿动!AK30</f>
        <v>0</v>
      </c>
      <c r="AF30" s="101">
        <f>$C30*勿动!AL30</f>
        <v>0</v>
      </c>
      <c r="AG30" s="101">
        <f>$C30*勿动!AM30</f>
        <v>0</v>
      </c>
      <c r="AH30" s="101">
        <f>$C30*勿动!AN30</f>
        <v>0</v>
      </c>
      <c r="AI30" s="101">
        <f>$C30*勿动!AO30</f>
        <v>0</v>
      </c>
      <c r="AJ30" s="101">
        <f>$C30*勿动!AP30</f>
        <v>0</v>
      </c>
      <c r="AK30" s="101">
        <f>$C30*勿动!AQ30</f>
        <v>0</v>
      </c>
      <c r="AL30" s="101">
        <f>$C30*勿动!AR30</f>
        <v>0</v>
      </c>
      <c r="AM30" s="101">
        <f>$C30*勿动!AS30</f>
        <v>0</v>
      </c>
      <c r="AN30" s="101">
        <f>$C30*勿动!AT30</f>
        <v>0</v>
      </c>
    </row>
    <row r="31" spans="1:40" x14ac:dyDescent="0.25">
      <c r="A31" s="72" t="s">
        <v>167</v>
      </c>
      <c r="B31" s="66">
        <v>1</v>
      </c>
      <c r="C31" s="101">
        <f>B31</f>
        <v>1</v>
      </c>
      <c r="D31" s="101">
        <f>$C31*勿动!J31</f>
        <v>0</v>
      </c>
      <c r="E31" s="101">
        <f>$C31*勿动!K31</f>
        <v>0</v>
      </c>
      <c r="F31" s="101">
        <f>$C31*勿动!L31</f>
        <v>4</v>
      </c>
      <c r="G31" s="101">
        <f>$C31*勿动!M31</f>
        <v>0</v>
      </c>
      <c r="H31" s="101">
        <f>$C31*勿动!N31</f>
        <v>10</v>
      </c>
      <c r="I31" s="101">
        <f>$C31*勿动!O31</f>
        <v>4</v>
      </c>
      <c r="J31" s="101">
        <f>$C31*勿动!P31</f>
        <v>4</v>
      </c>
      <c r="K31" s="101">
        <f>$C31*勿动!Q31</f>
        <v>0</v>
      </c>
      <c r="L31" s="101">
        <f>$C31*勿动!R31</f>
        <v>0</v>
      </c>
      <c r="M31" s="101">
        <f>$C31*勿动!S31</f>
        <v>0</v>
      </c>
      <c r="N31" s="101">
        <f>$C31*勿动!T31</f>
        <v>0</v>
      </c>
      <c r="O31" s="101">
        <f>$C31*勿动!U31</f>
        <v>0</v>
      </c>
      <c r="P31" s="101">
        <f>$C31*勿动!V31</f>
        <v>0</v>
      </c>
      <c r="Q31" s="101">
        <f>$C31*勿动!W31</f>
        <v>0</v>
      </c>
      <c r="R31" s="101">
        <f>$C31*勿动!X31</f>
        <v>0</v>
      </c>
      <c r="S31" s="101">
        <f>$C31*勿动!Y31</f>
        <v>0</v>
      </c>
      <c r="T31" s="101">
        <f>$C31*勿动!Z31</f>
        <v>0</v>
      </c>
      <c r="U31" s="101">
        <f>$C31*勿动!AA31</f>
        <v>0</v>
      </c>
      <c r="V31" s="101">
        <f>$C31*勿动!AB31</f>
        <v>0</v>
      </c>
      <c r="W31" s="101">
        <f>$C31*勿动!AC31</f>
        <v>0</v>
      </c>
      <c r="X31" s="101">
        <f>$C31*勿动!AD31</f>
        <v>0</v>
      </c>
      <c r="Y31" s="101">
        <f>$C31*勿动!AE31</f>
        <v>0</v>
      </c>
      <c r="Z31" s="101">
        <f>$C31*勿动!AF31</f>
        <v>0</v>
      </c>
      <c r="AA31" s="101">
        <f>$C31*勿动!AG31</f>
        <v>0</v>
      </c>
      <c r="AB31" s="101">
        <f>$C31*勿动!AH31</f>
        <v>0</v>
      </c>
      <c r="AC31" s="101">
        <f>$C31*勿动!AI31</f>
        <v>0</v>
      </c>
      <c r="AD31" s="101">
        <f>$C31*勿动!AJ31</f>
        <v>0</v>
      </c>
      <c r="AE31" s="101">
        <f>$C31*勿动!AK31</f>
        <v>0</v>
      </c>
      <c r="AF31" s="101">
        <f>$C31*勿动!AL31</f>
        <v>0</v>
      </c>
      <c r="AG31" s="101">
        <f>$C31*勿动!AM31</f>
        <v>0</v>
      </c>
      <c r="AH31" s="101">
        <f>$C31*勿动!AN31</f>
        <v>0</v>
      </c>
      <c r="AI31" s="101">
        <f>$C31*勿动!AO31</f>
        <v>0</v>
      </c>
      <c r="AJ31" s="101">
        <f>$C31*勿动!AP31</f>
        <v>0</v>
      </c>
      <c r="AK31" s="101">
        <f>$C31*勿动!AQ31</f>
        <v>0</v>
      </c>
      <c r="AL31" s="101">
        <f>$C31*勿动!AR31</f>
        <v>0</v>
      </c>
      <c r="AM31" s="101">
        <f>$C31*勿动!AS31</f>
        <v>0</v>
      </c>
      <c r="AN31" s="101">
        <f>$C31*勿动!AT31</f>
        <v>0</v>
      </c>
    </row>
    <row r="32" spans="1:40" x14ac:dyDescent="0.25">
      <c r="A32" s="72" t="s">
        <v>169</v>
      </c>
      <c r="B32" s="66">
        <v>1</v>
      </c>
      <c r="C32" s="101">
        <f>B32</f>
        <v>1</v>
      </c>
      <c r="D32" s="101">
        <f>$C32*勿动!J32</f>
        <v>10</v>
      </c>
      <c r="E32" s="101">
        <f>$C32*勿动!K32</f>
        <v>0</v>
      </c>
      <c r="F32" s="101">
        <f>$C32*勿动!L32</f>
        <v>0</v>
      </c>
      <c r="G32" s="101">
        <f>$C32*勿动!M32</f>
        <v>0</v>
      </c>
      <c r="H32" s="101">
        <f>$C32*勿动!N32</f>
        <v>0</v>
      </c>
      <c r="I32" s="101">
        <f>$C32*勿动!O32</f>
        <v>0</v>
      </c>
      <c r="J32" s="101">
        <f>$C32*勿动!P32</f>
        <v>0</v>
      </c>
      <c r="K32" s="101">
        <f>$C32*勿动!Q32</f>
        <v>0</v>
      </c>
      <c r="L32" s="101">
        <f>$C32*勿动!R32</f>
        <v>0</v>
      </c>
      <c r="M32" s="101">
        <f>$C32*勿动!S32</f>
        <v>0</v>
      </c>
      <c r="N32" s="101">
        <f>$C32*勿动!T32</f>
        <v>0</v>
      </c>
      <c r="O32" s="101">
        <f>$C32*勿动!U32</f>
        <v>5</v>
      </c>
      <c r="P32" s="101">
        <f>$C32*勿动!V32</f>
        <v>0</v>
      </c>
      <c r="Q32" s="101">
        <f>$C32*勿动!W32</f>
        <v>0</v>
      </c>
      <c r="R32" s="101">
        <f>$C32*勿动!X32</f>
        <v>0</v>
      </c>
      <c r="S32" s="101">
        <f>$C32*勿动!Y32</f>
        <v>0</v>
      </c>
      <c r="T32" s="101">
        <f>$C32*勿动!Z32</f>
        <v>0</v>
      </c>
      <c r="U32" s="101">
        <f>$C32*勿动!AA32</f>
        <v>0</v>
      </c>
      <c r="V32" s="101">
        <f>$C32*勿动!AB32</f>
        <v>0</v>
      </c>
      <c r="W32" s="101">
        <f>$C32*勿动!AC32</f>
        <v>0</v>
      </c>
      <c r="X32" s="101">
        <f>$C32*勿动!AD32</f>
        <v>10</v>
      </c>
      <c r="Y32" s="101">
        <f>$C32*勿动!AE32</f>
        <v>0</v>
      </c>
      <c r="Z32" s="101">
        <f>$C32*勿动!AF32</f>
        <v>0</v>
      </c>
      <c r="AA32" s="101">
        <f>$C32*勿动!AG32</f>
        <v>0</v>
      </c>
      <c r="AB32" s="101">
        <f>$C32*勿动!AH32</f>
        <v>0</v>
      </c>
      <c r="AC32" s="101">
        <f>$C32*勿动!AI32</f>
        <v>0</v>
      </c>
      <c r="AD32" s="101">
        <f>$C32*勿动!AJ32</f>
        <v>0</v>
      </c>
      <c r="AE32" s="101">
        <f>$C32*勿动!AK32</f>
        <v>0</v>
      </c>
      <c r="AF32" s="101">
        <f>$C32*勿动!AL32</f>
        <v>0</v>
      </c>
      <c r="AG32" s="101">
        <f>$C32*勿动!AM32</f>
        <v>0</v>
      </c>
      <c r="AH32" s="101">
        <f>$C32*勿动!AN32</f>
        <v>0</v>
      </c>
      <c r="AI32" s="101">
        <f>$C32*勿动!AO32</f>
        <v>0</v>
      </c>
      <c r="AJ32" s="101">
        <f>$C32*勿动!AP32</f>
        <v>0</v>
      </c>
      <c r="AK32" s="101">
        <f>$C32*勿动!AQ32</f>
        <v>0</v>
      </c>
      <c r="AL32" s="101">
        <f>$C32*勿动!AR32</f>
        <v>0</v>
      </c>
      <c r="AM32" s="101">
        <f>$C32*勿动!AS32</f>
        <v>0</v>
      </c>
      <c r="AN32" s="101">
        <f>$C32*勿动!AT32</f>
        <v>0</v>
      </c>
    </row>
    <row r="33" spans="1:40" x14ac:dyDescent="0.25">
      <c r="A33" s="72" t="s">
        <v>174</v>
      </c>
      <c r="C33" s="101">
        <f>B33+C41*20</f>
        <v>20</v>
      </c>
      <c r="D33" s="101">
        <f>$C33*勿动!J33</f>
        <v>0</v>
      </c>
      <c r="E33" s="101">
        <f>$C33*勿动!K33</f>
        <v>0</v>
      </c>
      <c r="F33" s="101">
        <f>$C33*勿动!L33</f>
        <v>0</v>
      </c>
      <c r="G33" s="101">
        <f>$C33*勿动!M33</f>
        <v>0</v>
      </c>
      <c r="H33" s="101">
        <f>$C33*勿动!N33</f>
        <v>120</v>
      </c>
      <c r="I33" s="101">
        <f>$C33*勿动!O33</f>
        <v>0</v>
      </c>
      <c r="J33" s="101">
        <f>$C33*勿动!P33</f>
        <v>0</v>
      </c>
      <c r="K33" s="101">
        <f>$C33*勿动!Q33</f>
        <v>0</v>
      </c>
      <c r="L33" s="101">
        <f>$C33*勿动!R33</f>
        <v>0</v>
      </c>
      <c r="M33" s="101">
        <f>$C33*勿动!S33</f>
        <v>20</v>
      </c>
      <c r="N33" s="101">
        <f>$C33*勿动!T33</f>
        <v>0</v>
      </c>
      <c r="O33" s="101">
        <f>$C33*勿动!U33</f>
        <v>0</v>
      </c>
      <c r="P33" s="101">
        <f>$C33*勿动!V33</f>
        <v>0</v>
      </c>
      <c r="Q33" s="101">
        <f>$C33*勿动!W33</f>
        <v>0</v>
      </c>
      <c r="R33" s="101">
        <f>$C33*勿动!X33</f>
        <v>0</v>
      </c>
      <c r="S33" s="101">
        <f>$C33*勿动!Y33</f>
        <v>0</v>
      </c>
      <c r="T33" s="101">
        <f>$C33*勿动!Z33</f>
        <v>0</v>
      </c>
      <c r="U33" s="101">
        <f>$C33*勿动!AA33</f>
        <v>0</v>
      </c>
      <c r="V33" s="101">
        <f>$C33*勿动!AB33</f>
        <v>0</v>
      </c>
      <c r="W33" s="101">
        <f>$C33*勿动!AC33</f>
        <v>0</v>
      </c>
      <c r="X33" s="101">
        <f>$C33*勿动!AD33</f>
        <v>0</v>
      </c>
      <c r="Y33" s="101">
        <f>$C33*勿动!AE33</f>
        <v>60</v>
      </c>
      <c r="Z33" s="101">
        <f>$C33*勿动!AF33</f>
        <v>0</v>
      </c>
      <c r="AA33" s="101">
        <f>$C33*勿动!AG33</f>
        <v>0</v>
      </c>
      <c r="AB33" s="101">
        <f>$C33*勿动!AH33</f>
        <v>0</v>
      </c>
      <c r="AC33" s="101">
        <f>$C33*勿动!AI33</f>
        <v>0</v>
      </c>
      <c r="AD33" s="101">
        <f>$C33*勿动!AJ33</f>
        <v>0</v>
      </c>
      <c r="AE33" s="101">
        <f>$C33*勿动!AK33</f>
        <v>0</v>
      </c>
      <c r="AF33" s="101">
        <f>$C33*勿动!AL33</f>
        <v>0</v>
      </c>
      <c r="AG33" s="101">
        <f>$C33*勿动!AM33</f>
        <v>0</v>
      </c>
      <c r="AH33" s="101">
        <f>$C33*勿动!AN33</f>
        <v>0</v>
      </c>
      <c r="AI33" s="101">
        <f>$C33*勿动!AO33</f>
        <v>0</v>
      </c>
      <c r="AJ33" s="101">
        <f>$C33*勿动!AP33</f>
        <v>0</v>
      </c>
      <c r="AK33" s="101">
        <f>$C33*勿动!AQ33</f>
        <v>0</v>
      </c>
      <c r="AL33" s="101">
        <f>$C33*勿动!AR33</f>
        <v>0</v>
      </c>
      <c r="AM33" s="101">
        <f>$C33*勿动!AS33</f>
        <v>0</v>
      </c>
      <c r="AN33" s="101">
        <f>$C33*勿动!AT33</f>
        <v>0</v>
      </c>
    </row>
    <row r="34" spans="1:40" x14ac:dyDescent="0.25">
      <c r="A34" s="72" t="s">
        <v>176</v>
      </c>
      <c r="B34" s="66">
        <v>1</v>
      </c>
      <c r="C34" s="101">
        <f>B34</f>
        <v>1</v>
      </c>
      <c r="D34" s="101">
        <f>$C34*勿动!J34</f>
        <v>20</v>
      </c>
      <c r="E34" s="101">
        <f>$C34*勿动!K34</f>
        <v>0</v>
      </c>
      <c r="F34" s="101">
        <f>$C34*勿动!L34</f>
        <v>0</v>
      </c>
      <c r="G34" s="101">
        <f>$C34*勿动!M34</f>
        <v>15</v>
      </c>
      <c r="H34" s="101">
        <f>$C34*勿动!N34</f>
        <v>0</v>
      </c>
      <c r="I34" s="101">
        <f>$C34*勿动!O34</f>
        <v>0</v>
      </c>
      <c r="J34" s="101">
        <f>$C34*勿动!P34</f>
        <v>0</v>
      </c>
      <c r="K34" s="101">
        <f>$C34*勿动!Q34</f>
        <v>0</v>
      </c>
      <c r="L34" s="101">
        <f>$C34*勿动!R34</f>
        <v>0</v>
      </c>
      <c r="M34" s="101">
        <f>$C34*勿动!S34</f>
        <v>1</v>
      </c>
      <c r="N34" s="101">
        <f>$C34*勿动!T34</f>
        <v>0</v>
      </c>
      <c r="O34" s="101">
        <f>$C34*勿动!U34</f>
        <v>0</v>
      </c>
      <c r="P34" s="101">
        <f>$C34*勿动!V34</f>
        <v>0</v>
      </c>
      <c r="Q34" s="101">
        <f>$C34*勿动!W34</f>
        <v>0</v>
      </c>
      <c r="R34" s="101">
        <f>$C34*勿动!X34</f>
        <v>0</v>
      </c>
      <c r="S34" s="101">
        <f>$C34*勿动!Y34</f>
        <v>4</v>
      </c>
      <c r="T34" s="101">
        <f>$C34*勿动!Z34</f>
        <v>0</v>
      </c>
      <c r="U34" s="101">
        <f>$C34*勿动!AA34</f>
        <v>0</v>
      </c>
      <c r="V34" s="101">
        <f>$C34*勿动!AB34</f>
        <v>0</v>
      </c>
      <c r="W34" s="101">
        <f>$C34*勿动!AC34</f>
        <v>0</v>
      </c>
      <c r="X34" s="101">
        <f>$C34*勿动!AD34</f>
        <v>0</v>
      </c>
      <c r="Y34" s="101">
        <f>$C34*勿动!AE34</f>
        <v>0</v>
      </c>
      <c r="Z34" s="101">
        <f>$C34*勿动!AF34</f>
        <v>0</v>
      </c>
      <c r="AA34" s="101">
        <f>$C34*勿动!AG34</f>
        <v>0</v>
      </c>
      <c r="AB34" s="101">
        <f>$C34*勿动!AH34</f>
        <v>0</v>
      </c>
      <c r="AC34" s="101">
        <f>$C34*勿动!AI34</f>
        <v>0</v>
      </c>
      <c r="AD34" s="101">
        <f>$C34*勿动!AJ34</f>
        <v>0</v>
      </c>
      <c r="AE34" s="101">
        <f>$C34*勿动!AK34</f>
        <v>0</v>
      </c>
      <c r="AF34" s="101">
        <f>$C34*勿动!AL34</f>
        <v>0</v>
      </c>
      <c r="AG34" s="101">
        <f>$C34*勿动!AM34</f>
        <v>0</v>
      </c>
      <c r="AH34" s="101">
        <f>$C34*勿动!AN34</f>
        <v>0</v>
      </c>
      <c r="AI34" s="101">
        <f>$C34*勿动!AO34</f>
        <v>0</v>
      </c>
      <c r="AJ34" s="101">
        <f>$C34*勿动!AP34</f>
        <v>0</v>
      </c>
      <c r="AK34" s="101">
        <f>$C34*勿动!AQ34</f>
        <v>0</v>
      </c>
      <c r="AL34" s="101">
        <f>$C34*勿动!AR34</f>
        <v>0</v>
      </c>
      <c r="AM34" s="101">
        <f>$C34*勿动!AS34</f>
        <v>0</v>
      </c>
      <c r="AN34" s="101">
        <f>$C34*勿动!AT34</f>
        <v>0</v>
      </c>
    </row>
    <row r="35" spans="1:40" x14ac:dyDescent="0.25">
      <c r="A35" s="72" t="s">
        <v>182</v>
      </c>
      <c r="B35" s="66">
        <v>1</v>
      </c>
      <c r="C35" s="101">
        <f>B35</f>
        <v>1</v>
      </c>
      <c r="D35" s="101">
        <f>$C35*勿动!J35</f>
        <v>0</v>
      </c>
      <c r="E35" s="101">
        <f>$C35*勿动!K35</f>
        <v>0</v>
      </c>
      <c r="F35" s="101">
        <f>$C35*勿动!L35</f>
        <v>0</v>
      </c>
      <c r="G35" s="101">
        <f>$C35*勿动!M35</f>
        <v>0</v>
      </c>
      <c r="H35" s="101">
        <f>$C35*勿动!N35</f>
        <v>0</v>
      </c>
      <c r="I35" s="101">
        <f>$C35*勿动!O35</f>
        <v>0</v>
      </c>
      <c r="J35" s="101">
        <f>$C35*勿动!P35</f>
        <v>0</v>
      </c>
      <c r="K35" s="101">
        <f>$C35*勿动!Q35</f>
        <v>0</v>
      </c>
      <c r="L35" s="101">
        <f>$C35*勿动!R35</f>
        <v>0</v>
      </c>
      <c r="M35" s="101">
        <f>$C35*勿动!S35</f>
        <v>10</v>
      </c>
      <c r="N35" s="101">
        <f>$C35*勿动!T35</f>
        <v>0</v>
      </c>
      <c r="O35" s="101">
        <f>$C35*勿动!U35</f>
        <v>0</v>
      </c>
      <c r="P35" s="101">
        <f>$C35*勿动!V35</f>
        <v>4</v>
      </c>
      <c r="Q35" s="101">
        <f>$C35*勿动!W35</f>
        <v>0</v>
      </c>
      <c r="R35" s="101">
        <f>$C35*勿动!X35</f>
        <v>0</v>
      </c>
      <c r="S35" s="101">
        <f>$C35*勿动!Y35</f>
        <v>0</v>
      </c>
      <c r="T35" s="101">
        <f>$C35*勿动!Z35</f>
        <v>0</v>
      </c>
      <c r="U35" s="101">
        <f>$C35*勿动!AA35</f>
        <v>12</v>
      </c>
      <c r="V35" s="101">
        <f>$C35*勿动!AB35</f>
        <v>0</v>
      </c>
      <c r="W35" s="101">
        <f>$C35*勿动!AC35</f>
        <v>0</v>
      </c>
      <c r="X35" s="101">
        <f>$C35*勿动!AD35</f>
        <v>0</v>
      </c>
      <c r="Y35" s="101">
        <f>$C35*勿动!AE35</f>
        <v>0</v>
      </c>
      <c r="Z35" s="101">
        <f>$C35*勿动!AF35</f>
        <v>0</v>
      </c>
      <c r="AA35" s="101">
        <f>$C35*勿动!AG35</f>
        <v>0</v>
      </c>
      <c r="AB35" s="101">
        <f>$C35*勿动!AH35</f>
        <v>0</v>
      </c>
      <c r="AC35" s="101">
        <f>$C35*勿动!AI35</f>
        <v>0</v>
      </c>
      <c r="AD35" s="101">
        <f>$C35*勿动!AJ35</f>
        <v>0</v>
      </c>
      <c r="AE35" s="101">
        <f>$C35*勿动!AK35</f>
        <v>8</v>
      </c>
      <c r="AF35" s="101">
        <f>$C35*勿动!AL35</f>
        <v>0</v>
      </c>
      <c r="AG35" s="101">
        <f>$C35*勿动!AM35</f>
        <v>0</v>
      </c>
      <c r="AH35" s="101">
        <f>$C35*勿动!AN35</f>
        <v>0</v>
      </c>
      <c r="AI35" s="101">
        <f>$C35*勿动!AO35</f>
        <v>0</v>
      </c>
      <c r="AJ35" s="101">
        <f>$C35*勿动!AP35</f>
        <v>0</v>
      </c>
      <c r="AK35" s="101">
        <f>$C35*勿动!AQ35</f>
        <v>0</v>
      </c>
      <c r="AL35" s="101">
        <f>$C35*勿动!AR35</f>
        <v>0</v>
      </c>
      <c r="AM35" s="101">
        <f>$C35*勿动!AS35</f>
        <v>0</v>
      </c>
      <c r="AN35" s="101">
        <f>$C35*勿动!AT35</f>
        <v>0</v>
      </c>
    </row>
    <row r="36" spans="1:40" x14ac:dyDescent="0.25">
      <c r="A36" s="72" t="s">
        <v>183</v>
      </c>
      <c r="B36" s="66">
        <v>1</v>
      </c>
      <c r="C36" s="101">
        <f>B36</f>
        <v>1</v>
      </c>
      <c r="D36" s="101">
        <f>$C36*勿动!J36</f>
        <v>0</v>
      </c>
      <c r="E36" s="101">
        <f>$C36*勿动!K36</f>
        <v>0</v>
      </c>
      <c r="F36" s="101">
        <f>$C36*勿动!L36</f>
        <v>0</v>
      </c>
      <c r="G36" s="101">
        <f>$C36*勿动!M36</f>
        <v>40</v>
      </c>
      <c r="H36" s="101">
        <f>$C36*勿动!N36</f>
        <v>0</v>
      </c>
      <c r="I36" s="101">
        <f>$C36*勿动!O36</f>
        <v>0</v>
      </c>
      <c r="J36" s="101">
        <f>$C36*勿动!P36</f>
        <v>0</v>
      </c>
      <c r="K36" s="101">
        <f>$C36*勿动!Q36</f>
        <v>0</v>
      </c>
      <c r="L36" s="101">
        <f>$C36*勿动!R36</f>
        <v>0</v>
      </c>
      <c r="M36" s="101">
        <f>$C36*勿动!S36</f>
        <v>0</v>
      </c>
      <c r="N36" s="101">
        <f>$C36*勿动!T36</f>
        <v>8</v>
      </c>
      <c r="O36" s="101">
        <f>$C36*勿动!U36</f>
        <v>0</v>
      </c>
      <c r="P36" s="101">
        <f>$C36*勿动!V36</f>
        <v>40</v>
      </c>
      <c r="Q36" s="101">
        <f>$C36*勿动!W36</f>
        <v>0</v>
      </c>
      <c r="R36" s="101">
        <f>$C36*勿动!X36</f>
        <v>0</v>
      </c>
      <c r="S36" s="101">
        <f>$C36*勿动!Y36</f>
        <v>0</v>
      </c>
      <c r="T36" s="101">
        <f>$C36*勿动!Z36</f>
        <v>0</v>
      </c>
      <c r="U36" s="101">
        <f>$C36*勿动!AA36</f>
        <v>40</v>
      </c>
      <c r="V36" s="101">
        <f>$C36*勿动!AB36</f>
        <v>0</v>
      </c>
      <c r="W36" s="101">
        <f>$C36*勿动!AC36</f>
        <v>0</v>
      </c>
      <c r="X36" s="101">
        <f>$C36*勿动!AD36</f>
        <v>0</v>
      </c>
      <c r="Y36" s="101">
        <f>$C36*勿动!AE36</f>
        <v>0</v>
      </c>
      <c r="Z36" s="101">
        <f>$C36*勿动!AF36</f>
        <v>0</v>
      </c>
      <c r="AA36" s="101">
        <f>$C36*勿动!AG36</f>
        <v>0</v>
      </c>
      <c r="AB36" s="101">
        <f>$C36*勿动!AH36</f>
        <v>0</v>
      </c>
      <c r="AC36" s="101">
        <f>$C36*勿动!AI36</f>
        <v>0</v>
      </c>
      <c r="AD36" s="101">
        <f>$C36*勿动!AJ36</f>
        <v>0</v>
      </c>
      <c r="AE36" s="101">
        <f>$C36*勿动!AK36</f>
        <v>0</v>
      </c>
      <c r="AF36" s="101">
        <f>$C36*勿动!AL36</f>
        <v>0</v>
      </c>
      <c r="AG36" s="101">
        <f>$C36*勿动!AM36</f>
        <v>0</v>
      </c>
      <c r="AH36" s="101">
        <f>$C36*勿动!AN36</f>
        <v>0</v>
      </c>
      <c r="AI36" s="101">
        <f>$C36*勿动!AO36</f>
        <v>0</v>
      </c>
      <c r="AJ36" s="101">
        <f>$C36*勿动!AP36</f>
        <v>0</v>
      </c>
      <c r="AK36" s="101">
        <f>$C36*勿动!AQ36</f>
        <v>0</v>
      </c>
      <c r="AL36" s="101">
        <f>$C36*勿动!AR36</f>
        <v>0</v>
      </c>
      <c r="AM36" s="101">
        <f>$C36*勿动!AS36</f>
        <v>0</v>
      </c>
      <c r="AN36" s="101">
        <f>$C36*勿动!AT36</f>
        <v>0</v>
      </c>
    </row>
    <row r="37" spans="1:40" x14ac:dyDescent="0.25">
      <c r="A37" s="72" t="s">
        <v>186</v>
      </c>
      <c r="B37" s="66">
        <v>1</v>
      </c>
      <c r="C37" s="101">
        <f>B37</f>
        <v>1</v>
      </c>
      <c r="D37" s="101">
        <f>$C37*勿动!J37</f>
        <v>0</v>
      </c>
      <c r="E37" s="101">
        <f>$C37*勿动!K37</f>
        <v>0</v>
      </c>
      <c r="F37" s="101">
        <f>$C37*勿动!L37</f>
        <v>0</v>
      </c>
      <c r="G37" s="101">
        <f>$C37*勿动!M37</f>
        <v>0</v>
      </c>
      <c r="H37" s="101">
        <f>$C37*勿动!N37</f>
        <v>0</v>
      </c>
      <c r="I37" s="101">
        <f>$C37*勿动!O37</f>
        <v>0</v>
      </c>
      <c r="J37" s="101">
        <f>$C37*勿动!P37</f>
        <v>0</v>
      </c>
      <c r="K37" s="101">
        <f>$C37*勿动!Q37</f>
        <v>0</v>
      </c>
      <c r="L37" s="101">
        <f>$C37*勿动!R37</f>
        <v>0</v>
      </c>
      <c r="M37" s="101">
        <f>$C37*勿动!S37</f>
        <v>0</v>
      </c>
      <c r="N37" s="101">
        <f>$C37*勿动!T37</f>
        <v>0</v>
      </c>
      <c r="O37" s="101">
        <f>$C37*勿动!U37</f>
        <v>0</v>
      </c>
      <c r="P37" s="101">
        <f>$C37*勿动!V37</f>
        <v>0</v>
      </c>
      <c r="Q37" s="101">
        <f>$C37*勿动!W37</f>
        <v>10</v>
      </c>
      <c r="R37" s="101">
        <f>$C37*勿动!X37</f>
        <v>0</v>
      </c>
      <c r="S37" s="101">
        <f>$C37*勿动!Y37</f>
        <v>0</v>
      </c>
      <c r="T37" s="101">
        <f>$C37*勿动!Z37</f>
        <v>0</v>
      </c>
      <c r="U37" s="101">
        <f>$C37*勿动!AA37</f>
        <v>20</v>
      </c>
      <c r="V37" s="101">
        <f>$C37*勿动!AB37</f>
        <v>20</v>
      </c>
      <c r="W37" s="101">
        <f>$C37*勿动!AC37</f>
        <v>0</v>
      </c>
      <c r="X37" s="101">
        <f>$C37*勿动!AD37</f>
        <v>0</v>
      </c>
      <c r="Y37" s="101">
        <f>$C37*勿动!AE37</f>
        <v>0</v>
      </c>
      <c r="Z37" s="101">
        <f>$C37*勿动!AF37</f>
        <v>0</v>
      </c>
      <c r="AA37" s="101">
        <f>$C37*勿动!AG37</f>
        <v>0</v>
      </c>
      <c r="AB37" s="101">
        <f>$C37*勿动!AH37</f>
        <v>0</v>
      </c>
      <c r="AC37" s="101">
        <f>$C37*勿动!AI37</f>
        <v>0</v>
      </c>
      <c r="AD37" s="101">
        <f>$C37*勿动!AJ37</f>
        <v>0</v>
      </c>
      <c r="AE37" s="101">
        <f>$C37*勿动!AK37</f>
        <v>0</v>
      </c>
      <c r="AF37" s="101">
        <f>$C37*勿动!AL37</f>
        <v>0</v>
      </c>
      <c r="AG37" s="101">
        <f>$C37*勿动!AM37</f>
        <v>0</v>
      </c>
      <c r="AH37" s="101">
        <f>$C37*勿动!AN37</f>
        <v>0</v>
      </c>
      <c r="AI37" s="101">
        <f>$C37*勿动!AO37</f>
        <v>0</v>
      </c>
      <c r="AJ37" s="101">
        <f>$C37*勿动!AP37</f>
        <v>0</v>
      </c>
      <c r="AK37" s="101">
        <f>$C37*勿动!AQ37</f>
        <v>10</v>
      </c>
      <c r="AL37" s="101">
        <f>$C37*勿动!AR37</f>
        <v>0</v>
      </c>
      <c r="AM37" s="101">
        <f>$C37*勿动!AS37</f>
        <v>0</v>
      </c>
      <c r="AN37" s="101">
        <f>$C37*勿动!AT37</f>
        <v>0</v>
      </c>
    </row>
    <row r="38" spans="1:40" x14ac:dyDescent="0.25">
      <c r="A38" s="70" t="s">
        <v>208</v>
      </c>
      <c r="B38" s="66">
        <v>1</v>
      </c>
      <c r="C38" s="101">
        <f>B38</f>
        <v>1</v>
      </c>
      <c r="D38" s="101">
        <f>$C38*勿动!J38</f>
        <v>0</v>
      </c>
      <c r="E38" s="101">
        <f>$C38*勿动!K38</f>
        <v>0</v>
      </c>
      <c r="F38" s="101">
        <f>$C38*勿动!L38</f>
        <v>0</v>
      </c>
      <c r="G38" s="101">
        <f>$C38*勿动!M38</f>
        <v>0</v>
      </c>
      <c r="H38" s="101">
        <f>$C38*勿动!N38</f>
        <v>8</v>
      </c>
      <c r="I38" s="101">
        <f>$C38*勿动!O38</f>
        <v>0</v>
      </c>
      <c r="J38" s="101">
        <f>$C38*勿动!P38</f>
        <v>0</v>
      </c>
      <c r="K38" s="101">
        <f>$C38*勿动!Q38</f>
        <v>0</v>
      </c>
      <c r="L38" s="101">
        <f>$C38*勿动!R38</f>
        <v>0</v>
      </c>
      <c r="M38" s="101">
        <f>$C38*勿动!S38</f>
        <v>0</v>
      </c>
      <c r="N38" s="101">
        <f>$C38*勿动!T38</f>
        <v>0</v>
      </c>
      <c r="O38" s="101">
        <f>$C38*勿动!U38</f>
        <v>0</v>
      </c>
      <c r="P38" s="101">
        <f>$C38*勿动!V38</f>
        <v>4</v>
      </c>
      <c r="Q38" s="101">
        <f>$C38*勿动!W38</f>
        <v>0</v>
      </c>
      <c r="R38" s="101">
        <f>$C38*勿动!X38</f>
        <v>4</v>
      </c>
      <c r="S38" s="101">
        <f>$C38*勿动!Y38</f>
        <v>0</v>
      </c>
      <c r="T38" s="101">
        <f>$C38*勿动!Z38</f>
        <v>0</v>
      </c>
      <c r="U38" s="101">
        <f>$C38*勿动!AA38</f>
        <v>0</v>
      </c>
      <c r="V38" s="101">
        <f>$C38*勿动!AB38</f>
        <v>0</v>
      </c>
      <c r="W38" s="101">
        <f>$C38*勿动!AC38</f>
        <v>0</v>
      </c>
      <c r="X38" s="101">
        <f>$C38*勿动!AD38</f>
        <v>0</v>
      </c>
      <c r="Y38" s="101">
        <f>$C38*勿动!AE38</f>
        <v>0</v>
      </c>
      <c r="Z38" s="101">
        <f>$C38*勿动!AF38</f>
        <v>0</v>
      </c>
      <c r="AA38" s="101">
        <f>$C38*勿动!AG38</f>
        <v>0</v>
      </c>
      <c r="AB38" s="101">
        <f>$C38*勿动!AH38</f>
        <v>0</v>
      </c>
      <c r="AC38" s="101">
        <f>$C38*勿动!AI38</f>
        <v>0</v>
      </c>
      <c r="AD38" s="101">
        <f>$C38*勿动!AJ38</f>
        <v>0</v>
      </c>
      <c r="AE38" s="101">
        <f>$C38*勿动!AK38</f>
        <v>0</v>
      </c>
      <c r="AF38" s="101">
        <f>$C38*勿动!AL38</f>
        <v>0</v>
      </c>
      <c r="AG38" s="101">
        <f>$C38*勿动!AM38</f>
        <v>0</v>
      </c>
      <c r="AH38" s="101">
        <f>$C38*勿动!AN38</f>
        <v>0</v>
      </c>
      <c r="AI38" s="101">
        <f>$C38*勿动!AO38</f>
        <v>0</v>
      </c>
      <c r="AJ38" s="101">
        <f>$C38*勿动!AP38</f>
        <v>0</v>
      </c>
      <c r="AK38" s="101">
        <f>$C38*勿动!AQ38</f>
        <v>0</v>
      </c>
      <c r="AL38" s="101">
        <f>$C38*勿动!AR38</f>
        <v>0</v>
      </c>
      <c r="AM38" s="101">
        <f>$C38*勿动!AS38</f>
        <v>0</v>
      </c>
      <c r="AN38" s="101">
        <f>$C38*勿动!AT38</f>
        <v>0</v>
      </c>
    </row>
    <row r="39" spans="1:40" x14ac:dyDescent="0.25">
      <c r="A39" s="70" t="s">
        <v>209</v>
      </c>
      <c r="C39" s="101">
        <f>B39+C40</f>
        <v>1</v>
      </c>
      <c r="D39" s="101">
        <f>$C39*勿动!J39</f>
        <v>0</v>
      </c>
      <c r="E39" s="101">
        <f>$C39*勿动!K39</f>
        <v>0</v>
      </c>
      <c r="F39" s="101">
        <f>$C39*勿动!L39</f>
        <v>0</v>
      </c>
      <c r="G39" s="101">
        <f>$C39*勿动!M39</f>
        <v>40</v>
      </c>
      <c r="H39" s="101">
        <f>$C39*勿动!N39</f>
        <v>0</v>
      </c>
      <c r="I39" s="101">
        <f>$C39*勿动!O39</f>
        <v>0</v>
      </c>
      <c r="J39" s="101">
        <f>$C39*勿动!P39</f>
        <v>0</v>
      </c>
      <c r="K39" s="101">
        <f>$C39*勿动!Q39</f>
        <v>0</v>
      </c>
      <c r="L39" s="101">
        <f>$C39*勿动!R39</f>
        <v>0</v>
      </c>
      <c r="M39" s="101">
        <f>$C39*勿动!S39</f>
        <v>0</v>
      </c>
      <c r="N39" s="101">
        <f>$C39*勿动!T39</f>
        <v>20</v>
      </c>
      <c r="O39" s="101">
        <f>$C39*勿动!U39</f>
        <v>0</v>
      </c>
      <c r="P39" s="101">
        <f>$C39*勿动!V39</f>
        <v>40</v>
      </c>
      <c r="Q39" s="101">
        <f>$C39*勿动!W39</f>
        <v>0</v>
      </c>
      <c r="R39" s="101">
        <f>$C39*勿动!X39</f>
        <v>0</v>
      </c>
      <c r="S39" s="101">
        <f>$C39*勿动!Y39</f>
        <v>0</v>
      </c>
      <c r="T39" s="101">
        <f>$C39*勿动!Z39</f>
        <v>40</v>
      </c>
      <c r="U39" s="101">
        <f>$C39*勿动!AA39</f>
        <v>0</v>
      </c>
      <c r="V39" s="101">
        <f>$C39*勿动!AB39</f>
        <v>0</v>
      </c>
      <c r="W39" s="101">
        <f>$C39*勿动!AC39</f>
        <v>0</v>
      </c>
      <c r="X39" s="101">
        <f>$C39*勿动!AD39</f>
        <v>0</v>
      </c>
      <c r="Y39" s="101">
        <f>$C39*勿动!AE39</f>
        <v>0</v>
      </c>
      <c r="Z39" s="101">
        <f>$C39*勿动!AF39</f>
        <v>0</v>
      </c>
      <c r="AA39" s="101">
        <f>$C39*勿动!AG39</f>
        <v>0</v>
      </c>
      <c r="AB39" s="101">
        <f>$C39*勿动!AH39</f>
        <v>0</v>
      </c>
      <c r="AC39" s="101">
        <f>$C39*勿动!AI39</f>
        <v>0</v>
      </c>
      <c r="AD39" s="101">
        <f>$C39*勿动!AJ39</f>
        <v>0</v>
      </c>
      <c r="AE39" s="101">
        <f>$C39*勿动!AK39</f>
        <v>0</v>
      </c>
      <c r="AF39" s="101">
        <f>$C39*勿动!AL39</f>
        <v>0</v>
      </c>
      <c r="AG39" s="101">
        <f>$C39*勿动!AM39</f>
        <v>0</v>
      </c>
      <c r="AH39" s="101">
        <f>$C39*勿动!AN39</f>
        <v>0</v>
      </c>
      <c r="AI39" s="101">
        <f>$C39*勿动!AO39</f>
        <v>0</v>
      </c>
      <c r="AJ39" s="101">
        <f>$C39*勿动!AP39</f>
        <v>0</v>
      </c>
      <c r="AK39" s="101">
        <f>$C39*勿动!AQ39</f>
        <v>0</v>
      </c>
      <c r="AL39" s="101">
        <f>$C39*勿动!AR39</f>
        <v>0</v>
      </c>
      <c r="AM39" s="101">
        <f>$C39*勿动!AS39</f>
        <v>0</v>
      </c>
      <c r="AN39" s="101">
        <f>$C39*勿动!AT39</f>
        <v>0</v>
      </c>
    </row>
    <row r="40" spans="1:40" x14ac:dyDescent="0.25">
      <c r="A40" s="70" t="s">
        <v>210</v>
      </c>
      <c r="C40" s="101">
        <f>B40+C41</f>
        <v>1</v>
      </c>
      <c r="D40" s="101">
        <f>$C40*勿动!J40</f>
        <v>0</v>
      </c>
      <c r="E40" s="101">
        <f>$C40*勿动!K40</f>
        <v>0</v>
      </c>
      <c r="F40" s="101">
        <f>$C40*勿动!L40</f>
        <v>0</v>
      </c>
      <c r="G40" s="101">
        <f>$C40*勿动!M40</f>
        <v>0</v>
      </c>
      <c r="H40" s="101">
        <f>$C40*勿动!N40</f>
        <v>0</v>
      </c>
      <c r="I40" s="101">
        <f>$C40*勿动!O40</f>
        <v>0</v>
      </c>
      <c r="J40" s="101">
        <f>$C40*勿动!P40</f>
        <v>0</v>
      </c>
      <c r="K40" s="101">
        <f>$C40*勿动!Q40</f>
        <v>0</v>
      </c>
      <c r="L40" s="101">
        <f>$C40*勿动!R40</f>
        <v>0</v>
      </c>
      <c r="M40" s="101">
        <f>$C40*勿动!S40</f>
        <v>0</v>
      </c>
      <c r="N40" s="101">
        <f>$C40*勿动!T40</f>
        <v>20</v>
      </c>
      <c r="O40" s="101">
        <f>$C40*勿动!U40</f>
        <v>0</v>
      </c>
      <c r="P40" s="101">
        <f>$C40*勿动!V40</f>
        <v>0</v>
      </c>
      <c r="Q40" s="101">
        <f>$C40*勿动!W40</f>
        <v>0</v>
      </c>
      <c r="R40" s="101">
        <f>$C40*勿动!X40</f>
        <v>0</v>
      </c>
      <c r="S40" s="101">
        <f>$C40*勿动!Y40</f>
        <v>0</v>
      </c>
      <c r="T40" s="101">
        <f>$C40*勿动!Z40</f>
        <v>0</v>
      </c>
      <c r="U40" s="101">
        <f>$C40*勿动!AA40</f>
        <v>40</v>
      </c>
      <c r="V40" s="101">
        <f>$C40*勿动!AB40</f>
        <v>0</v>
      </c>
      <c r="W40" s="101">
        <f>$C40*勿动!AC40</f>
        <v>0</v>
      </c>
      <c r="X40" s="101">
        <f>$C40*勿动!AD40</f>
        <v>0</v>
      </c>
      <c r="Y40" s="101">
        <f>$C40*勿动!AE40</f>
        <v>0</v>
      </c>
      <c r="Z40" s="101">
        <f>$C40*勿动!AF40</f>
        <v>0</v>
      </c>
      <c r="AA40" s="101">
        <f>$C40*勿动!AG40</f>
        <v>0</v>
      </c>
      <c r="AB40" s="101">
        <f>$C40*勿动!AH40</f>
        <v>0</v>
      </c>
      <c r="AC40" s="101">
        <f>$C40*勿动!AI40</f>
        <v>0</v>
      </c>
      <c r="AD40" s="101">
        <f>$C40*勿动!AJ40</f>
        <v>0</v>
      </c>
      <c r="AE40" s="101">
        <f>$C40*勿动!AK40</f>
        <v>0</v>
      </c>
      <c r="AF40" s="101">
        <f>$C40*勿动!AL40</f>
        <v>0</v>
      </c>
      <c r="AG40" s="101">
        <f>$C40*勿动!AM40</f>
        <v>0</v>
      </c>
      <c r="AH40" s="101">
        <f>$C40*勿动!AN40</f>
        <v>0</v>
      </c>
      <c r="AI40" s="101">
        <f>$C40*勿动!AO40</f>
        <v>0</v>
      </c>
      <c r="AJ40" s="101">
        <f>$C40*勿动!AP40</f>
        <v>0</v>
      </c>
      <c r="AK40" s="101">
        <f>$C40*勿动!AQ40</f>
        <v>0</v>
      </c>
      <c r="AL40" s="101">
        <f>$C40*勿动!AR40</f>
        <v>0</v>
      </c>
      <c r="AM40" s="101">
        <f>$C40*勿动!AS40</f>
        <v>0</v>
      </c>
      <c r="AN40" s="101">
        <f>$C40*勿动!AT40</f>
        <v>0</v>
      </c>
    </row>
    <row r="41" spans="1:40" x14ac:dyDescent="0.25">
      <c r="A41" s="70" t="s">
        <v>211</v>
      </c>
      <c r="B41" s="66">
        <v>1</v>
      </c>
      <c r="C41" s="101">
        <f t="shared" ref="C41:C64" si="1">B41</f>
        <v>1</v>
      </c>
      <c r="D41" s="101">
        <f>$C41*勿动!J41</f>
        <v>0</v>
      </c>
      <c r="E41" s="101">
        <f>$C41*勿动!K41</f>
        <v>0</v>
      </c>
      <c r="F41" s="101">
        <f>$C41*勿动!L41</f>
        <v>0</v>
      </c>
      <c r="G41" s="101">
        <f>$C41*勿动!M41</f>
        <v>0</v>
      </c>
      <c r="H41" s="101">
        <f>$C41*勿动!N41</f>
        <v>0</v>
      </c>
      <c r="I41" s="101">
        <f>$C41*勿动!O41</f>
        <v>0</v>
      </c>
      <c r="J41" s="101">
        <f>$C41*勿动!P41</f>
        <v>0</v>
      </c>
      <c r="K41" s="101">
        <f>$C41*勿动!Q41</f>
        <v>0</v>
      </c>
      <c r="L41" s="101">
        <f>$C41*勿动!R41</f>
        <v>0</v>
      </c>
      <c r="M41" s="101">
        <f>$C41*勿动!S41</f>
        <v>50</v>
      </c>
      <c r="N41" s="101">
        <f>$C41*勿动!T41</f>
        <v>0</v>
      </c>
      <c r="O41" s="101">
        <f>$C41*勿动!U41</f>
        <v>0</v>
      </c>
      <c r="P41" s="101">
        <f>$C41*勿动!V41</f>
        <v>0</v>
      </c>
      <c r="Q41" s="101">
        <f>$C41*勿动!W41</f>
        <v>0</v>
      </c>
      <c r="R41" s="101">
        <f>$C41*勿动!X41</f>
        <v>0</v>
      </c>
      <c r="S41" s="101">
        <f>$C41*勿动!Y41</f>
        <v>0</v>
      </c>
      <c r="T41" s="101">
        <f>$C41*勿动!Z41</f>
        <v>0</v>
      </c>
      <c r="U41" s="101">
        <f>$C41*勿动!AA41</f>
        <v>0</v>
      </c>
      <c r="V41" s="101">
        <f>$C41*勿动!AB41</f>
        <v>0</v>
      </c>
      <c r="W41" s="101">
        <f>$C41*勿动!AC41</f>
        <v>0</v>
      </c>
      <c r="X41" s="101">
        <f>$C41*勿动!AD41</f>
        <v>0</v>
      </c>
      <c r="Y41" s="101">
        <f>$C41*勿动!AE41</f>
        <v>0</v>
      </c>
      <c r="Z41" s="101">
        <f>$C41*勿动!AF41</f>
        <v>0</v>
      </c>
      <c r="AA41" s="101">
        <f>$C41*勿动!AG41</f>
        <v>0</v>
      </c>
      <c r="AB41" s="101">
        <f>$C41*勿动!AH41</f>
        <v>0</v>
      </c>
      <c r="AC41" s="101">
        <f>$C41*勿动!AI41</f>
        <v>20</v>
      </c>
      <c r="AD41" s="101">
        <f>$C41*勿动!AJ41</f>
        <v>0</v>
      </c>
      <c r="AE41" s="101">
        <f>$C41*勿动!AK41</f>
        <v>0</v>
      </c>
      <c r="AF41" s="101">
        <f>$C41*勿动!AL41</f>
        <v>0</v>
      </c>
      <c r="AG41" s="101">
        <f>$C41*勿动!AM41</f>
        <v>0</v>
      </c>
      <c r="AH41" s="101">
        <f>$C41*勿动!AN41</f>
        <v>0</v>
      </c>
      <c r="AI41" s="101">
        <f>$C41*勿动!AO41</f>
        <v>0</v>
      </c>
      <c r="AJ41" s="101">
        <f>$C41*勿动!AP41</f>
        <v>0</v>
      </c>
      <c r="AK41" s="101">
        <f>$C41*勿动!AQ41</f>
        <v>0</v>
      </c>
      <c r="AL41" s="101">
        <f>$C41*勿动!AR41</f>
        <v>0</v>
      </c>
      <c r="AM41" s="101">
        <f>$C41*勿动!AS41</f>
        <v>0</v>
      </c>
      <c r="AN41" s="101">
        <f>$C41*勿动!AT41</f>
        <v>0</v>
      </c>
    </row>
    <row r="42" spans="1:40" x14ac:dyDescent="0.25">
      <c r="A42" s="70" t="s">
        <v>252</v>
      </c>
      <c r="B42" s="66">
        <v>1</v>
      </c>
      <c r="C42" s="101">
        <f t="shared" si="1"/>
        <v>1</v>
      </c>
      <c r="D42" s="101">
        <f>$C42*勿动!J42</f>
        <v>0</v>
      </c>
      <c r="E42" s="101">
        <f>$C42*勿动!K42</f>
        <v>0</v>
      </c>
      <c r="F42" s="101">
        <f>$C42*勿动!L42</f>
        <v>0</v>
      </c>
      <c r="G42" s="101">
        <f>$C42*勿动!M42</f>
        <v>0</v>
      </c>
      <c r="H42" s="101">
        <f>$C42*勿动!N42</f>
        <v>2</v>
      </c>
      <c r="I42" s="101">
        <f>$C42*勿动!O42</f>
        <v>0</v>
      </c>
      <c r="J42" s="101">
        <f>$C42*勿动!P42</f>
        <v>0</v>
      </c>
      <c r="K42" s="101">
        <f>$C42*勿动!Q42</f>
        <v>0</v>
      </c>
      <c r="L42" s="101">
        <f>$C42*勿动!R42</f>
        <v>0</v>
      </c>
      <c r="M42" s="101">
        <f>$C42*勿动!S42</f>
        <v>0</v>
      </c>
      <c r="N42" s="101">
        <f>$C42*勿动!T42</f>
        <v>0</v>
      </c>
      <c r="O42" s="101">
        <f>$C42*勿动!U42</f>
        <v>0</v>
      </c>
      <c r="P42" s="101">
        <f>$C42*勿动!V42</f>
        <v>1</v>
      </c>
      <c r="Q42" s="101">
        <f>$C42*勿动!W42</f>
        <v>0</v>
      </c>
      <c r="R42" s="101">
        <f>$C42*勿动!X42</f>
        <v>0</v>
      </c>
      <c r="S42" s="101">
        <f>$C42*勿动!Y42</f>
        <v>0</v>
      </c>
      <c r="T42" s="101">
        <f>$C42*勿动!Z42</f>
        <v>0</v>
      </c>
      <c r="U42" s="101">
        <f>$C42*勿动!AA42</f>
        <v>0</v>
      </c>
      <c r="V42" s="101">
        <f>$C42*勿动!AB42</f>
        <v>0</v>
      </c>
      <c r="W42" s="101">
        <f>$C42*勿动!AC42</f>
        <v>0</v>
      </c>
      <c r="X42" s="101">
        <f>$C42*勿动!AD42</f>
        <v>0</v>
      </c>
      <c r="Y42" s="101">
        <f>$C42*勿动!AE42</f>
        <v>0</v>
      </c>
      <c r="Z42" s="101">
        <f>$C42*勿动!AF42</f>
        <v>0</v>
      </c>
      <c r="AA42" s="101">
        <f>$C42*勿动!AG42</f>
        <v>1</v>
      </c>
      <c r="AB42" s="101">
        <f>$C42*勿动!AH42</f>
        <v>0</v>
      </c>
      <c r="AC42" s="101">
        <f>$C42*勿动!AI42</f>
        <v>0</v>
      </c>
      <c r="AD42" s="101">
        <f>$C42*勿动!AJ42</f>
        <v>0</v>
      </c>
      <c r="AE42" s="101">
        <f>$C42*勿动!AK42</f>
        <v>0</v>
      </c>
      <c r="AF42" s="101">
        <f>$C42*勿动!AL42</f>
        <v>0</v>
      </c>
      <c r="AG42" s="101">
        <f>$C42*勿动!AM42</f>
        <v>0</v>
      </c>
      <c r="AH42" s="101">
        <f>$C42*勿动!AN42</f>
        <v>0</v>
      </c>
      <c r="AI42" s="101">
        <f>$C42*勿动!AO42</f>
        <v>0</v>
      </c>
      <c r="AJ42" s="101">
        <f>$C42*勿动!AP42</f>
        <v>0</v>
      </c>
      <c r="AK42" s="101">
        <f>$C42*勿动!AQ42</f>
        <v>0</v>
      </c>
      <c r="AL42" s="101">
        <f>$C42*勿动!AR42</f>
        <v>0</v>
      </c>
      <c r="AM42" s="101">
        <f>$C42*勿动!AS42</f>
        <v>0</v>
      </c>
      <c r="AN42" s="101">
        <f>$C42*勿动!AT42</f>
        <v>0</v>
      </c>
    </row>
    <row r="43" spans="1:40" x14ac:dyDescent="0.25">
      <c r="A43" s="70" t="s">
        <v>253</v>
      </c>
      <c r="B43" s="66">
        <v>1</v>
      </c>
      <c r="C43" s="101">
        <f t="shared" si="1"/>
        <v>1</v>
      </c>
      <c r="D43" s="101">
        <f>$C43*勿动!J43</f>
        <v>0</v>
      </c>
      <c r="E43" s="101">
        <f>$C43*勿动!K43</f>
        <v>0</v>
      </c>
      <c r="F43" s="101">
        <f>$C43*勿动!L43</f>
        <v>0</v>
      </c>
      <c r="G43" s="101">
        <f>$C43*勿动!M43</f>
        <v>0</v>
      </c>
      <c r="H43" s="101">
        <f>$C43*勿动!N43</f>
        <v>5</v>
      </c>
      <c r="I43" s="101">
        <f>$C43*勿动!O43</f>
        <v>0</v>
      </c>
      <c r="J43" s="101">
        <f>$C43*勿动!P43</f>
        <v>0</v>
      </c>
      <c r="K43" s="101">
        <f>$C43*勿动!Q43</f>
        <v>0</v>
      </c>
      <c r="L43" s="101">
        <f>$C43*勿动!R43</f>
        <v>0</v>
      </c>
      <c r="M43" s="101">
        <f>$C43*勿动!S43</f>
        <v>0</v>
      </c>
      <c r="N43" s="101">
        <f>$C43*勿动!T43</f>
        <v>0</v>
      </c>
      <c r="O43" s="101">
        <f>$C43*勿动!U43</f>
        <v>0</v>
      </c>
      <c r="P43" s="101">
        <f>$C43*勿动!V43</f>
        <v>2</v>
      </c>
      <c r="Q43" s="101">
        <f>$C43*勿动!W43</f>
        <v>0</v>
      </c>
      <c r="R43" s="101">
        <f>$C43*勿动!X43</f>
        <v>0</v>
      </c>
      <c r="S43" s="101">
        <f>$C43*勿动!Y43</f>
        <v>0</v>
      </c>
      <c r="T43" s="101">
        <f>$C43*勿动!Z43</f>
        <v>0</v>
      </c>
      <c r="U43" s="101">
        <f>$C43*勿动!AA43</f>
        <v>0</v>
      </c>
      <c r="V43" s="101">
        <f>$C43*勿动!AB43</f>
        <v>0</v>
      </c>
      <c r="W43" s="101">
        <f>$C43*勿动!AC43</f>
        <v>0</v>
      </c>
      <c r="X43" s="101">
        <f>$C43*勿动!AD43</f>
        <v>0</v>
      </c>
      <c r="Y43" s="101">
        <f>$C43*勿动!AE43</f>
        <v>0</v>
      </c>
      <c r="Z43" s="101">
        <f>$C43*勿动!AF43</f>
        <v>0</v>
      </c>
      <c r="AA43" s="101">
        <f>$C43*勿动!AG43</f>
        <v>0</v>
      </c>
      <c r="AB43" s="101">
        <f>$C43*勿动!AH43</f>
        <v>2</v>
      </c>
      <c r="AC43" s="101">
        <f>$C43*勿动!AI43</f>
        <v>0</v>
      </c>
      <c r="AD43" s="101">
        <f>$C43*勿动!AJ43</f>
        <v>0</v>
      </c>
      <c r="AE43" s="101">
        <f>$C43*勿动!AK43</f>
        <v>0</v>
      </c>
      <c r="AF43" s="101">
        <f>$C43*勿动!AL43</f>
        <v>0</v>
      </c>
      <c r="AG43" s="101">
        <f>$C43*勿动!AM43</f>
        <v>0</v>
      </c>
      <c r="AH43" s="101">
        <f>$C43*勿动!AN43</f>
        <v>0</v>
      </c>
      <c r="AI43" s="101">
        <f>$C43*勿动!AO43</f>
        <v>0</v>
      </c>
      <c r="AJ43" s="101">
        <f>$C43*勿动!AP43</f>
        <v>0</v>
      </c>
      <c r="AK43" s="101">
        <f>$C43*勿动!AQ43</f>
        <v>0</v>
      </c>
      <c r="AL43" s="101">
        <f>$C43*勿动!AR43</f>
        <v>0</v>
      </c>
      <c r="AM43" s="101">
        <f>$C43*勿动!AS43</f>
        <v>0</v>
      </c>
      <c r="AN43" s="101">
        <f>$C43*勿动!AT43</f>
        <v>0</v>
      </c>
    </row>
    <row r="44" spans="1:40" x14ac:dyDescent="0.25">
      <c r="A44" s="70" t="s">
        <v>254</v>
      </c>
      <c r="B44" s="66">
        <v>1</v>
      </c>
      <c r="C44" s="101">
        <f t="shared" si="1"/>
        <v>1</v>
      </c>
      <c r="D44" s="101">
        <f>$C44*勿动!J44</f>
        <v>0</v>
      </c>
      <c r="E44" s="101">
        <f>$C44*勿动!K44</f>
        <v>0</v>
      </c>
      <c r="F44" s="101">
        <f>$C44*勿动!L44</f>
        <v>0</v>
      </c>
      <c r="G44" s="101">
        <f>$C44*勿动!M44</f>
        <v>0</v>
      </c>
      <c r="H44" s="101">
        <f>$C44*勿动!N44</f>
        <v>0</v>
      </c>
      <c r="I44" s="101">
        <f>$C44*勿动!O44</f>
        <v>0</v>
      </c>
      <c r="J44" s="101">
        <f>$C44*勿动!P44</f>
        <v>0</v>
      </c>
      <c r="K44" s="101">
        <f>$C44*勿动!Q44</f>
        <v>0</v>
      </c>
      <c r="L44" s="101">
        <f>$C44*勿动!R44</f>
        <v>0</v>
      </c>
      <c r="M44" s="101">
        <f>$C44*勿动!S44</f>
        <v>0</v>
      </c>
      <c r="N44" s="101">
        <f>$C44*勿动!T44</f>
        <v>0</v>
      </c>
      <c r="O44" s="101">
        <f>$C44*勿动!U44</f>
        <v>0</v>
      </c>
      <c r="P44" s="101">
        <f>$C44*勿动!V44</f>
        <v>10</v>
      </c>
      <c r="Q44" s="101">
        <f>$C44*勿动!W44</f>
        <v>0</v>
      </c>
      <c r="R44" s="101">
        <f>$C44*勿动!X44</f>
        <v>0</v>
      </c>
      <c r="S44" s="101">
        <f>$C44*勿动!Y44</f>
        <v>0</v>
      </c>
      <c r="T44" s="101">
        <f>$C44*勿动!Z44</f>
        <v>0</v>
      </c>
      <c r="U44" s="101">
        <f>$C44*勿动!AA44</f>
        <v>10</v>
      </c>
      <c r="V44" s="101">
        <f>$C44*勿动!AB44</f>
        <v>0</v>
      </c>
      <c r="W44" s="101">
        <f>$C44*勿动!AC44</f>
        <v>0</v>
      </c>
      <c r="X44" s="101">
        <f>$C44*勿动!AD44</f>
        <v>0</v>
      </c>
      <c r="Y44" s="101">
        <f>$C44*勿动!AE44</f>
        <v>0</v>
      </c>
      <c r="Z44" s="101">
        <f>$C44*勿动!AF44</f>
        <v>0</v>
      </c>
      <c r="AA44" s="101">
        <f>$C44*勿动!AG44</f>
        <v>0</v>
      </c>
      <c r="AB44" s="101">
        <f>$C44*勿动!AH44</f>
        <v>0</v>
      </c>
      <c r="AC44" s="101">
        <f>$C44*勿动!AI44</f>
        <v>2</v>
      </c>
      <c r="AD44" s="101">
        <f>$C44*勿动!AJ44</f>
        <v>0</v>
      </c>
      <c r="AE44" s="101">
        <f>$C44*勿动!AK44</f>
        <v>0</v>
      </c>
      <c r="AF44" s="101">
        <f>$C44*勿动!AL44</f>
        <v>0</v>
      </c>
      <c r="AG44" s="101">
        <f>$C44*勿动!AM44</f>
        <v>0</v>
      </c>
      <c r="AH44" s="101">
        <f>$C44*勿动!AN44</f>
        <v>0</v>
      </c>
      <c r="AI44" s="101">
        <f>$C44*勿动!AO44</f>
        <v>0</v>
      </c>
      <c r="AJ44" s="101">
        <f>$C44*勿动!AP44</f>
        <v>0</v>
      </c>
      <c r="AK44" s="101">
        <f>$C44*勿动!AQ44</f>
        <v>0</v>
      </c>
      <c r="AL44" s="101">
        <f>$C44*勿动!AR44</f>
        <v>0</v>
      </c>
      <c r="AM44" s="101">
        <f>$C44*勿动!AS44</f>
        <v>0</v>
      </c>
      <c r="AN44" s="101">
        <f>$C44*勿动!AT44</f>
        <v>0</v>
      </c>
    </row>
    <row r="45" spans="1:40" x14ac:dyDescent="0.25">
      <c r="A45" s="75" t="s">
        <v>212</v>
      </c>
      <c r="B45" s="66">
        <v>1</v>
      </c>
      <c r="C45" s="101">
        <f t="shared" si="1"/>
        <v>1</v>
      </c>
      <c r="D45" s="101">
        <f>$C45*勿动!J45</f>
        <v>0</v>
      </c>
      <c r="E45" s="101">
        <f>$C45*勿动!K45</f>
        <v>0</v>
      </c>
      <c r="F45" s="101">
        <f>$C45*勿动!L45</f>
        <v>0</v>
      </c>
      <c r="G45" s="101">
        <f>$C45*勿动!M45</f>
        <v>0</v>
      </c>
      <c r="H45" s="101">
        <f>$C45*勿动!N45</f>
        <v>4</v>
      </c>
      <c r="I45" s="101">
        <f>$C45*勿动!O45</f>
        <v>2</v>
      </c>
      <c r="J45" s="101">
        <f>$C45*勿动!P45</f>
        <v>2</v>
      </c>
      <c r="K45" s="101">
        <f>$C45*勿动!Q45</f>
        <v>0</v>
      </c>
      <c r="L45" s="101">
        <f>$C45*勿动!R45</f>
        <v>0</v>
      </c>
      <c r="M45" s="101">
        <f>$C45*勿动!S45</f>
        <v>0</v>
      </c>
      <c r="N45" s="101">
        <f>$C45*勿动!T45</f>
        <v>0</v>
      </c>
      <c r="O45" s="101">
        <f>$C45*勿动!U45</f>
        <v>2</v>
      </c>
      <c r="P45" s="101">
        <f>$C45*勿动!V45</f>
        <v>0</v>
      </c>
      <c r="Q45" s="101">
        <f>$C45*勿动!W45</f>
        <v>0</v>
      </c>
      <c r="R45" s="101">
        <f>$C45*勿动!X45</f>
        <v>0</v>
      </c>
      <c r="S45" s="101">
        <f>$C45*勿动!Y45</f>
        <v>0</v>
      </c>
      <c r="T45" s="101">
        <f>$C45*勿动!Z45</f>
        <v>0</v>
      </c>
      <c r="U45" s="101">
        <f>$C45*勿动!AA45</f>
        <v>0</v>
      </c>
      <c r="V45" s="101">
        <f>$C45*勿动!AB45</f>
        <v>0</v>
      </c>
      <c r="W45" s="101">
        <f>$C45*勿动!AC45</f>
        <v>0</v>
      </c>
      <c r="X45" s="101">
        <f>$C45*勿动!AD45</f>
        <v>0</v>
      </c>
      <c r="Y45" s="101">
        <f>$C45*勿动!AE45</f>
        <v>0</v>
      </c>
      <c r="Z45" s="101">
        <f>$C45*勿动!AF45</f>
        <v>0</v>
      </c>
      <c r="AA45" s="101">
        <f>$C45*勿动!AG45</f>
        <v>0</v>
      </c>
      <c r="AB45" s="101">
        <f>$C45*勿动!AH45</f>
        <v>0</v>
      </c>
      <c r="AC45" s="101">
        <f>$C45*勿动!AI45</f>
        <v>0</v>
      </c>
      <c r="AD45" s="101">
        <f>$C45*勿动!AJ45</f>
        <v>0</v>
      </c>
      <c r="AE45" s="101">
        <f>$C45*勿动!AK45</f>
        <v>0</v>
      </c>
      <c r="AF45" s="101">
        <f>$C45*勿动!AL45</f>
        <v>0</v>
      </c>
      <c r="AG45" s="101">
        <f>$C45*勿动!AM45</f>
        <v>0</v>
      </c>
      <c r="AH45" s="101">
        <f>$C45*勿动!AN45</f>
        <v>0</v>
      </c>
      <c r="AI45" s="101">
        <f>$C45*勿动!AO45</f>
        <v>0</v>
      </c>
      <c r="AJ45" s="101">
        <f>$C45*勿动!AP45</f>
        <v>0</v>
      </c>
      <c r="AK45" s="101">
        <f>$C45*勿动!AQ45</f>
        <v>0</v>
      </c>
      <c r="AL45" s="101">
        <f>$C45*勿动!AR45</f>
        <v>0</v>
      </c>
      <c r="AM45" s="101">
        <f>$C45*勿动!AS45</f>
        <v>0</v>
      </c>
      <c r="AN45" s="101">
        <f>$C45*勿动!AT45</f>
        <v>0</v>
      </c>
    </row>
    <row r="46" spans="1:40" x14ac:dyDescent="0.25">
      <c r="A46" s="75" t="s">
        <v>213</v>
      </c>
      <c r="B46" s="66">
        <v>1</v>
      </c>
      <c r="C46" s="101">
        <f t="shared" si="1"/>
        <v>1</v>
      </c>
      <c r="D46" s="101">
        <f>$C46*勿动!J46</f>
        <v>0</v>
      </c>
      <c r="E46" s="101">
        <f>$C46*勿动!K46</f>
        <v>0</v>
      </c>
      <c r="F46" s="101">
        <f>$C46*勿动!L46</f>
        <v>0</v>
      </c>
      <c r="G46" s="101">
        <f>$C46*勿动!M46</f>
        <v>0</v>
      </c>
      <c r="H46" s="101">
        <f>$C46*勿动!N46</f>
        <v>0</v>
      </c>
      <c r="I46" s="101">
        <f>$C46*勿动!O46</f>
        <v>0</v>
      </c>
      <c r="J46" s="101">
        <f>$C46*勿动!P46</f>
        <v>0</v>
      </c>
      <c r="K46" s="101">
        <f>$C46*勿动!Q46</f>
        <v>0</v>
      </c>
      <c r="L46" s="101">
        <f>$C46*勿动!R46</f>
        <v>0</v>
      </c>
      <c r="M46" s="101">
        <f>$C46*勿动!S46</f>
        <v>10</v>
      </c>
      <c r="N46" s="101">
        <f>$C46*勿动!T46</f>
        <v>0</v>
      </c>
      <c r="O46" s="101">
        <f>$C46*勿动!U46</f>
        <v>0</v>
      </c>
      <c r="P46" s="101">
        <f>$C46*勿动!V46</f>
        <v>0</v>
      </c>
      <c r="Q46" s="101">
        <f>$C46*勿动!W46</f>
        <v>4</v>
      </c>
      <c r="R46" s="101">
        <f>$C46*勿动!X46</f>
        <v>0</v>
      </c>
      <c r="S46" s="101">
        <f>$C46*勿动!Y46</f>
        <v>0</v>
      </c>
      <c r="T46" s="101">
        <f>$C46*勿动!Z46</f>
        <v>0</v>
      </c>
      <c r="U46" s="101">
        <f>$C46*勿动!AA46</f>
        <v>20</v>
      </c>
      <c r="V46" s="101">
        <f>$C46*勿动!AB46</f>
        <v>10</v>
      </c>
      <c r="W46" s="101">
        <f>$C46*勿动!AC46</f>
        <v>0</v>
      </c>
      <c r="X46" s="101">
        <f>$C46*勿动!AD46</f>
        <v>0</v>
      </c>
      <c r="Y46" s="101">
        <f>$C46*勿动!AE46</f>
        <v>0</v>
      </c>
      <c r="Z46" s="101">
        <f>$C46*勿动!AF46</f>
        <v>0</v>
      </c>
      <c r="AA46" s="101">
        <f>$C46*勿动!AG46</f>
        <v>0</v>
      </c>
      <c r="AB46" s="101">
        <f>$C46*勿动!AH46</f>
        <v>0</v>
      </c>
      <c r="AC46" s="101">
        <f>$C46*勿动!AI46</f>
        <v>0</v>
      </c>
      <c r="AD46" s="101">
        <f>$C46*勿动!AJ46</f>
        <v>0</v>
      </c>
      <c r="AE46" s="101">
        <f>$C46*勿动!AK46</f>
        <v>0</v>
      </c>
      <c r="AF46" s="101">
        <f>$C46*勿动!AL46</f>
        <v>0</v>
      </c>
      <c r="AG46" s="101">
        <f>$C46*勿动!AM46</f>
        <v>0</v>
      </c>
      <c r="AH46" s="101">
        <f>$C46*勿动!AN46</f>
        <v>0</v>
      </c>
      <c r="AI46" s="101">
        <f>$C46*勿动!AO46</f>
        <v>0</v>
      </c>
      <c r="AJ46" s="101">
        <f>$C46*勿动!AP46</f>
        <v>0</v>
      </c>
      <c r="AK46" s="101">
        <f>$C46*勿动!AQ46</f>
        <v>0</v>
      </c>
      <c r="AL46" s="101">
        <f>$C46*勿动!AR46</f>
        <v>40</v>
      </c>
      <c r="AM46" s="101">
        <f>$C46*勿动!AS46</f>
        <v>0</v>
      </c>
      <c r="AN46" s="101">
        <f>$C46*勿动!AT46</f>
        <v>0</v>
      </c>
    </row>
    <row r="47" spans="1:40" x14ac:dyDescent="0.25">
      <c r="A47" s="75" t="s">
        <v>216</v>
      </c>
      <c r="B47" s="66">
        <v>1</v>
      </c>
      <c r="C47" s="101">
        <f t="shared" si="1"/>
        <v>1</v>
      </c>
      <c r="D47" s="101">
        <f>$C47*勿动!J47</f>
        <v>0</v>
      </c>
      <c r="E47" s="101">
        <f>$C47*勿动!K47</f>
        <v>0</v>
      </c>
      <c r="F47" s="101">
        <f>$C47*勿动!L47</f>
        <v>4</v>
      </c>
      <c r="G47" s="101">
        <f>$C47*勿动!M47</f>
        <v>0</v>
      </c>
      <c r="H47" s="101">
        <f>$C47*勿动!N47</f>
        <v>8</v>
      </c>
      <c r="I47" s="101">
        <f>$C47*勿动!O47</f>
        <v>0</v>
      </c>
      <c r="J47" s="101">
        <f>$C47*勿动!P47</f>
        <v>0</v>
      </c>
      <c r="K47" s="101">
        <f>$C47*勿动!Q47</f>
        <v>4</v>
      </c>
      <c r="L47" s="101">
        <f>$C47*勿动!R47</f>
        <v>0</v>
      </c>
      <c r="M47" s="101">
        <f>$C47*勿动!S47</f>
        <v>0</v>
      </c>
      <c r="N47" s="101">
        <f>$C47*勿动!T47</f>
        <v>0</v>
      </c>
      <c r="O47" s="101">
        <f>$C47*勿动!U47</f>
        <v>2</v>
      </c>
      <c r="P47" s="101">
        <f>$C47*勿动!V47</f>
        <v>0</v>
      </c>
      <c r="Q47" s="101">
        <f>$C47*勿动!W47</f>
        <v>0</v>
      </c>
      <c r="R47" s="101">
        <f>$C47*勿动!X47</f>
        <v>0</v>
      </c>
      <c r="S47" s="101">
        <f>$C47*勿动!Y47</f>
        <v>0</v>
      </c>
      <c r="T47" s="101">
        <f>$C47*勿动!Z47</f>
        <v>0</v>
      </c>
      <c r="U47" s="101">
        <f>$C47*勿动!AA47</f>
        <v>0</v>
      </c>
      <c r="V47" s="101">
        <f>$C47*勿动!AB47</f>
        <v>0</v>
      </c>
      <c r="W47" s="101">
        <f>$C47*勿动!AC47</f>
        <v>0</v>
      </c>
      <c r="X47" s="101">
        <f>$C47*勿动!AD47</f>
        <v>0</v>
      </c>
      <c r="Y47" s="101">
        <f>$C47*勿动!AE47</f>
        <v>0</v>
      </c>
      <c r="Z47" s="101">
        <f>$C47*勿动!AF47</f>
        <v>0</v>
      </c>
      <c r="AA47" s="101">
        <f>$C47*勿动!AG47</f>
        <v>0</v>
      </c>
      <c r="AB47" s="101">
        <f>$C47*勿动!AH47</f>
        <v>0</v>
      </c>
      <c r="AC47" s="101">
        <f>$C47*勿动!AI47</f>
        <v>0</v>
      </c>
      <c r="AD47" s="101">
        <f>$C47*勿动!AJ47</f>
        <v>0</v>
      </c>
      <c r="AE47" s="101">
        <f>$C47*勿动!AK47</f>
        <v>0</v>
      </c>
      <c r="AF47" s="101">
        <f>$C47*勿动!AL47</f>
        <v>0</v>
      </c>
      <c r="AG47" s="101">
        <f>$C47*勿动!AM47</f>
        <v>0</v>
      </c>
      <c r="AH47" s="101">
        <f>$C47*勿动!AN47</f>
        <v>0</v>
      </c>
      <c r="AI47" s="101">
        <f>$C47*勿动!AO47</f>
        <v>0</v>
      </c>
      <c r="AJ47" s="101">
        <f>$C47*勿动!AP47</f>
        <v>0</v>
      </c>
      <c r="AK47" s="101">
        <f>$C47*勿动!AQ47</f>
        <v>0</v>
      </c>
      <c r="AL47" s="101">
        <f>$C47*勿动!AR47</f>
        <v>0</v>
      </c>
      <c r="AM47" s="101">
        <f>$C47*勿动!AS47</f>
        <v>0</v>
      </c>
      <c r="AN47" s="101">
        <f>$C47*勿动!AT47</f>
        <v>0</v>
      </c>
    </row>
    <row r="48" spans="1:40" x14ac:dyDescent="0.25">
      <c r="A48" s="75" t="s">
        <v>217</v>
      </c>
      <c r="B48" s="66">
        <v>1</v>
      </c>
      <c r="C48" s="101">
        <f t="shared" si="1"/>
        <v>1</v>
      </c>
      <c r="D48" s="101">
        <f>$C48*勿动!J48</f>
        <v>0</v>
      </c>
      <c r="E48" s="101">
        <f>$C48*勿动!K48</f>
        <v>0</v>
      </c>
      <c r="F48" s="101">
        <f>$C48*勿动!L48</f>
        <v>12</v>
      </c>
      <c r="G48" s="101">
        <f>$C48*勿动!M48</f>
        <v>12</v>
      </c>
      <c r="H48" s="101">
        <f>$C48*勿动!N48</f>
        <v>0</v>
      </c>
      <c r="I48" s="101">
        <f>$C48*勿动!O48</f>
        <v>0</v>
      </c>
      <c r="J48" s="101">
        <f>$C48*勿动!P48</f>
        <v>0</v>
      </c>
      <c r="K48" s="101">
        <f>$C48*勿动!Q48</f>
        <v>0</v>
      </c>
      <c r="L48" s="101">
        <f>$C48*勿动!R48</f>
        <v>0</v>
      </c>
      <c r="M48" s="101">
        <f>$C48*勿动!S48</f>
        <v>0</v>
      </c>
      <c r="N48" s="101">
        <f>$C48*勿动!T48</f>
        <v>0</v>
      </c>
      <c r="O48" s="101">
        <f>$C48*勿动!U48</f>
        <v>6</v>
      </c>
      <c r="P48" s="101">
        <f>$C48*勿动!V48</f>
        <v>0</v>
      </c>
      <c r="Q48" s="101">
        <f>$C48*勿动!W48</f>
        <v>0</v>
      </c>
      <c r="R48" s="101">
        <f>$C48*勿动!X48</f>
        <v>4</v>
      </c>
      <c r="S48" s="101">
        <f>$C48*勿动!Y48</f>
        <v>0</v>
      </c>
      <c r="T48" s="101">
        <f>$C48*勿动!Z48</f>
        <v>0</v>
      </c>
      <c r="U48" s="101">
        <f>$C48*勿动!AA48</f>
        <v>0</v>
      </c>
      <c r="V48" s="101">
        <f>$C48*勿动!AB48</f>
        <v>0</v>
      </c>
      <c r="W48" s="101">
        <f>$C48*勿动!AC48</f>
        <v>0</v>
      </c>
      <c r="X48" s="101">
        <f>$C48*勿动!AD48</f>
        <v>0</v>
      </c>
      <c r="Y48" s="101">
        <f>$C48*勿动!AE48</f>
        <v>0</v>
      </c>
      <c r="Z48" s="101">
        <f>$C48*勿动!AF48</f>
        <v>0</v>
      </c>
      <c r="AA48" s="101">
        <f>$C48*勿动!AG48</f>
        <v>0</v>
      </c>
      <c r="AB48" s="101">
        <f>$C48*勿动!AH48</f>
        <v>0</v>
      </c>
      <c r="AC48" s="101">
        <f>$C48*勿动!AI48</f>
        <v>0</v>
      </c>
      <c r="AD48" s="101">
        <f>$C48*勿动!AJ48</f>
        <v>0</v>
      </c>
      <c r="AE48" s="101">
        <f>$C48*勿动!AK48</f>
        <v>0</v>
      </c>
      <c r="AF48" s="101">
        <f>$C48*勿动!AL48</f>
        <v>0</v>
      </c>
      <c r="AG48" s="101">
        <f>$C48*勿动!AM48</f>
        <v>0</v>
      </c>
      <c r="AH48" s="101">
        <f>$C48*勿动!AN48</f>
        <v>0</v>
      </c>
      <c r="AI48" s="101">
        <f>$C48*勿动!AO48</f>
        <v>0</v>
      </c>
      <c r="AJ48" s="101">
        <f>$C48*勿动!AP48</f>
        <v>0</v>
      </c>
      <c r="AK48" s="101">
        <f>$C48*勿动!AQ48</f>
        <v>0</v>
      </c>
      <c r="AL48" s="101">
        <f>$C48*勿动!AR48</f>
        <v>0</v>
      </c>
      <c r="AM48" s="101">
        <f>$C48*勿动!AS48</f>
        <v>0</v>
      </c>
      <c r="AN48" s="101">
        <f>$C48*勿动!AT48</f>
        <v>0</v>
      </c>
    </row>
    <row r="49" spans="1:40" x14ac:dyDescent="0.25">
      <c r="A49" s="76" t="s">
        <v>200</v>
      </c>
      <c r="B49" s="66">
        <v>1</v>
      </c>
      <c r="C49" s="101">
        <f t="shared" si="1"/>
        <v>1</v>
      </c>
      <c r="D49" s="101">
        <f>$C49*勿动!J49</f>
        <v>0</v>
      </c>
      <c r="E49" s="101">
        <f>$C49*勿动!K49</f>
        <v>0</v>
      </c>
      <c r="F49" s="101">
        <f>$C49*勿动!L49</f>
        <v>0</v>
      </c>
      <c r="G49" s="101">
        <f>$C49*勿动!M49</f>
        <v>0</v>
      </c>
      <c r="H49" s="101">
        <f>$C49*勿动!N49</f>
        <v>3</v>
      </c>
      <c r="I49" s="101">
        <f>$C49*勿动!O49</f>
        <v>2</v>
      </c>
      <c r="J49" s="101">
        <f>$C49*勿动!P49</f>
        <v>0</v>
      </c>
      <c r="K49" s="101">
        <f>$C49*勿动!Q49</f>
        <v>0</v>
      </c>
      <c r="L49" s="101">
        <f>$C49*勿动!R49</f>
        <v>0</v>
      </c>
      <c r="M49" s="101">
        <f>$C49*勿动!S49</f>
        <v>0</v>
      </c>
      <c r="N49" s="101">
        <f>$C49*勿动!T49</f>
        <v>0</v>
      </c>
      <c r="O49" s="101">
        <f>$C49*勿动!U49</f>
        <v>1</v>
      </c>
      <c r="P49" s="101">
        <f>$C49*勿动!V49</f>
        <v>0</v>
      </c>
      <c r="Q49" s="101">
        <f>$C49*勿动!W49</f>
        <v>0</v>
      </c>
      <c r="R49" s="101">
        <f>$C49*勿动!X49</f>
        <v>0</v>
      </c>
      <c r="S49" s="101">
        <f>$C49*勿动!Y49</f>
        <v>0</v>
      </c>
      <c r="T49" s="101">
        <f>$C49*勿动!Z49</f>
        <v>0</v>
      </c>
      <c r="U49" s="101">
        <f>$C49*勿动!AA49</f>
        <v>0</v>
      </c>
      <c r="V49" s="101">
        <f>$C49*勿动!AB49</f>
        <v>0</v>
      </c>
      <c r="W49" s="101">
        <f>$C49*勿动!AC49</f>
        <v>0</v>
      </c>
      <c r="X49" s="101">
        <f>$C49*勿动!AD49</f>
        <v>0</v>
      </c>
      <c r="Y49" s="101">
        <f>$C49*勿动!AE49</f>
        <v>0</v>
      </c>
      <c r="Z49" s="101">
        <f>$C49*勿动!AF49</f>
        <v>0</v>
      </c>
      <c r="AA49" s="101">
        <f>$C49*勿动!AG49</f>
        <v>0</v>
      </c>
      <c r="AB49" s="101">
        <f>$C49*勿动!AH49</f>
        <v>0</v>
      </c>
      <c r="AC49" s="101">
        <f>$C49*勿动!AI49</f>
        <v>0</v>
      </c>
      <c r="AD49" s="101">
        <f>$C49*勿动!AJ49</f>
        <v>0</v>
      </c>
      <c r="AE49" s="101">
        <f>$C49*勿动!AK49</f>
        <v>0</v>
      </c>
      <c r="AF49" s="101">
        <f>$C49*勿动!AL49</f>
        <v>0</v>
      </c>
      <c r="AG49" s="101">
        <f>$C49*勿动!AM49</f>
        <v>0</v>
      </c>
      <c r="AH49" s="101">
        <f>$C49*勿动!AN49</f>
        <v>0</v>
      </c>
      <c r="AI49" s="101">
        <f>$C49*勿动!AO49</f>
        <v>0</v>
      </c>
      <c r="AJ49" s="101">
        <f>$C49*勿动!AP49</f>
        <v>0</v>
      </c>
      <c r="AK49" s="101">
        <f>$C49*勿动!AQ49</f>
        <v>0</v>
      </c>
      <c r="AL49" s="101">
        <f>$C49*勿动!AR49</f>
        <v>0</v>
      </c>
      <c r="AM49" s="101">
        <f>$C49*勿动!AS49</f>
        <v>0</v>
      </c>
      <c r="AN49" s="101">
        <f>$C49*勿动!AT49</f>
        <v>0</v>
      </c>
    </row>
    <row r="50" spans="1:40" x14ac:dyDescent="0.25">
      <c r="A50" s="76" t="s">
        <v>201</v>
      </c>
      <c r="B50" s="66">
        <v>1</v>
      </c>
      <c r="C50" s="101">
        <f t="shared" si="1"/>
        <v>1</v>
      </c>
      <c r="D50" s="101">
        <f>$C50*勿动!J50</f>
        <v>0</v>
      </c>
      <c r="E50" s="101">
        <f>$C50*勿动!K50</f>
        <v>0</v>
      </c>
      <c r="F50" s="101">
        <f>$C50*勿动!L50</f>
        <v>0</v>
      </c>
      <c r="G50" s="101">
        <f>$C50*勿动!M50</f>
        <v>3</v>
      </c>
      <c r="H50" s="101">
        <f>$C50*勿动!N50</f>
        <v>0</v>
      </c>
      <c r="I50" s="101">
        <f>$C50*勿动!O50</f>
        <v>4</v>
      </c>
      <c r="J50" s="101">
        <f>$C50*勿动!P50</f>
        <v>0</v>
      </c>
      <c r="K50" s="101">
        <f>$C50*勿动!Q50</f>
        <v>0</v>
      </c>
      <c r="L50" s="101">
        <f>$C50*勿动!R50</f>
        <v>0</v>
      </c>
      <c r="M50" s="101">
        <f>$C50*勿动!S50</f>
        <v>1</v>
      </c>
      <c r="N50" s="101">
        <f>$C50*勿动!T50</f>
        <v>0</v>
      </c>
      <c r="O50" s="101">
        <f>$C50*勿动!U50</f>
        <v>0</v>
      </c>
      <c r="P50" s="101">
        <f>$C50*勿动!V50</f>
        <v>1</v>
      </c>
      <c r="Q50" s="101">
        <f>$C50*勿动!W50</f>
        <v>0</v>
      </c>
      <c r="R50" s="101">
        <f>$C50*勿动!X50</f>
        <v>0</v>
      </c>
      <c r="S50" s="101">
        <f>$C50*勿动!Y50</f>
        <v>0</v>
      </c>
      <c r="T50" s="101">
        <f>$C50*勿动!Z50</f>
        <v>0</v>
      </c>
      <c r="U50" s="101">
        <f>$C50*勿动!AA50</f>
        <v>0</v>
      </c>
      <c r="V50" s="101">
        <f>$C50*勿动!AB50</f>
        <v>0</v>
      </c>
      <c r="W50" s="101">
        <f>$C50*勿动!AC50</f>
        <v>0</v>
      </c>
      <c r="X50" s="101">
        <f>$C50*勿动!AD50</f>
        <v>0</v>
      </c>
      <c r="Y50" s="101">
        <f>$C50*勿动!AE50</f>
        <v>0</v>
      </c>
      <c r="Z50" s="101">
        <f>$C50*勿动!AF50</f>
        <v>0</v>
      </c>
      <c r="AA50" s="101">
        <f>$C50*勿动!AG50</f>
        <v>0</v>
      </c>
      <c r="AB50" s="101">
        <f>$C50*勿动!AH50</f>
        <v>0</v>
      </c>
      <c r="AC50" s="101">
        <f>$C50*勿动!AI50</f>
        <v>0</v>
      </c>
      <c r="AD50" s="101">
        <f>$C50*勿动!AJ50</f>
        <v>0</v>
      </c>
      <c r="AE50" s="101">
        <f>$C50*勿动!AK50</f>
        <v>0</v>
      </c>
      <c r="AF50" s="101">
        <f>$C50*勿动!AL50</f>
        <v>0</v>
      </c>
      <c r="AG50" s="101">
        <f>$C50*勿动!AM50</f>
        <v>0</v>
      </c>
      <c r="AH50" s="101">
        <f>$C50*勿动!AN50</f>
        <v>0</v>
      </c>
      <c r="AI50" s="101">
        <f>$C50*勿动!AO50</f>
        <v>0</v>
      </c>
      <c r="AJ50" s="101">
        <f>$C50*勿动!AP50</f>
        <v>0</v>
      </c>
      <c r="AK50" s="101">
        <f>$C50*勿动!AQ50</f>
        <v>0</v>
      </c>
      <c r="AL50" s="101">
        <f>$C50*勿动!AR50</f>
        <v>0</v>
      </c>
      <c r="AM50" s="101">
        <f>$C50*勿动!AS50</f>
        <v>0</v>
      </c>
      <c r="AN50" s="101">
        <f>$C50*勿动!AT50</f>
        <v>0</v>
      </c>
    </row>
    <row r="51" spans="1:40" x14ac:dyDescent="0.25">
      <c r="A51" s="76" t="s">
        <v>202</v>
      </c>
      <c r="B51" s="66">
        <v>1</v>
      </c>
      <c r="C51" s="101">
        <f t="shared" si="1"/>
        <v>1</v>
      </c>
      <c r="D51" s="101">
        <f>$C51*勿动!J51</f>
        <v>0</v>
      </c>
      <c r="E51" s="101">
        <f>$C51*勿动!K51</f>
        <v>1</v>
      </c>
      <c r="F51" s="101">
        <f>$C51*勿动!L51</f>
        <v>0</v>
      </c>
      <c r="G51" s="101">
        <f>$C51*勿动!M51</f>
        <v>0</v>
      </c>
      <c r="H51" s="101">
        <f>$C51*勿动!N51</f>
        <v>3</v>
      </c>
      <c r="I51" s="101">
        <f>$C51*勿动!O51</f>
        <v>2</v>
      </c>
      <c r="J51" s="101">
        <f>$C51*勿动!P51</f>
        <v>0</v>
      </c>
      <c r="K51" s="101">
        <f>$C51*勿动!Q51</f>
        <v>0</v>
      </c>
      <c r="L51" s="101">
        <f>$C51*勿动!R51</f>
        <v>0</v>
      </c>
      <c r="M51" s="101">
        <f>$C51*勿动!S51</f>
        <v>0</v>
      </c>
      <c r="N51" s="101">
        <f>$C51*勿动!T51</f>
        <v>0</v>
      </c>
      <c r="O51" s="101">
        <f>$C51*勿动!U51</f>
        <v>2</v>
      </c>
      <c r="P51" s="101">
        <f>$C51*勿动!V51</f>
        <v>0</v>
      </c>
      <c r="Q51" s="101">
        <f>$C51*勿动!W51</f>
        <v>0</v>
      </c>
      <c r="R51" s="101">
        <f>$C51*勿动!X51</f>
        <v>0</v>
      </c>
      <c r="S51" s="101">
        <f>$C51*勿动!Y51</f>
        <v>0</v>
      </c>
      <c r="T51" s="101">
        <f>$C51*勿动!Z51</f>
        <v>0</v>
      </c>
      <c r="U51" s="101">
        <f>$C51*勿动!AA51</f>
        <v>0</v>
      </c>
      <c r="V51" s="101">
        <f>$C51*勿动!AB51</f>
        <v>0</v>
      </c>
      <c r="W51" s="101">
        <f>$C51*勿动!AC51</f>
        <v>0</v>
      </c>
      <c r="X51" s="101">
        <f>$C51*勿动!AD51</f>
        <v>0</v>
      </c>
      <c r="Y51" s="101">
        <f>$C51*勿动!AE51</f>
        <v>0</v>
      </c>
      <c r="Z51" s="101">
        <f>$C51*勿动!AF51</f>
        <v>0</v>
      </c>
      <c r="AA51" s="101">
        <f>$C51*勿动!AG51</f>
        <v>0</v>
      </c>
      <c r="AB51" s="101">
        <f>$C51*勿动!AH51</f>
        <v>0</v>
      </c>
      <c r="AC51" s="101">
        <f>$C51*勿动!AI51</f>
        <v>0</v>
      </c>
      <c r="AD51" s="101">
        <f>$C51*勿动!AJ51</f>
        <v>0</v>
      </c>
      <c r="AE51" s="101">
        <f>$C51*勿动!AK51</f>
        <v>0</v>
      </c>
      <c r="AF51" s="101">
        <f>$C51*勿动!AL51</f>
        <v>0</v>
      </c>
      <c r="AG51" s="101">
        <f>$C51*勿动!AM51</f>
        <v>0</v>
      </c>
      <c r="AH51" s="101">
        <f>$C51*勿动!AN51</f>
        <v>0</v>
      </c>
      <c r="AI51" s="101">
        <f>$C51*勿动!AO51</f>
        <v>0</v>
      </c>
      <c r="AJ51" s="101">
        <f>$C51*勿动!AP51</f>
        <v>0</v>
      </c>
      <c r="AK51" s="101">
        <f>$C51*勿动!AQ51</f>
        <v>0</v>
      </c>
      <c r="AL51" s="101">
        <f>$C51*勿动!AR51</f>
        <v>0</v>
      </c>
      <c r="AM51" s="101">
        <f>$C51*勿动!AS51</f>
        <v>0</v>
      </c>
      <c r="AN51" s="101">
        <f>$C51*勿动!AT51</f>
        <v>0</v>
      </c>
    </row>
    <row r="52" spans="1:40" x14ac:dyDescent="0.25">
      <c r="A52" s="76" t="s">
        <v>205</v>
      </c>
      <c r="B52" s="66">
        <v>1</v>
      </c>
      <c r="C52" s="101">
        <f t="shared" si="1"/>
        <v>1</v>
      </c>
      <c r="D52" s="101">
        <f>$C52*勿动!J52</f>
        <v>0</v>
      </c>
      <c r="E52" s="101">
        <f>$C52*勿动!K52</f>
        <v>0</v>
      </c>
      <c r="F52" s="101">
        <f>$C52*勿动!L52</f>
        <v>4</v>
      </c>
      <c r="G52" s="101">
        <f>$C52*勿动!M52</f>
        <v>0</v>
      </c>
      <c r="H52" s="101">
        <f>$C52*勿动!N52</f>
        <v>4</v>
      </c>
      <c r="I52" s="101">
        <f>$C52*勿动!O52</f>
        <v>0</v>
      </c>
      <c r="J52" s="101">
        <f>$C52*勿动!P52</f>
        <v>0</v>
      </c>
      <c r="K52" s="101">
        <f>$C52*勿动!Q52</f>
        <v>0</v>
      </c>
      <c r="L52" s="101">
        <f>$C52*勿动!R52</f>
        <v>0</v>
      </c>
      <c r="M52" s="101">
        <f>$C52*勿动!S52</f>
        <v>0</v>
      </c>
      <c r="N52" s="101">
        <f>$C52*勿动!T52</f>
        <v>0</v>
      </c>
      <c r="O52" s="101">
        <f>$C52*勿动!U52</f>
        <v>0</v>
      </c>
      <c r="P52" s="101">
        <f>$C52*勿动!V52</f>
        <v>0</v>
      </c>
      <c r="Q52" s="101">
        <f>$C52*勿动!W52</f>
        <v>0</v>
      </c>
      <c r="R52" s="101">
        <f>$C52*勿动!X52</f>
        <v>0</v>
      </c>
      <c r="S52" s="101">
        <f>$C52*勿动!Y52</f>
        <v>0</v>
      </c>
      <c r="T52" s="101">
        <f>$C52*勿动!Z52</f>
        <v>0</v>
      </c>
      <c r="U52" s="101">
        <f>$C52*勿动!AA52</f>
        <v>0</v>
      </c>
      <c r="V52" s="101">
        <f>$C52*勿动!AB52</f>
        <v>0</v>
      </c>
      <c r="W52" s="101">
        <f>$C52*勿动!AC52</f>
        <v>0</v>
      </c>
      <c r="X52" s="101">
        <f>$C52*勿动!AD52</f>
        <v>0</v>
      </c>
      <c r="Y52" s="101">
        <f>$C52*勿动!AE52</f>
        <v>0</v>
      </c>
      <c r="Z52" s="101">
        <f>$C52*勿动!AF52</f>
        <v>0</v>
      </c>
      <c r="AA52" s="101">
        <f>$C52*勿动!AG52</f>
        <v>0</v>
      </c>
      <c r="AB52" s="101">
        <f>$C52*勿动!AH52</f>
        <v>0</v>
      </c>
      <c r="AC52" s="101">
        <f>$C52*勿动!AI52</f>
        <v>0</v>
      </c>
      <c r="AD52" s="101">
        <f>$C52*勿动!AJ52</f>
        <v>0</v>
      </c>
      <c r="AE52" s="101">
        <f>$C52*勿动!AK52</f>
        <v>0</v>
      </c>
      <c r="AF52" s="101">
        <f>$C52*勿动!AL52</f>
        <v>0</v>
      </c>
      <c r="AG52" s="101">
        <f>$C52*勿动!AM52</f>
        <v>0</v>
      </c>
      <c r="AH52" s="101">
        <f>$C52*勿动!AN52</f>
        <v>0</v>
      </c>
      <c r="AI52" s="101">
        <f>$C52*勿动!AO52</f>
        <v>0</v>
      </c>
      <c r="AJ52" s="101">
        <f>$C52*勿动!AP52</f>
        <v>0</v>
      </c>
      <c r="AK52" s="101">
        <f>$C52*勿动!AQ52</f>
        <v>0</v>
      </c>
      <c r="AL52" s="101">
        <f>$C52*勿动!AR52</f>
        <v>0</v>
      </c>
      <c r="AM52" s="101">
        <f>$C52*勿动!AS52</f>
        <v>0</v>
      </c>
      <c r="AN52" s="101">
        <f>$C52*勿动!AT52</f>
        <v>0</v>
      </c>
    </row>
    <row r="53" spans="1:40" x14ac:dyDescent="0.25">
      <c r="A53" s="76" t="s">
        <v>206</v>
      </c>
      <c r="B53" s="66">
        <v>1</v>
      </c>
      <c r="C53" s="101">
        <f t="shared" si="1"/>
        <v>1</v>
      </c>
      <c r="D53" s="101">
        <f>$C53*勿动!J53</f>
        <v>0</v>
      </c>
      <c r="E53" s="101">
        <f>$C53*勿动!K53</f>
        <v>0</v>
      </c>
      <c r="F53" s="101">
        <f>$C53*勿动!L53</f>
        <v>8</v>
      </c>
      <c r="G53" s="101">
        <f>$C53*勿动!M53</f>
        <v>8</v>
      </c>
      <c r="H53" s="101">
        <f>$C53*勿动!N53</f>
        <v>0</v>
      </c>
      <c r="I53" s="101">
        <f>$C53*勿动!O53</f>
        <v>0</v>
      </c>
      <c r="J53" s="101">
        <f>$C53*勿动!P53</f>
        <v>0</v>
      </c>
      <c r="K53" s="101">
        <f>$C53*勿动!Q53</f>
        <v>0</v>
      </c>
      <c r="L53" s="101">
        <f>$C53*勿动!R53</f>
        <v>0</v>
      </c>
      <c r="M53" s="101">
        <f>$C53*勿动!S53</f>
        <v>0</v>
      </c>
      <c r="N53" s="101">
        <f>$C53*勿动!T53</f>
        <v>0</v>
      </c>
      <c r="O53" s="101">
        <f>$C53*勿动!U53</f>
        <v>0</v>
      </c>
      <c r="P53" s="101">
        <f>$C53*勿动!V53</f>
        <v>0</v>
      </c>
      <c r="Q53" s="101">
        <f>$C53*勿动!W53</f>
        <v>0</v>
      </c>
      <c r="R53" s="101">
        <f>$C53*勿动!X53</f>
        <v>0</v>
      </c>
      <c r="S53" s="101">
        <f>$C53*勿动!Y53</f>
        <v>0</v>
      </c>
      <c r="T53" s="101">
        <f>$C53*勿动!Z53</f>
        <v>0</v>
      </c>
      <c r="U53" s="101">
        <f>$C53*勿动!AA53</f>
        <v>0</v>
      </c>
      <c r="V53" s="101">
        <f>$C53*勿动!AB53</f>
        <v>0</v>
      </c>
      <c r="W53" s="101">
        <f>$C53*勿动!AC53</f>
        <v>0</v>
      </c>
      <c r="X53" s="101">
        <f>$C53*勿动!AD53</f>
        <v>0</v>
      </c>
      <c r="Y53" s="101">
        <f>$C53*勿动!AE53</f>
        <v>0</v>
      </c>
      <c r="Z53" s="101">
        <f>$C53*勿动!AF53</f>
        <v>0</v>
      </c>
      <c r="AA53" s="101">
        <f>$C53*勿动!AG53</f>
        <v>0</v>
      </c>
      <c r="AB53" s="101">
        <f>$C53*勿动!AH53</f>
        <v>0</v>
      </c>
      <c r="AC53" s="101">
        <f>$C53*勿动!AI53</f>
        <v>0</v>
      </c>
      <c r="AD53" s="101">
        <f>$C53*勿动!AJ53</f>
        <v>0</v>
      </c>
      <c r="AE53" s="101">
        <f>$C53*勿动!AK53</f>
        <v>0</v>
      </c>
      <c r="AF53" s="101">
        <f>$C53*勿动!AL53</f>
        <v>0</v>
      </c>
      <c r="AG53" s="101">
        <f>$C53*勿动!AM53</f>
        <v>0</v>
      </c>
      <c r="AH53" s="101">
        <f>$C53*勿动!AN53</f>
        <v>0</v>
      </c>
      <c r="AI53" s="101">
        <f>$C53*勿动!AO53</f>
        <v>0</v>
      </c>
      <c r="AJ53" s="101">
        <f>$C53*勿动!AP53</f>
        <v>0</v>
      </c>
      <c r="AK53" s="101">
        <f>$C53*勿动!AQ53</f>
        <v>0</v>
      </c>
      <c r="AL53" s="101">
        <f>$C53*勿动!AR53</f>
        <v>0</v>
      </c>
      <c r="AM53" s="101">
        <f>$C53*勿动!AS53</f>
        <v>0</v>
      </c>
      <c r="AN53" s="101">
        <f>$C53*勿动!AT53</f>
        <v>0</v>
      </c>
    </row>
    <row r="54" spans="1:40" x14ac:dyDescent="0.25">
      <c r="A54" s="76" t="s">
        <v>207</v>
      </c>
      <c r="B54" s="66">
        <v>1</v>
      </c>
      <c r="C54" s="101">
        <f t="shared" si="1"/>
        <v>1</v>
      </c>
      <c r="D54" s="101">
        <f>$C54*勿动!J54</f>
        <v>0</v>
      </c>
      <c r="E54" s="101">
        <f>$C54*勿动!K54</f>
        <v>4</v>
      </c>
      <c r="F54" s="101">
        <f>$C54*勿动!L54</f>
        <v>4</v>
      </c>
      <c r="G54" s="101">
        <f>$C54*勿动!M54</f>
        <v>0</v>
      </c>
      <c r="H54" s="101">
        <f>$C54*勿动!N54</f>
        <v>8</v>
      </c>
      <c r="I54" s="101">
        <f>$C54*勿动!O54</f>
        <v>0</v>
      </c>
      <c r="J54" s="101">
        <f>$C54*勿动!P54</f>
        <v>0</v>
      </c>
      <c r="K54" s="101">
        <f>$C54*勿动!Q54</f>
        <v>0</v>
      </c>
      <c r="L54" s="101">
        <f>$C54*勿动!R54</f>
        <v>0</v>
      </c>
      <c r="M54" s="101">
        <f>$C54*勿动!S54</f>
        <v>0</v>
      </c>
      <c r="N54" s="101">
        <f>$C54*勿动!T54</f>
        <v>0</v>
      </c>
      <c r="O54" s="101">
        <f>$C54*勿动!U54</f>
        <v>0</v>
      </c>
      <c r="P54" s="101">
        <f>$C54*勿动!V54</f>
        <v>0</v>
      </c>
      <c r="Q54" s="101">
        <f>$C54*勿动!W54</f>
        <v>0</v>
      </c>
      <c r="R54" s="101">
        <f>$C54*勿动!X54</f>
        <v>0</v>
      </c>
      <c r="S54" s="101">
        <f>$C54*勿动!Y54</f>
        <v>0</v>
      </c>
      <c r="T54" s="101">
        <f>$C54*勿动!Z54</f>
        <v>0</v>
      </c>
      <c r="U54" s="101">
        <f>$C54*勿动!AA54</f>
        <v>0</v>
      </c>
      <c r="V54" s="101">
        <f>$C54*勿动!AB54</f>
        <v>0</v>
      </c>
      <c r="W54" s="101">
        <f>$C54*勿动!AC54</f>
        <v>0</v>
      </c>
      <c r="X54" s="101">
        <f>$C54*勿动!AD54</f>
        <v>0</v>
      </c>
      <c r="Y54" s="101">
        <f>$C54*勿动!AE54</f>
        <v>0</v>
      </c>
      <c r="Z54" s="101">
        <f>$C54*勿动!AF54</f>
        <v>0</v>
      </c>
      <c r="AA54" s="101">
        <f>$C54*勿动!AG54</f>
        <v>0</v>
      </c>
      <c r="AB54" s="101">
        <f>$C54*勿动!AH54</f>
        <v>0</v>
      </c>
      <c r="AC54" s="101">
        <f>$C54*勿动!AI54</f>
        <v>0</v>
      </c>
      <c r="AD54" s="101">
        <f>$C54*勿动!AJ54</f>
        <v>0</v>
      </c>
      <c r="AE54" s="101">
        <f>$C54*勿动!AK54</f>
        <v>0</v>
      </c>
      <c r="AF54" s="101">
        <f>$C54*勿动!AL54</f>
        <v>0</v>
      </c>
      <c r="AG54" s="101">
        <f>$C54*勿动!AM54</f>
        <v>0</v>
      </c>
      <c r="AH54" s="101">
        <f>$C54*勿动!AN54</f>
        <v>0</v>
      </c>
      <c r="AI54" s="101">
        <f>$C54*勿动!AO54</f>
        <v>0</v>
      </c>
      <c r="AJ54" s="101">
        <f>$C54*勿动!AP54</f>
        <v>0</v>
      </c>
      <c r="AK54" s="101">
        <f>$C54*勿动!AQ54</f>
        <v>0</v>
      </c>
      <c r="AL54" s="101">
        <f>$C54*勿动!AR54</f>
        <v>0</v>
      </c>
      <c r="AM54" s="101">
        <f>$C54*勿动!AS54</f>
        <v>0</v>
      </c>
      <c r="AN54" s="101">
        <f>$C54*勿动!AT54</f>
        <v>0</v>
      </c>
    </row>
    <row r="55" spans="1:40" x14ac:dyDescent="0.25">
      <c r="A55" s="69" t="s">
        <v>240</v>
      </c>
      <c r="B55" s="66">
        <v>1</v>
      </c>
      <c r="C55" s="101">
        <f t="shared" si="1"/>
        <v>1</v>
      </c>
      <c r="D55" s="101">
        <f>$C55*勿动!J55</f>
        <v>0</v>
      </c>
      <c r="E55" s="101">
        <f>$C55*勿动!K55</f>
        <v>0</v>
      </c>
      <c r="F55" s="101">
        <f>$C55*勿动!L55</f>
        <v>0</v>
      </c>
      <c r="G55" s="101">
        <f>$C55*勿动!M55</f>
        <v>0</v>
      </c>
      <c r="H55" s="101">
        <f>$C55*勿动!N55</f>
        <v>8</v>
      </c>
      <c r="I55" s="101">
        <f>$C55*勿动!O55</f>
        <v>8</v>
      </c>
      <c r="J55" s="101">
        <f>$C55*勿动!P55</f>
        <v>2</v>
      </c>
      <c r="K55" s="101">
        <f>$C55*勿动!Q55</f>
        <v>0</v>
      </c>
      <c r="L55" s="101">
        <f>$C55*勿动!R55</f>
        <v>0</v>
      </c>
      <c r="M55" s="101">
        <f>$C55*勿动!S55</f>
        <v>0</v>
      </c>
      <c r="N55" s="101">
        <f>$C55*勿动!T55</f>
        <v>0</v>
      </c>
      <c r="O55" s="101">
        <f>$C55*勿动!U55</f>
        <v>2</v>
      </c>
      <c r="P55" s="101">
        <f>$C55*勿动!V55</f>
        <v>0</v>
      </c>
      <c r="Q55" s="101">
        <f>$C55*勿动!W55</f>
        <v>0</v>
      </c>
      <c r="R55" s="101">
        <f>$C55*勿动!X55</f>
        <v>0</v>
      </c>
      <c r="S55" s="101">
        <f>$C55*勿动!Y55</f>
        <v>0</v>
      </c>
      <c r="T55" s="101">
        <f>$C55*勿动!Z55</f>
        <v>0</v>
      </c>
      <c r="U55" s="101">
        <f>$C55*勿动!AA55</f>
        <v>0</v>
      </c>
      <c r="V55" s="101">
        <f>$C55*勿动!AB55</f>
        <v>0</v>
      </c>
      <c r="W55" s="101">
        <f>$C55*勿动!AC55</f>
        <v>0</v>
      </c>
      <c r="X55" s="101">
        <f>$C55*勿动!AD55</f>
        <v>0</v>
      </c>
      <c r="Y55" s="101">
        <f>$C55*勿动!AE55</f>
        <v>0</v>
      </c>
      <c r="Z55" s="101">
        <f>$C55*勿动!AF55</f>
        <v>0</v>
      </c>
      <c r="AA55" s="101">
        <f>$C55*勿动!AG55</f>
        <v>0</v>
      </c>
      <c r="AB55" s="101">
        <f>$C55*勿动!AH55</f>
        <v>0</v>
      </c>
      <c r="AC55" s="101">
        <f>$C55*勿动!AI55</f>
        <v>0</v>
      </c>
      <c r="AD55" s="101">
        <f>$C55*勿动!AJ55</f>
        <v>0</v>
      </c>
      <c r="AE55" s="101">
        <f>$C55*勿动!AK55</f>
        <v>0</v>
      </c>
      <c r="AF55" s="101">
        <f>$C55*勿动!AL55</f>
        <v>0</v>
      </c>
      <c r="AG55" s="101">
        <f>$C55*勿动!AM55</f>
        <v>0</v>
      </c>
      <c r="AH55" s="101">
        <f>$C55*勿动!AN55</f>
        <v>0</v>
      </c>
      <c r="AI55" s="101">
        <f>$C55*勿动!AO55</f>
        <v>0</v>
      </c>
      <c r="AJ55" s="101">
        <f>$C55*勿动!AP55</f>
        <v>0</v>
      </c>
      <c r="AK55" s="101">
        <f>$C55*勿动!AQ55</f>
        <v>0</v>
      </c>
      <c r="AL55" s="101">
        <f>$C55*勿动!AR55</f>
        <v>0</v>
      </c>
      <c r="AM55" s="101">
        <f>$C55*勿动!AS55</f>
        <v>0</v>
      </c>
      <c r="AN55" s="101">
        <f>$C55*勿动!AT55</f>
        <v>0</v>
      </c>
    </row>
    <row r="56" spans="1:40" x14ac:dyDescent="0.25">
      <c r="A56" s="69" t="s">
        <v>241</v>
      </c>
      <c r="B56" s="66">
        <v>1</v>
      </c>
      <c r="C56" s="101">
        <f t="shared" si="1"/>
        <v>1</v>
      </c>
      <c r="D56" s="101">
        <f>$C56*勿动!J56</f>
        <v>0</v>
      </c>
      <c r="E56" s="101">
        <f>$C56*勿动!K56</f>
        <v>0</v>
      </c>
      <c r="F56" s="101">
        <f>$C56*勿动!L56</f>
        <v>0</v>
      </c>
      <c r="G56" s="101">
        <f>$C56*勿动!M56</f>
        <v>8</v>
      </c>
      <c r="H56" s="101">
        <f>$C56*勿动!N56</f>
        <v>0</v>
      </c>
      <c r="I56" s="101">
        <f>$C56*勿动!O56</f>
        <v>0</v>
      </c>
      <c r="J56" s="101">
        <f>$C56*勿动!P56</f>
        <v>0</v>
      </c>
      <c r="K56" s="101">
        <f>$C56*勿动!Q56</f>
        <v>6</v>
      </c>
      <c r="L56" s="101">
        <f>$C56*勿动!R56</f>
        <v>0</v>
      </c>
      <c r="M56" s="101">
        <f>$C56*勿动!S56</f>
        <v>0</v>
      </c>
      <c r="N56" s="101">
        <f>$C56*勿动!T56</f>
        <v>0</v>
      </c>
      <c r="O56" s="101">
        <f>$C56*勿动!U56</f>
        <v>12</v>
      </c>
      <c r="P56" s="101">
        <f>$C56*勿动!V56</f>
        <v>0</v>
      </c>
      <c r="Q56" s="101">
        <f>$C56*勿动!W56</f>
        <v>0</v>
      </c>
      <c r="R56" s="101">
        <f>$C56*勿动!X56</f>
        <v>0</v>
      </c>
      <c r="S56" s="101">
        <f>$C56*勿动!Y56</f>
        <v>0</v>
      </c>
      <c r="T56" s="101">
        <f>$C56*勿动!Z56</f>
        <v>0</v>
      </c>
      <c r="U56" s="101">
        <f>$C56*勿动!AA56</f>
        <v>0</v>
      </c>
      <c r="V56" s="101">
        <f>$C56*勿动!AB56</f>
        <v>0</v>
      </c>
      <c r="W56" s="101">
        <f>$C56*勿动!AC56</f>
        <v>0</v>
      </c>
      <c r="X56" s="101">
        <f>$C56*勿动!AD56</f>
        <v>0</v>
      </c>
      <c r="Y56" s="101">
        <f>$C56*勿动!AE56</f>
        <v>0</v>
      </c>
      <c r="Z56" s="101">
        <f>$C56*勿动!AF56</f>
        <v>0</v>
      </c>
      <c r="AA56" s="101">
        <f>$C56*勿动!AG56</f>
        <v>6</v>
      </c>
      <c r="AB56" s="101">
        <f>$C56*勿动!AH56</f>
        <v>0</v>
      </c>
      <c r="AC56" s="101">
        <f>$C56*勿动!AI56</f>
        <v>0</v>
      </c>
      <c r="AD56" s="101">
        <f>$C56*勿动!AJ56</f>
        <v>0</v>
      </c>
      <c r="AE56" s="101">
        <f>$C56*勿动!AK56</f>
        <v>0</v>
      </c>
      <c r="AF56" s="101">
        <f>$C56*勿动!AL56</f>
        <v>0</v>
      </c>
      <c r="AG56" s="101">
        <f>$C56*勿动!AM56</f>
        <v>0</v>
      </c>
      <c r="AH56" s="101">
        <f>$C56*勿动!AN56</f>
        <v>0</v>
      </c>
      <c r="AI56" s="101">
        <f>$C56*勿动!AO56</f>
        <v>0</v>
      </c>
      <c r="AJ56" s="101">
        <f>$C56*勿动!AP56</f>
        <v>0</v>
      </c>
      <c r="AK56" s="101">
        <f>$C56*勿动!AQ56</f>
        <v>0</v>
      </c>
      <c r="AL56" s="101">
        <f>$C56*勿动!AR56</f>
        <v>0</v>
      </c>
      <c r="AM56" s="101">
        <f>$C56*勿动!AS56</f>
        <v>0</v>
      </c>
      <c r="AN56" s="101">
        <f>$C56*勿动!AT56</f>
        <v>0</v>
      </c>
    </row>
    <row r="57" spans="1:40" x14ac:dyDescent="0.25">
      <c r="A57" s="69" t="s">
        <v>243</v>
      </c>
      <c r="B57" s="66">
        <v>1</v>
      </c>
      <c r="C57" s="101">
        <f t="shared" si="1"/>
        <v>1</v>
      </c>
      <c r="D57" s="101">
        <f>$C57*勿动!J57</f>
        <v>0</v>
      </c>
      <c r="E57" s="101">
        <f>$C57*勿动!K57</f>
        <v>0</v>
      </c>
      <c r="F57" s="101">
        <f>$C57*勿动!L57</f>
        <v>0</v>
      </c>
      <c r="G57" s="101">
        <f>$C57*勿动!M57</f>
        <v>10</v>
      </c>
      <c r="H57" s="101">
        <f>$C57*勿动!N57</f>
        <v>0</v>
      </c>
      <c r="I57" s="101">
        <f>$C57*勿动!O57</f>
        <v>0</v>
      </c>
      <c r="J57" s="101">
        <f>$C57*勿动!P57</f>
        <v>0</v>
      </c>
      <c r="K57" s="101">
        <f>$C57*勿动!Q57</f>
        <v>8</v>
      </c>
      <c r="L57" s="101">
        <f>$C57*勿动!R57</f>
        <v>0</v>
      </c>
      <c r="M57" s="101">
        <f>$C57*勿动!S57</f>
        <v>2</v>
      </c>
      <c r="N57" s="101">
        <f>$C57*勿动!T57</f>
        <v>0</v>
      </c>
      <c r="O57" s="101">
        <f>$C57*勿动!U57</f>
        <v>10</v>
      </c>
      <c r="P57" s="101">
        <f>$C57*勿动!V57</f>
        <v>0</v>
      </c>
      <c r="Q57" s="101">
        <f>$C57*勿动!W57</f>
        <v>0</v>
      </c>
      <c r="R57" s="101">
        <f>$C57*勿动!X57</f>
        <v>0</v>
      </c>
      <c r="S57" s="101">
        <f>$C57*勿动!Y57</f>
        <v>0</v>
      </c>
      <c r="T57" s="101">
        <f>$C57*勿动!Z57</f>
        <v>0</v>
      </c>
      <c r="U57" s="101">
        <f>$C57*勿动!AA57</f>
        <v>0</v>
      </c>
      <c r="V57" s="101">
        <f>$C57*勿动!AB57</f>
        <v>0</v>
      </c>
      <c r="W57" s="101">
        <f>$C57*勿动!AC57</f>
        <v>0</v>
      </c>
      <c r="X57" s="101">
        <f>$C57*勿动!AD57</f>
        <v>0</v>
      </c>
      <c r="Y57" s="101">
        <f>$C57*勿动!AE57</f>
        <v>0</v>
      </c>
      <c r="Z57" s="101">
        <f>$C57*勿动!AF57</f>
        <v>0</v>
      </c>
      <c r="AA57" s="101">
        <f>$C57*勿动!AG57</f>
        <v>0</v>
      </c>
      <c r="AB57" s="101">
        <f>$C57*勿动!AH57</f>
        <v>0</v>
      </c>
      <c r="AC57" s="101">
        <f>$C57*勿动!AI57</f>
        <v>0</v>
      </c>
      <c r="AD57" s="101">
        <f>$C57*勿动!AJ57</f>
        <v>0</v>
      </c>
      <c r="AE57" s="101">
        <f>$C57*勿动!AK57</f>
        <v>0</v>
      </c>
      <c r="AF57" s="101">
        <f>$C57*勿动!AL57</f>
        <v>0</v>
      </c>
      <c r="AG57" s="101">
        <f>$C57*勿动!AM57</f>
        <v>0</v>
      </c>
      <c r="AH57" s="101">
        <f>$C57*勿动!AN57</f>
        <v>0</v>
      </c>
      <c r="AI57" s="101">
        <f>$C57*勿动!AO57</f>
        <v>0</v>
      </c>
      <c r="AJ57" s="101">
        <f>$C57*勿动!AP57</f>
        <v>0</v>
      </c>
      <c r="AK57" s="101">
        <f>$C57*勿动!AQ57</f>
        <v>0</v>
      </c>
      <c r="AL57" s="101">
        <f>$C57*勿动!AR57</f>
        <v>0</v>
      </c>
      <c r="AM57" s="101">
        <f>$C57*勿动!AS57</f>
        <v>0</v>
      </c>
      <c r="AN57" s="101">
        <f>$C57*勿动!AT57</f>
        <v>0</v>
      </c>
    </row>
    <row r="58" spans="1:40" x14ac:dyDescent="0.25">
      <c r="A58" s="69" t="s">
        <v>244</v>
      </c>
      <c r="B58" s="66">
        <v>1</v>
      </c>
      <c r="C58" s="101">
        <f t="shared" si="1"/>
        <v>1</v>
      </c>
      <c r="D58" s="101">
        <f>$C58*勿动!J58</f>
        <v>0</v>
      </c>
      <c r="E58" s="101">
        <f>$C58*勿动!K58</f>
        <v>0</v>
      </c>
      <c r="F58" s="101">
        <f>$C58*勿动!L58</f>
        <v>0</v>
      </c>
      <c r="G58" s="101">
        <f>$C58*勿动!M58</f>
        <v>9</v>
      </c>
      <c r="H58" s="101">
        <f>$C58*勿动!N58</f>
        <v>0</v>
      </c>
      <c r="I58" s="101">
        <f>$C58*勿动!O58</f>
        <v>0</v>
      </c>
      <c r="J58" s="101">
        <f>$C58*勿动!P58</f>
        <v>0</v>
      </c>
      <c r="K58" s="101">
        <f>$C58*勿动!Q58</f>
        <v>0</v>
      </c>
      <c r="L58" s="101">
        <f>$C58*勿动!R58</f>
        <v>0</v>
      </c>
      <c r="M58" s="101">
        <f>$C58*勿动!S58</f>
        <v>0</v>
      </c>
      <c r="N58" s="101">
        <f>$C58*勿动!T58</f>
        <v>0</v>
      </c>
      <c r="O58" s="101">
        <f>$C58*勿动!U58</f>
        <v>6</v>
      </c>
      <c r="P58" s="101">
        <f>$C58*勿动!V58</f>
        <v>0</v>
      </c>
      <c r="Q58" s="101">
        <f>$C58*勿动!W58</f>
        <v>0</v>
      </c>
      <c r="R58" s="101">
        <f>$C58*勿动!X58</f>
        <v>6</v>
      </c>
      <c r="S58" s="101">
        <f>$C58*勿动!Y58</f>
        <v>9</v>
      </c>
      <c r="T58" s="101">
        <f>$C58*勿动!Z58</f>
        <v>0</v>
      </c>
      <c r="U58" s="101">
        <f>$C58*勿动!AA58</f>
        <v>0</v>
      </c>
      <c r="V58" s="101">
        <f>$C58*勿动!AB58</f>
        <v>0</v>
      </c>
      <c r="W58" s="101">
        <f>$C58*勿动!AC58</f>
        <v>0</v>
      </c>
      <c r="X58" s="101">
        <f>$C58*勿动!AD58</f>
        <v>0</v>
      </c>
      <c r="Y58" s="101">
        <f>$C58*勿动!AE58</f>
        <v>0</v>
      </c>
      <c r="Z58" s="101">
        <f>$C58*勿动!AF58</f>
        <v>0</v>
      </c>
      <c r="AA58" s="101">
        <f>$C58*勿动!AG58</f>
        <v>0</v>
      </c>
      <c r="AB58" s="101">
        <f>$C58*勿动!AH58</f>
        <v>0</v>
      </c>
      <c r="AC58" s="101">
        <f>$C58*勿动!AI58</f>
        <v>0</v>
      </c>
      <c r="AD58" s="101">
        <f>$C58*勿动!AJ58</f>
        <v>0</v>
      </c>
      <c r="AE58" s="101">
        <f>$C58*勿动!AK58</f>
        <v>0</v>
      </c>
      <c r="AF58" s="101">
        <f>$C58*勿动!AL58</f>
        <v>0</v>
      </c>
      <c r="AG58" s="101">
        <f>$C58*勿动!AM58</f>
        <v>0</v>
      </c>
      <c r="AH58" s="101">
        <f>$C58*勿动!AN58</f>
        <v>0</v>
      </c>
      <c r="AI58" s="101">
        <f>$C58*勿动!AO58</f>
        <v>0</v>
      </c>
      <c r="AJ58" s="101">
        <f>$C58*勿动!AP58</f>
        <v>0</v>
      </c>
      <c r="AK58" s="101">
        <f>$C58*勿动!AQ58</f>
        <v>0</v>
      </c>
      <c r="AL58" s="101">
        <f>$C58*勿动!AR58</f>
        <v>0</v>
      </c>
      <c r="AM58" s="101">
        <f>$C58*勿动!AS58</f>
        <v>0</v>
      </c>
      <c r="AN58" s="101">
        <f>$C58*勿动!AT58</f>
        <v>0</v>
      </c>
    </row>
    <row r="59" spans="1:40" x14ac:dyDescent="0.25">
      <c r="A59" s="69" t="s">
        <v>245</v>
      </c>
      <c r="B59" s="66">
        <v>1</v>
      </c>
      <c r="C59" s="101">
        <f t="shared" si="1"/>
        <v>1</v>
      </c>
      <c r="D59" s="101">
        <f>$C59*勿动!J59</f>
        <v>0</v>
      </c>
      <c r="E59" s="101">
        <f>$C59*勿动!K59</f>
        <v>0</v>
      </c>
      <c r="F59" s="101">
        <f>$C59*勿动!L59</f>
        <v>0</v>
      </c>
      <c r="G59" s="101">
        <f>$C59*勿动!M59</f>
        <v>0</v>
      </c>
      <c r="H59" s="101">
        <f>$C59*勿动!N59</f>
        <v>0</v>
      </c>
      <c r="I59" s="101">
        <f>$C59*勿动!O59</f>
        <v>0</v>
      </c>
      <c r="J59" s="101">
        <f>$C59*勿动!P59</f>
        <v>0</v>
      </c>
      <c r="K59" s="101">
        <f>$C59*勿动!Q59</f>
        <v>0</v>
      </c>
      <c r="L59" s="101">
        <f>$C59*勿动!R59</f>
        <v>0</v>
      </c>
      <c r="M59" s="101">
        <f>$C59*勿动!S59</f>
        <v>10</v>
      </c>
      <c r="N59" s="101">
        <f>$C59*勿动!T59</f>
        <v>0</v>
      </c>
      <c r="O59" s="101">
        <f>$C59*勿动!U59</f>
        <v>0</v>
      </c>
      <c r="P59" s="101">
        <f>$C59*勿动!V59</f>
        <v>5</v>
      </c>
      <c r="Q59" s="101">
        <f>$C59*勿动!W59</f>
        <v>0</v>
      </c>
      <c r="R59" s="101">
        <f>$C59*勿动!X59</f>
        <v>5</v>
      </c>
      <c r="S59" s="101">
        <f>$C59*勿动!Y59</f>
        <v>0</v>
      </c>
      <c r="T59" s="101">
        <f>$C59*勿动!Z59</f>
        <v>0</v>
      </c>
      <c r="U59" s="101">
        <f>$C59*勿动!AA59</f>
        <v>20</v>
      </c>
      <c r="V59" s="101">
        <f>$C59*勿动!AB59</f>
        <v>0</v>
      </c>
      <c r="W59" s="101">
        <f>$C59*勿动!AC59</f>
        <v>10</v>
      </c>
      <c r="X59" s="101">
        <f>$C59*勿动!AD59</f>
        <v>0</v>
      </c>
      <c r="Y59" s="101">
        <f>$C59*勿动!AE59</f>
        <v>0</v>
      </c>
      <c r="Z59" s="101">
        <f>$C59*勿动!AF59</f>
        <v>0</v>
      </c>
      <c r="AA59" s="101">
        <f>$C59*勿动!AG59</f>
        <v>0</v>
      </c>
      <c r="AB59" s="101">
        <f>$C59*勿动!AH59</f>
        <v>0</v>
      </c>
      <c r="AC59" s="101">
        <f>$C59*勿动!AI59</f>
        <v>0</v>
      </c>
      <c r="AD59" s="101">
        <f>$C59*勿动!AJ59</f>
        <v>0</v>
      </c>
      <c r="AE59" s="101">
        <f>$C59*勿动!AK59</f>
        <v>0</v>
      </c>
      <c r="AF59" s="101">
        <f>$C59*勿动!AL59</f>
        <v>0</v>
      </c>
      <c r="AG59" s="101">
        <f>$C59*勿动!AM59</f>
        <v>0</v>
      </c>
      <c r="AH59" s="101">
        <f>$C59*勿动!AN59</f>
        <v>0</v>
      </c>
      <c r="AI59" s="101">
        <f>$C59*勿动!AO59</f>
        <v>0</v>
      </c>
      <c r="AJ59" s="101">
        <f>$C59*勿动!AP59</f>
        <v>0</v>
      </c>
      <c r="AK59" s="101">
        <f>$C59*勿动!AQ59</f>
        <v>0</v>
      </c>
      <c r="AL59" s="101">
        <f>$C59*勿动!AR59</f>
        <v>0</v>
      </c>
      <c r="AM59" s="101">
        <f>$C59*勿动!AS59</f>
        <v>0</v>
      </c>
      <c r="AN59" s="101">
        <f>$C59*勿动!AT59</f>
        <v>0</v>
      </c>
    </row>
    <row r="60" spans="1:40" x14ac:dyDescent="0.25">
      <c r="A60" s="69" t="s">
        <v>246</v>
      </c>
      <c r="B60" s="66">
        <v>1</v>
      </c>
      <c r="C60" s="101">
        <f t="shared" si="1"/>
        <v>1</v>
      </c>
      <c r="D60" s="101">
        <f>$C60*勿动!J60</f>
        <v>0</v>
      </c>
      <c r="E60" s="101">
        <f>$C60*勿动!K60</f>
        <v>0</v>
      </c>
      <c r="F60" s="101">
        <f>$C60*勿动!L60</f>
        <v>0</v>
      </c>
      <c r="G60" s="101">
        <f>$C60*勿动!M60</f>
        <v>15</v>
      </c>
      <c r="H60" s="101">
        <f>$C60*勿动!N60</f>
        <v>0</v>
      </c>
      <c r="I60" s="101">
        <f>$C60*勿动!O60</f>
        <v>0</v>
      </c>
      <c r="J60" s="101">
        <f>$C60*勿动!P60</f>
        <v>0</v>
      </c>
      <c r="K60" s="101">
        <f>$C60*勿动!Q60</f>
        <v>0</v>
      </c>
      <c r="L60" s="101">
        <f>$C60*勿动!R60</f>
        <v>0</v>
      </c>
      <c r="M60" s="101">
        <f>$C60*勿动!S60</f>
        <v>5</v>
      </c>
      <c r="N60" s="101">
        <f>$C60*勿动!T60</f>
        <v>0</v>
      </c>
      <c r="O60" s="101">
        <f>$C60*勿动!U60</f>
        <v>0</v>
      </c>
      <c r="P60" s="101">
        <f>$C60*勿动!V60</f>
        <v>5</v>
      </c>
      <c r="Q60" s="101">
        <f>$C60*勿动!W60</f>
        <v>0</v>
      </c>
      <c r="R60" s="101">
        <f>$C60*勿动!X60</f>
        <v>5</v>
      </c>
      <c r="S60" s="101">
        <f>$C60*勿动!Y60</f>
        <v>0</v>
      </c>
      <c r="T60" s="101">
        <f>$C60*勿动!Z60</f>
        <v>0</v>
      </c>
      <c r="U60" s="101">
        <f>$C60*勿动!AA60</f>
        <v>0</v>
      </c>
      <c r="V60" s="101">
        <f>$C60*勿动!AB60</f>
        <v>0</v>
      </c>
      <c r="W60" s="101">
        <f>$C60*勿动!AC60</f>
        <v>0</v>
      </c>
      <c r="X60" s="101">
        <f>$C60*勿动!AD60</f>
        <v>0</v>
      </c>
      <c r="Y60" s="101">
        <f>$C60*勿动!AE60</f>
        <v>0</v>
      </c>
      <c r="Z60" s="101">
        <f>$C60*勿动!AF60</f>
        <v>0</v>
      </c>
      <c r="AA60" s="101">
        <f>$C60*勿动!AG60</f>
        <v>0</v>
      </c>
      <c r="AB60" s="101">
        <f>$C60*勿动!AH60</f>
        <v>0</v>
      </c>
      <c r="AC60" s="101">
        <f>$C60*勿动!AI60</f>
        <v>0</v>
      </c>
      <c r="AD60" s="101">
        <f>$C60*勿动!AJ60</f>
        <v>0</v>
      </c>
      <c r="AE60" s="101">
        <f>$C60*勿动!AK60</f>
        <v>0</v>
      </c>
      <c r="AF60" s="101">
        <f>$C60*勿动!AL60</f>
        <v>0</v>
      </c>
      <c r="AG60" s="101">
        <f>$C60*勿动!AM60</f>
        <v>0</v>
      </c>
      <c r="AH60" s="101">
        <f>$C60*勿动!AN60</f>
        <v>0</v>
      </c>
      <c r="AI60" s="101">
        <f>$C60*勿动!AO60</f>
        <v>0</v>
      </c>
      <c r="AJ60" s="101">
        <f>$C60*勿动!AP60</f>
        <v>0</v>
      </c>
      <c r="AK60" s="101">
        <f>$C60*勿动!AQ60</f>
        <v>0</v>
      </c>
      <c r="AL60" s="101">
        <f>$C60*勿动!AR60</f>
        <v>0</v>
      </c>
      <c r="AM60" s="101">
        <f>$C60*勿动!AS60</f>
        <v>0</v>
      </c>
      <c r="AN60" s="101">
        <f>$C60*勿动!AT60</f>
        <v>0</v>
      </c>
    </row>
    <row r="61" spans="1:40" x14ac:dyDescent="0.25">
      <c r="A61" s="69" t="s">
        <v>247</v>
      </c>
      <c r="B61" s="66">
        <v>1</v>
      </c>
      <c r="C61" s="101">
        <f t="shared" si="1"/>
        <v>1</v>
      </c>
      <c r="D61" s="101">
        <f>$C61*勿动!J61</f>
        <v>0</v>
      </c>
      <c r="E61" s="101">
        <f>$C61*勿动!K61</f>
        <v>0</v>
      </c>
      <c r="F61" s="101">
        <f>$C61*勿动!L61</f>
        <v>0</v>
      </c>
      <c r="G61" s="101">
        <f>$C61*勿动!M61</f>
        <v>12</v>
      </c>
      <c r="H61" s="101">
        <f>$C61*勿动!N61</f>
        <v>0</v>
      </c>
      <c r="I61" s="101">
        <f>$C61*勿动!O61</f>
        <v>0</v>
      </c>
      <c r="J61" s="101">
        <f>$C61*勿动!P61</f>
        <v>0</v>
      </c>
      <c r="K61" s="101">
        <f>$C61*勿动!Q61</f>
        <v>0</v>
      </c>
      <c r="L61" s="101">
        <f>$C61*勿动!R61</f>
        <v>0</v>
      </c>
      <c r="M61" s="101">
        <f>$C61*勿动!S61</f>
        <v>0</v>
      </c>
      <c r="N61" s="101">
        <f>$C61*勿动!T61</f>
        <v>0</v>
      </c>
      <c r="O61" s="101">
        <f>$C61*勿动!U61</f>
        <v>18</v>
      </c>
      <c r="P61" s="101">
        <f>$C61*勿动!V61</f>
        <v>0</v>
      </c>
      <c r="Q61" s="101">
        <f>$C61*勿动!W61</f>
        <v>0</v>
      </c>
      <c r="R61" s="101">
        <f>$C61*勿动!X61</f>
        <v>0</v>
      </c>
      <c r="S61" s="101">
        <f>$C61*勿动!Y61</f>
        <v>0</v>
      </c>
      <c r="T61" s="101">
        <f>$C61*勿动!Z61</f>
        <v>0</v>
      </c>
      <c r="U61" s="101">
        <f>$C61*勿动!AA61</f>
        <v>0</v>
      </c>
      <c r="V61" s="101">
        <f>$C61*勿动!AB61</f>
        <v>0</v>
      </c>
      <c r="W61" s="101">
        <f>$C61*勿动!AC61</f>
        <v>0</v>
      </c>
      <c r="X61" s="101">
        <f>$C61*勿动!AD61</f>
        <v>0</v>
      </c>
      <c r="Y61" s="101">
        <f>$C61*勿动!AE61</f>
        <v>0</v>
      </c>
      <c r="Z61" s="101">
        <f>$C61*勿动!AF61</f>
        <v>6</v>
      </c>
      <c r="AA61" s="101">
        <f>$C61*勿动!AG61</f>
        <v>12</v>
      </c>
      <c r="AB61" s="101">
        <f>$C61*勿动!AH61</f>
        <v>0</v>
      </c>
      <c r="AC61" s="101">
        <f>$C61*勿动!AI61</f>
        <v>0</v>
      </c>
      <c r="AD61" s="101">
        <f>$C61*勿动!AJ61</f>
        <v>0</v>
      </c>
      <c r="AE61" s="101">
        <f>$C61*勿动!AK61</f>
        <v>0</v>
      </c>
      <c r="AF61" s="101">
        <f>$C61*勿动!AL61</f>
        <v>0</v>
      </c>
      <c r="AG61" s="101">
        <f>$C61*勿动!AM61</f>
        <v>0</v>
      </c>
      <c r="AH61" s="101">
        <f>$C61*勿动!AN61</f>
        <v>0</v>
      </c>
      <c r="AI61" s="101">
        <f>$C61*勿动!AO61</f>
        <v>0</v>
      </c>
      <c r="AJ61" s="101">
        <f>$C61*勿动!AP61</f>
        <v>0</v>
      </c>
      <c r="AK61" s="101">
        <f>$C61*勿动!AQ61</f>
        <v>0</v>
      </c>
      <c r="AL61" s="101">
        <f>$C61*勿动!AR61</f>
        <v>0</v>
      </c>
      <c r="AM61" s="101">
        <f>$C61*勿动!AS61</f>
        <v>0</v>
      </c>
      <c r="AN61" s="101">
        <f>$C61*勿动!AT61</f>
        <v>0</v>
      </c>
    </row>
    <row r="62" spans="1:40" x14ac:dyDescent="0.25">
      <c r="A62" s="69" t="s">
        <v>248</v>
      </c>
      <c r="B62" s="66">
        <v>1</v>
      </c>
      <c r="C62" s="101">
        <f t="shared" si="1"/>
        <v>1</v>
      </c>
      <c r="D62" s="101">
        <f>$C62*勿动!J62</f>
        <v>12</v>
      </c>
      <c r="E62" s="101">
        <f>$C62*勿动!K62</f>
        <v>0</v>
      </c>
      <c r="F62" s="101">
        <f>$C62*勿动!L62</f>
        <v>0</v>
      </c>
      <c r="G62" s="101">
        <f>$C62*勿动!M62</f>
        <v>0</v>
      </c>
      <c r="H62" s="101">
        <f>$C62*勿动!N62</f>
        <v>0</v>
      </c>
      <c r="I62" s="101">
        <f>$C62*勿动!O62</f>
        <v>0</v>
      </c>
      <c r="J62" s="101">
        <f>$C62*勿动!P62</f>
        <v>0</v>
      </c>
      <c r="K62" s="101">
        <f>$C62*勿动!Q62</f>
        <v>0</v>
      </c>
      <c r="L62" s="101">
        <f>$C62*勿动!R62</f>
        <v>0</v>
      </c>
      <c r="M62" s="101">
        <f>$C62*勿动!S62</f>
        <v>0</v>
      </c>
      <c r="N62" s="101">
        <f>$C62*勿动!T62</f>
        <v>0</v>
      </c>
      <c r="O62" s="101">
        <f>$C62*勿动!U62</f>
        <v>0</v>
      </c>
      <c r="P62" s="101">
        <f>$C62*勿动!V62</f>
        <v>3</v>
      </c>
      <c r="Q62" s="101">
        <f>$C62*勿动!W62</f>
        <v>0</v>
      </c>
      <c r="R62" s="101">
        <f>$C62*勿动!X62</f>
        <v>9</v>
      </c>
      <c r="S62" s="101">
        <f>$C62*勿动!Y62</f>
        <v>0</v>
      </c>
      <c r="T62" s="101">
        <f>$C62*勿动!Z62</f>
        <v>0</v>
      </c>
      <c r="U62" s="101">
        <f>$C62*勿动!AA62</f>
        <v>0</v>
      </c>
      <c r="V62" s="101">
        <f>$C62*勿动!AB62</f>
        <v>0</v>
      </c>
      <c r="W62" s="101">
        <f>$C62*勿动!AC62</f>
        <v>0</v>
      </c>
      <c r="X62" s="101">
        <f>$C62*勿动!AD62</f>
        <v>0</v>
      </c>
      <c r="Y62" s="101">
        <f>$C62*勿动!AE62</f>
        <v>0</v>
      </c>
      <c r="Z62" s="101">
        <f>$C62*勿动!AF62</f>
        <v>0</v>
      </c>
      <c r="AA62" s="101">
        <f>$C62*勿动!AG62</f>
        <v>0</v>
      </c>
      <c r="AB62" s="101">
        <f>$C62*勿动!AH62</f>
        <v>0</v>
      </c>
      <c r="AC62" s="101">
        <f>$C62*勿动!AI62</f>
        <v>0</v>
      </c>
      <c r="AD62" s="101">
        <f>$C62*勿动!AJ62</f>
        <v>0</v>
      </c>
      <c r="AE62" s="101">
        <f>$C62*勿动!AK62</f>
        <v>0</v>
      </c>
      <c r="AF62" s="101">
        <f>$C62*勿动!AL62</f>
        <v>0</v>
      </c>
      <c r="AG62" s="101">
        <f>$C62*勿动!AM62</f>
        <v>0</v>
      </c>
      <c r="AH62" s="101">
        <f>$C62*勿动!AN62</f>
        <v>0</v>
      </c>
      <c r="AI62" s="101">
        <f>$C62*勿动!AO62</f>
        <v>0</v>
      </c>
      <c r="AJ62" s="101">
        <f>$C62*勿动!AP62</f>
        <v>6</v>
      </c>
      <c r="AK62" s="101">
        <f>$C62*勿动!AQ62</f>
        <v>0</v>
      </c>
      <c r="AL62" s="101">
        <f>$C62*勿动!AR62</f>
        <v>0</v>
      </c>
      <c r="AM62" s="101">
        <f>$C62*勿动!AS62</f>
        <v>0</v>
      </c>
      <c r="AN62" s="101">
        <f>$C62*勿动!AT62</f>
        <v>0</v>
      </c>
    </row>
    <row r="63" spans="1:40" x14ac:dyDescent="0.25">
      <c r="A63" s="69" t="s">
        <v>250</v>
      </c>
      <c r="B63" s="66">
        <v>1</v>
      </c>
      <c r="C63" s="101">
        <f t="shared" si="1"/>
        <v>1</v>
      </c>
      <c r="D63" s="101">
        <f>$C63*勿动!J63</f>
        <v>0</v>
      </c>
      <c r="E63" s="101">
        <f>$C63*勿动!K63</f>
        <v>0</v>
      </c>
      <c r="F63" s="101">
        <f>$C63*勿动!L63</f>
        <v>0</v>
      </c>
      <c r="G63" s="101">
        <f>$C63*勿动!M63</f>
        <v>12</v>
      </c>
      <c r="H63" s="101">
        <f>$C63*勿动!N63</f>
        <v>0</v>
      </c>
      <c r="I63" s="101">
        <f>$C63*勿动!O63</f>
        <v>0</v>
      </c>
      <c r="J63" s="101">
        <f>$C63*勿动!P63</f>
        <v>0</v>
      </c>
      <c r="K63" s="101">
        <f>$C63*勿动!Q63</f>
        <v>0</v>
      </c>
      <c r="L63" s="101">
        <f>$C63*勿动!R63</f>
        <v>0</v>
      </c>
      <c r="M63" s="101">
        <f>$C63*勿动!S63</f>
        <v>0</v>
      </c>
      <c r="N63" s="101">
        <f>$C63*勿动!T63</f>
        <v>0</v>
      </c>
      <c r="O63" s="101">
        <f>$C63*勿动!U63</f>
        <v>0</v>
      </c>
      <c r="P63" s="101">
        <f>$C63*勿动!V63</f>
        <v>0</v>
      </c>
      <c r="Q63" s="101">
        <f>$C63*勿动!W63</f>
        <v>0</v>
      </c>
      <c r="R63" s="101">
        <f>$C63*勿动!X63</f>
        <v>0</v>
      </c>
      <c r="S63" s="101">
        <f>$C63*勿动!Y63</f>
        <v>0</v>
      </c>
      <c r="T63" s="101">
        <f>$C63*勿动!Z63</f>
        <v>0</v>
      </c>
      <c r="U63" s="101">
        <f>$C63*勿动!AA63</f>
        <v>0</v>
      </c>
      <c r="V63" s="101">
        <f>$C63*勿动!AB63</f>
        <v>0</v>
      </c>
      <c r="W63" s="101">
        <f>$C63*勿动!AC63</f>
        <v>0</v>
      </c>
      <c r="X63" s="101">
        <f>$C63*勿动!AD63</f>
        <v>0</v>
      </c>
      <c r="Y63" s="101">
        <f>$C63*勿动!AE63</f>
        <v>6</v>
      </c>
      <c r="Z63" s="101">
        <f>$C63*勿动!AF63</f>
        <v>0</v>
      </c>
      <c r="AA63" s="101">
        <f>$C63*勿动!AG63</f>
        <v>0</v>
      </c>
      <c r="AB63" s="101">
        <f>$C63*勿动!AH63</f>
        <v>0</v>
      </c>
      <c r="AC63" s="101">
        <f>$C63*勿动!AI63</f>
        <v>0</v>
      </c>
      <c r="AD63" s="101">
        <f>$C63*勿动!AJ63</f>
        <v>0</v>
      </c>
      <c r="AE63" s="101">
        <f>$C63*勿动!AK63</f>
        <v>0</v>
      </c>
      <c r="AF63" s="101">
        <f>$C63*勿动!AL63</f>
        <v>0</v>
      </c>
      <c r="AG63" s="101">
        <f>$C63*勿动!AM63</f>
        <v>0</v>
      </c>
      <c r="AH63" s="101">
        <f>$C63*勿动!AN63</f>
        <v>0</v>
      </c>
      <c r="AI63" s="101">
        <f>$C63*勿动!AO63</f>
        <v>0</v>
      </c>
      <c r="AJ63" s="101">
        <f>$C63*勿动!AP63</f>
        <v>0</v>
      </c>
      <c r="AK63" s="101">
        <f>$C63*勿动!AQ63</f>
        <v>0</v>
      </c>
      <c r="AL63" s="101">
        <f>$C63*勿动!AR63</f>
        <v>0</v>
      </c>
      <c r="AM63" s="101">
        <f>$C63*勿动!AS63</f>
        <v>0</v>
      </c>
      <c r="AN63" s="101">
        <f>$C63*勿动!AT63</f>
        <v>0</v>
      </c>
    </row>
    <row r="64" spans="1:40" x14ac:dyDescent="0.25">
      <c r="A64" s="69" t="s">
        <v>251</v>
      </c>
      <c r="B64" s="66">
        <v>1</v>
      </c>
      <c r="C64" s="101">
        <f t="shared" si="1"/>
        <v>1</v>
      </c>
      <c r="D64" s="101">
        <f>$C64*勿动!J64</f>
        <v>0</v>
      </c>
      <c r="E64" s="101">
        <f>$C64*勿动!K64</f>
        <v>0</v>
      </c>
      <c r="F64" s="101">
        <f>$C64*勿动!L64</f>
        <v>0</v>
      </c>
      <c r="G64" s="101">
        <f>$C64*勿动!M64</f>
        <v>20</v>
      </c>
      <c r="H64" s="101">
        <f>$C64*勿动!N64</f>
        <v>0</v>
      </c>
      <c r="I64" s="101">
        <f>$C64*勿动!O64</f>
        <v>0</v>
      </c>
      <c r="J64" s="101">
        <f>$C64*勿动!P64</f>
        <v>0</v>
      </c>
      <c r="K64" s="101">
        <f>$C64*勿动!Q64</f>
        <v>0</v>
      </c>
      <c r="L64" s="101">
        <f>$C64*勿动!R64</f>
        <v>20</v>
      </c>
      <c r="M64" s="101">
        <f>$C64*勿动!S64</f>
        <v>5</v>
      </c>
      <c r="N64" s="101">
        <f>$C64*勿动!T64</f>
        <v>5</v>
      </c>
      <c r="O64" s="101">
        <f>$C64*勿动!U64</f>
        <v>0</v>
      </c>
      <c r="P64" s="101">
        <f>$C64*勿动!V64</f>
        <v>0</v>
      </c>
      <c r="Q64" s="101">
        <f>$C64*勿动!W64</f>
        <v>0</v>
      </c>
      <c r="R64" s="101">
        <f>$C64*勿动!X64</f>
        <v>0</v>
      </c>
      <c r="S64" s="101">
        <f>$C64*勿动!Y64</f>
        <v>0</v>
      </c>
      <c r="T64" s="101">
        <f>$C64*勿动!Z64</f>
        <v>0</v>
      </c>
      <c r="U64" s="101">
        <f>$C64*勿动!AA64</f>
        <v>0</v>
      </c>
      <c r="V64" s="101">
        <f>$C64*勿动!AB64</f>
        <v>0</v>
      </c>
      <c r="W64" s="101">
        <f>$C64*勿动!AC64</f>
        <v>0</v>
      </c>
      <c r="X64" s="101">
        <f>$C64*勿动!AD64</f>
        <v>0</v>
      </c>
      <c r="Y64" s="101">
        <f>$C64*勿动!AE64</f>
        <v>0</v>
      </c>
      <c r="Z64" s="101">
        <f>$C64*勿动!AF64</f>
        <v>0</v>
      </c>
      <c r="AA64" s="101">
        <f>$C64*勿动!AG64</f>
        <v>0</v>
      </c>
      <c r="AB64" s="101">
        <f>$C64*勿动!AH64</f>
        <v>0</v>
      </c>
      <c r="AC64" s="101">
        <f>$C64*勿动!AI64</f>
        <v>0</v>
      </c>
      <c r="AD64" s="101">
        <f>$C64*勿动!AJ64</f>
        <v>0</v>
      </c>
      <c r="AE64" s="101">
        <f>$C64*勿动!AK64</f>
        <v>0</v>
      </c>
      <c r="AF64" s="101">
        <f>$C64*勿动!AL64</f>
        <v>0</v>
      </c>
      <c r="AG64" s="101">
        <f>$C64*勿动!AM64</f>
        <v>0</v>
      </c>
      <c r="AH64" s="101">
        <f>$C64*勿动!AN64</f>
        <v>0</v>
      </c>
      <c r="AI64" s="101">
        <f>$C64*勿动!AO64</f>
        <v>0</v>
      </c>
      <c r="AJ64" s="101">
        <f>$C64*勿动!AP64</f>
        <v>0</v>
      </c>
      <c r="AK64" s="101">
        <f>$C64*勿动!AQ64</f>
        <v>0</v>
      </c>
      <c r="AL64" s="101">
        <f>$C64*勿动!AR64</f>
        <v>0</v>
      </c>
      <c r="AM64" s="101">
        <f>$C64*勿动!AS64</f>
        <v>0</v>
      </c>
      <c r="AN64" s="101">
        <f>$C64*勿动!AT64</f>
        <v>0</v>
      </c>
    </row>
    <row r="65" spans="1:40" x14ac:dyDescent="0.25"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</row>
    <row r="66" spans="1:40" x14ac:dyDescent="0.25">
      <c r="A66" s="65" t="s">
        <v>255</v>
      </c>
      <c r="C66" s="102"/>
      <c r="D66" s="102">
        <f>COUNTIF(D27:D64,"&gt;0")</f>
        <v>3</v>
      </c>
      <c r="E66" s="102">
        <f>COUNTIF(E2:E64,"&gt;0")</f>
        <v>5</v>
      </c>
      <c r="F66" s="102">
        <f>COUNTIF(F2:F64,"&gt;0")</f>
        <v>10</v>
      </c>
      <c r="G66" s="102">
        <f>COUNTIF(G2:G64,"&gt;0")</f>
        <v>19</v>
      </c>
      <c r="H66" s="102">
        <f t="shared" ref="H66:AN66" si="2">COUNTIF(H2:H64,"&gt;0")</f>
        <v>19</v>
      </c>
      <c r="I66" s="102">
        <f t="shared" si="2"/>
        <v>10</v>
      </c>
      <c r="J66" s="102">
        <f t="shared" si="2"/>
        <v>7</v>
      </c>
      <c r="K66" s="102">
        <f t="shared" si="2"/>
        <v>4</v>
      </c>
      <c r="L66" s="102">
        <f t="shared" si="2"/>
        <v>3</v>
      </c>
      <c r="M66" s="102">
        <f t="shared" si="2"/>
        <v>16</v>
      </c>
      <c r="N66" s="102">
        <f t="shared" si="2"/>
        <v>4</v>
      </c>
      <c r="O66" s="102">
        <f t="shared" si="2"/>
        <v>18</v>
      </c>
      <c r="P66" s="102">
        <f t="shared" si="2"/>
        <v>18</v>
      </c>
      <c r="Q66" s="102">
        <f t="shared" si="2"/>
        <v>7</v>
      </c>
      <c r="R66" s="102">
        <f t="shared" si="2"/>
        <v>9</v>
      </c>
      <c r="S66" s="102">
        <f t="shared" si="2"/>
        <v>3</v>
      </c>
      <c r="T66" s="102">
        <f t="shared" si="2"/>
        <v>1</v>
      </c>
      <c r="U66" s="102">
        <f t="shared" si="2"/>
        <v>9</v>
      </c>
      <c r="V66" s="102">
        <f t="shared" si="2"/>
        <v>6</v>
      </c>
      <c r="W66" s="102">
        <f t="shared" si="2"/>
        <v>2</v>
      </c>
      <c r="X66" s="102">
        <f t="shared" si="2"/>
        <v>2</v>
      </c>
      <c r="Y66" s="102">
        <f t="shared" si="2"/>
        <v>2</v>
      </c>
      <c r="Z66" s="102">
        <f t="shared" si="2"/>
        <v>2</v>
      </c>
      <c r="AA66" s="102">
        <f t="shared" si="2"/>
        <v>3</v>
      </c>
      <c r="AB66" s="102">
        <f t="shared" si="2"/>
        <v>1</v>
      </c>
      <c r="AC66" s="102">
        <f t="shared" si="2"/>
        <v>2</v>
      </c>
      <c r="AD66" s="102">
        <f>COUNTIF(AD2:AD64,"&gt;0")</f>
        <v>3</v>
      </c>
      <c r="AE66" s="102">
        <f t="shared" si="2"/>
        <v>1</v>
      </c>
      <c r="AF66" s="102">
        <f t="shared" si="2"/>
        <v>1</v>
      </c>
      <c r="AG66" s="102">
        <f t="shared" si="2"/>
        <v>1</v>
      </c>
      <c r="AH66" s="102">
        <f t="shared" si="2"/>
        <v>1</v>
      </c>
      <c r="AI66" s="102">
        <f>COUNTIF(AI2:AI64,"&gt;0")</f>
        <v>1</v>
      </c>
      <c r="AJ66" s="102">
        <f t="shared" si="2"/>
        <v>1</v>
      </c>
      <c r="AK66" s="102">
        <f t="shared" si="2"/>
        <v>1</v>
      </c>
      <c r="AL66" s="102">
        <f t="shared" si="2"/>
        <v>1</v>
      </c>
      <c r="AM66" s="102">
        <f t="shared" si="2"/>
        <v>1</v>
      </c>
      <c r="AN66" s="102">
        <f t="shared" si="2"/>
        <v>3</v>
      </c>
    </row>
    <row r="67" spans="1:40" x14ac:dyDescent="0.25">
      <c r="A67" s="83" t="s">
        <v>150</v>
      </c>
      <c r="C67" s="102"/>
      <c r="D67" s="103">
        <f>SUM(D2:D64)</f>
        <v>42</v>
      </c>
      <c r="E67" s="103">
        <f t="shared" ref="E67:T67" si="3">SUM(E2:E64)</f>
        <v>21</v>
      </c>
      <c r="F67" s="103">
        <f t="shared" si="3"/>
        <v>60</v>
      </c>
      <c r="G67" s="103">
        <f t="shared" si="3"/>
        <v>274</v>
      </c>
      <c r="H67" s="103">
        <f t="shared" si="3"/>
        <v>213</v>
      </c>
      <c r="I67" s="103">
        <f t="shared" si="3"/>
        <v>52</v>
      </c>
      <c r="J67" s="103">
        <f t="shared" si="3"/>
        <v>19</v>
      </c>
      <c r="K67" s="103">
        <f t="shared" si="3"/>
        <v>19</v>
      </c>
      <c r="L67" s="103">
        <f t="shared" si="3"/>
        <v>22</v>
      </c>
      <c r="M67" s="103">
        <f t="shared" si="3"/>
        <v>181</v>
      </c>
      <c r="N67" s="103">
        <f t="shared" si="3"/>
        <v>53</v>
      </c>
      <c r="O67" s="103">
        <f t="shared" si="3"/>
        <v>90</v>
      </c>
      <c r="P67" s="103">
        <f t="shared" si="3"/>
        <v>143</v>
      </c>
      <c r="Q67" s="103">
        <f t="shared" si="3"/>
        <v>37</v>
      </c>
      <c r="R67" s="103">
        <f t="shared" si="3"/>
        <v>47</v>
      </c>
      <c r="S67" s="103">
        <f t="shared" si="3"/>
        <v>23</v>
      </c>
      <c r="T67" s="103">
        <f t="shared" si="3"/>
        <v>40</v>
      </c>
      <c r="U67" s="103">
        <f>SUM(U2:U64)</f>
        <v>262</v>
      </c>
      <c r="V67" s="103">
        <f>SUM(V2:V64)</f>
        <v>87</v>
      </c>
      <c r="W67" s="103">
        <f t="shared" ref="W67:AD67" si="4">SUM(W2:W64)</f>
        <v>20</v>
      </c>
      <c r="X67" s="103">
        <f t="shared" si="4"/>
        <v>30</v>
      </c>
      <c r="Y67" s="103">
        <f t="shared" si="4"/>
        <v>66</v>
      </c>
      <c r="Z67" s="103">
        <f t="shared" si="4"/>
        <v>8</v>
      </c>
      <c r="AA67" s="103">
        <f t="shared" si="4"/>
        <v>19</v>
      </c>
      <c r="AB67" s="103">
        <f t="shared" si="4"/>
        <v>2</v>
      </c>
      <c r="AC67" s="103">
        <f t="shared" si="4"/>
        <v>22</v>
      </c>
      <c r="AD67" s="103">
        <f t="shared" si="4"/>
        <v>19</v>
      </c>
      <c r="AE67" s="103">
        <f>SUM(AE2:AE64)</f>
        <v>8</v>
      </c>
      <c r="AF67" s="103">
        <f t="shared" ref="AF67:AN67" si="5">SUM(AF2:AF64)</f>
        <v>8</v>
      </c>
      <c r="AG67" s="103">
        <f t="shared" si="5"/>
        <v>4</v>
      </c>
      <c r="AH67" s="103">
        <f t="shared" si="5"/>
        <v>20</v>
      </c>
      <c r="AI67" s="103">
        <f t="shared" si="5"/>
        <v>3</v>
      </c>
      <c r="AJ67" s="103">
        <f t="shared" si="5"/>
        <v>6</v>
      </c>
      <c r="AK67" s="103">
        <f t="shared" si="5"/>
        <v>10</v>
      </c>
      <c r="AL67" s="103">
        <f t="shared" si="5"/>
        <v>40</v>
      </c>
      <c r="AM67" s="103">
        <f t="shared" si="5"/>
        <v>15</v>
      </c>
      <c r="AN67" s="103">
        <f t="shared" si="5"/>
        <v>110</v>
      </c>
    </row>
  </sheetData>
  <dataConsolidate/>
  <phoneticPr fontId="23" type="noConversion"/>
  <conditionalFormatting sqref="C2:AN64">
    <cfRule type="cellIs" dxfId="304" priority="1" operator="equal">
      <formula>0</formula>
    </cfRule>
  </conditionalFormatting>
  <pageMargins left="0.7" right="0.7" top="0.75" bottom="0.75" header="0.3" footer="0.3"/>
  <ignoredErrors>
    <ignoredError sqref="C4 C15:C16 C11 C33 C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opLeftCell="B1" zoomScale="80" zoomScaleNormal="80" workbookViewId="0">
      <selection activeCell="J3" sqref="J3"/>
    </sheetView>
  </sheetViews>
  <sheetFormatPr defaultColWidth="9" defaultRowHeight="13.8" x14ac:dyDescent="0.25"/>
  <cols>
    <col min="1" max="26" width="9.6640625" customWidth="1"/>
  </cols>
  <sheetData>
    <row r="1" spans="1:26" x14ac:dyDescent="0.25">
      <c r="B1" s="124" t="s">
        <v>260</v>
      </c>
      <c r="C1" s="2" t="s">
        <v>261</v>
      </c>
      <c r="D1" t="s">
        <v>1</v>
      </c>
      <c r="E1" s="3"/>
      <c r="F1" s="30" t="s">
        <v>2</v>
      </c>
      <c r="G1" s="31"/>
      <c r="H1" s="32"/>
    </row>
    <row r="2" spans="1:26" x14ac:dyDescent="0.25">
      <c r="A2" s="109" t="s">
        <v>0</v>
      </c>
      <c r="B2" s="124"/>
      <c r="C2" s="4" t="s">
        <v>5</v>
      </c>
      <c r="D2" t="s">
        <v>113</v>
      </c>
      <c r="F2" s="33">
        <v>0.75</v>
      </c>
      <c r="I2" s="54" t="s">
        <v>109</v>
      </c>
      <c r="O2" s="107" t="s">
        <v>3</v>
      </c>
      <c r="P2" s="107"/>
      <c r="S2" s="108" t="s">
        <v>4</v>
      </c>
      <c r="T2" s="108"/>
    </row>
    <row r="3" spans="1:26" x14ac:dyDescent="0.25">
      <c r="A3" s="109"/>
      <c r="B3" s="79" t="s">
        <v>262</v>
      </c>
      <c r="C3" s="6" t="s">
        <v>11</v>
      </c>
      <c r="I3" t="s">
        <v>110</v>
      </c>
      <c r="O3" s="36" t="s">
        <v>6</v>
      </c>
      <c r="P3" s="37" t="s">
        <v>7</v>
      </c>
      <c r="S3" s="7" t="s">
        <v>8</v>
      </c>
      <c r="T3" s="8" t="s">
        <v>9</v>
      </c>
    </row>
    <row r="4" spans="1:26" x14ac:dyDescent="0.25">
      <c r="A4" s="5" t="s">
        <v>10</v>
      </c>
      <c r="O4" s="38">
        <f>IF(O11=0,0,O11*2/4*勿动!A2-(P10+P9))</f>
        <v>0</v>
      </c>
      <c r="P4" s="39">
        <f>IF(O11=0,0,O11/4*勿动!A2-(P13+P12))</f>
        <v>0</v>
      </c>
      <c r="R4">
        <f>IF(O11+T13=0,0,T13/2*勿动!A2+O11/4*勿动!A2-(P12+P13))</f>
        <v>0</v>
      </c>
      <c r="S4" s="11">
        <f>IF(T13=0,0,T13/2*勿动!A2-(P13+P12))</f>
        <v>0</v>
      </c>
      <c r="T4" s="12">
        <f>IF(T13=0,0,T13*勿动!A2-(T10+T9))</f>
        <v>0</v>
      </c>
    </row>
    <row r="5" spans="1:26" x14ac:dyDescent="0.25"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112" t="s">
        <v>12</v>
      </c>
      <c r="V5" s="21"/>
      <c r="W5" s="112" t="s">
        <v>13</v>
      </c>
      <c r="X5" s="21"/>
    </row>
    <row r="6" spans="1:26" ht="15" customHeight="1" x14ac:dyDescent="0.25">
      <c r="C6" s="9" t="s">
        <v>14</v>
      </c>
      <c r="D6" s="10">
        <f>(D9+D10)+(D12+D13)</f>
        <v>0</v>
      </c>
      <c r="E6" s="9" t="s">
        <v>15</v>
      </c>
      <c r="F6" s="10">
        <f>(F9+F10)</f>
        <v>0</v>
      </c>
      <c r="G6" s="9" t="s">
        <v>16</v>
      </c>
      <c r="H6" s="10">
        <f>(H9+H10)*2</f>
        <v>0</v>
      </c>
      <c r="I6" s="9" t="s">
        <v>17</v>
      </c>
      <c r="J6" s="10">
        <f>(J9+J10)*2</f>
        <v>0</v>
      </c>
      <c r="K6" s="9" t="s">
        <v>18</v>
      </c>
      <c r="L6" s="10">
        <f>IF(N17="化工设备",(L9+L10)+(L12+L13)*2+(N18+N19)*2,(L9+L10)+(L12+L13)*2)</f>
        <v>0</v>
      </c>
      <c r="M6" s="9" t="s">
        <v>19</v>
      </c>
      <c r="N6" s="10">
        <f>(N9+N10)*2</f>
        <v>0</v>
      </c>
      <c r="O6" s="9" t="s">
        <v>20</v>
      </c>
      <c r="P6" s="10">
        <f>IF(P11="原油",IF((P9+P10)&gt;(P12+P13)*2,(P9+P10),(P12+P13)*2),(P9+P10))</f>
        <v>0</v>
      </c>
      <c r="Q6" s="9" t="s">
        <v>21</v>
      </c>
      <c r="R6" s="10">
        <f>IF(R11="化工设备",IF(N17="化工设备",(N18+N19)+(R12+R13)+(J16+J15),(R12+R13)+(J16+J15)),IF(N17="化工设备",(N18+N19)+(J16+J15),(J16+J15)))</f>
        <v>0</v>
      </c>
      <c r="S6" s="9"/>
      <c r="T6" s="10"/>
      <c r="U6" s="113"/>
      <c r="V6" s="22">
        <f>(X7+X6)*2</f>
        <v>0</v>
      </c>
      <c r="W6" s="113"/>
      <c r="X6" s="22">
        <f>(L28+L27)/2</f>
        <v>0</v>
      </c>
    </row>
    <row r="7" spans="1:26" ht="15" customHeight="1" x14ac:dyDescent="0.25"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23">
        <f>(V7+V6)*12/F2/勿动!A2</f>
        <v>0</v>
      </c>
      <c r="V7" s="20"/>
      <c r="W7" s="23">
        <f>(X7+X6)*6/F2/勿动!A2</f>
        <v>0</v>
      </c>
      <c r="X7" s="20"/>
    </row>
    <row r="8" spans="1:26" ht="15" customHeight="1" x14ac:dyDescent="0.25">
      <c r="A8" s="5"/>
      <c r="C8" s="110" t="s">
        <v>22</v>
      </c>
      <c r="D8" s="13"/>
      <c r="E8" s="110" t="s">
        <v>23</v>
      </c>
      <c r="F8" s="17"/>
      <c r="G8" s="110" t="s">
        <v>24</v>
      </c>
      <c r="H8" s="17"/>
      <c r="I8" s="110" t="s">
        <v>25</v>
      </c>
      <c r="J8" s="17"/>
      <c r="K8" s="110" t="s">
        <v>26</v>
      </c>
      <c r="L8" s="17"/>
      <c r="M8" s="110" t="s">
        <v>27</v>
      </c>
      <c r="N8" s="17"/>
      <c r="O8" s="116" t="s">
        <v>6</v>
      </c>
      <c r="P8" s="40"/>
      <c r="Q8" s="122" t="s">
        <v>28</v>
      </c>
      <c r="R8" s="48"/>
      <c r="S8" s="122" t="s">
        <v>9</v>
      </c>
      <c r="T8" s="45" t="s">
        <v>29</v>
      </c>
      <c r="U8" s="112"/>
      <c r="V8" s="21"/>
      <c r="W8" s="112"/>
      <c r="X8" s="21"/>
      <c r="Y8" s="112"/>
      <c r="Z8" s="21"/>
    </row>
    <row r="9" spans="1:26" ht="15" customHeight="1" x14ac:dyDescent="0.25">
      <c r="A9" s="1"/>
      <c r="C9" s="111"/>
      <c r="D9" s="14">
        <f>(D16+D15)*3+(D18+D19)+(J18+J19)+(F15+F16)*2+(V18+V19)*5+(D31+D32)*2+(D35+D34)*2/3+(D38+D37)+(J35+J34)*3+(J32+J31)*6+(L32+L31)*10+(P32+P31)*6+(L35+L34)*4+(P35+P34)*8+(J38+J37)*4+(L38+L37)*8+(D41+D40)*4+(J41+J40)*4+(R41+R40)*8+(Z19+Z18)*2</f>
        <v>0</v>
      </c>
      <c r="E9" s="111" t="s">
        <v>23</v>
      </c>
      <c r="F9" s="18">
        <f>(F13+F12)*0.5+(J18+J19)*0.5+(H24+H25)+(N21+N22)*2+(V15+V16)*3+(N32+N31)*6</f>
        <v>0</v>
      </c>
      <c r="G9" s="111" t="s">
        <v>24</v>
      </c>
      <c r="H9" s="18">
        <f>(H12+H13)+(H24+H25)*2+(N32+N31)*6+(R32+R31)*20</f>
        <v>0</v>
      </c>
      <c r="I9" s="111" t="s">
        <v>25</v>
      </c>
      <c r="J9" s="18">
        <f>(J12+J13)+(T15+T16)*3+(V12+V13)+(T35+T34)*40+(T19+T18)/2+(J16+J15)</f>
        <v>0</v>
      </c>
      <c r="K9" s="111" t="s">
        <v>26</v>
      </c>
      <c r="L9" s="18">
        <f>(Z27+Z28)*3+(L32+L31)*4+(L35+L34)*4+(N35+N34)*8+(P35+P34)*4+(L38+L37)*4+(N38+N37)*12+(P38+P37)*10+(J41+J40)*2+(N41+N40)*4+(P41+P40)*8</f>
        <v>0</v>
      </c>
      <c r="M9" s="111" t="s">
        <v>27</v>
      </c>
      <c r="N9" s="18">
        <f>IF(T8="化工设备",IF(N11="石墨",(N12+N13)+(F21+F22)+(R9+R10)+(T9+T10)*3/2+(F27+F28)*2,(F21+F22)+(R9+R10)+(T9+T10)*3/2+(F27+F28)*2),IF(N11="石墨",(N12+N13)+(F21+F22)+(R9+R10)+(F27+F28)*2,(F21+F22)+(R9+R10)+(F27+F28)*2))</f>
        <v>0</v>
      </c>
      <c r="O9" s="117"/>
      <c r="P9" s="41">
        <f>IF(R11="化工设备",IF(N17="化工设备",(N18+N19)*6/4+(R9+R10)*2+(R12+R13),(R9+R10)*2+(R12+R13)),IF(N17="化工设备",(N18+N19)*6/4+(R9+R10)*2,(R9+R10)*2))</f>
        <v>0</v>
      </c>
      <c r="Q9" s="123" t="s">
        <v>28</v>
      </c>
      <c r="R9" s="46">
        <f>IF(R11="化工设备",(R12+R13)*2+(H22+H21),(H22+H21))</f>
        <v>0</v>
      </c>
      <c r="S9" s="123" t="s">
        <v>9</v>
      </c>
      <c r="T9" s="46">
        <f>IF(N20="电磁涡轮",(N21+N22)*2+(V21+V22)*1/2+(H35+H34)/3+(F41+F40)*8+(T19+T18)*3/2+(L22+L21)*2,(V21+V22)*1/2+(H35+H34)/3+(F41+F40)*8+(T19+T18)*3/2+(L22+L21)*2)</f>
        <v>0</v>
      </c>
      <c r="U9" s="113"/>
      <c r="V9" s="22"/>
      <c r="W9" s="113"/>
      <c r="X9" s="22"/>
      <c r="Y9" s="113"/>
      <c r="Z9" s="22"/>
    </row>
    <row r="10" spans="1:26" ht="15" customHeight="1" x14ac:dyDescent="0.25">
      <c r="C10" s="15">
        <f>(D9+D10)/勿动!A2</f>
        <v>0</v>
      </c>
      <c r="D10" s="16"/>
      <c r="E10" s="19">
        <f>(F9+F10)/勿动!A2</f>
        <v>0</v>
      </c>
      <c r="F10" s="20"/>
      <c r="G10" s="19">
        <f>(H10+H9)*2/勿动!A2</f>
        <v>0</v>
      </c>
      <c r="H10" s="20"/>
      <c r="I10" s="19">
        <f>(J10+J9)*2/勿动!A2</f>
        <v>0</v>
      </c>
      <c r="J10" s="20"/>
      <c r="K10" s="19">
        <f>(L10+L9)/勿动!A2</f>
        <v>0</v>
      </c>
      <c r="L10" s="20"/>
      <c r="M10" s="19">
        <f>(N10+N9)*2/勿动!A2</f>
        <v>0</v>
      </c>
      <c r="N10" s="20"/>
      <c r="O10" s="37" t="s">
        <v>30</v>
      </c>
      <c r="P10" s="20"/>
      <c r="Q10" s="47">
        <f>(R10+R9)*3/勿动!A2</f>
        <v>0</v>
      </c>
      <c r="R10" s="20"/>
      <c r="S10" s="47">
        <f>(T10+T9)*3/2/勿动!A2</f>
        <v>0</v>
      </c>
      <c r="T10" s="20"/>
      <c r="U10" s="23"/>
      <c r="V10" s="20"/>
      <c r="W10" s="23"/>
      <c r="X10" s="20"/>
      <c r="Y10" s="23"/>
      <c r="Z10" s="20"/>
    </row>
    <row r="11" spans="1:26" ht="15" customHeight="1" x14ac:dyDescent="0.25">
      <c r="C11" s="110" t="s">
        <v>31</v>
      </c>
      <c r="D11" s="17"/>
      <c r="E11" s="112" t="s">
        <v>32</v>
      </c>
      <c r="F11" s="21"/>
      <c r="G11" s="110" t="s">
        <v>33</v>
      </c>
      <c r="H11" s="17"/>
      <c r="I11" s="110" t="s">
        <v>34</v>
      </c>
      <c r="J11" s="17"/>
      <c r="K11" s="110" t="s">
        <v>35</v>
      </c>
      <c r="L11" s="17"/>
      <c r="M11" s="110" t="s">
        <v>36</v>
      </c>
      <c r="N11" s="42" t="s">
        <v>27</v>
      </c>
      <c r="O11" s="43">
        <f>ROUNDUP(IF(P11="原油",IF((P10+P9)/2&gt;(P12+P13),(P10+P9)*4/2/勿动!A2,(P13+P12)*4/勿动!A2),(P10+P9)*4/2/勿动!A2),0)</f>
        <v>0</v>
      </c>
      <c r="P11" s="44" t="s">
        <v>37</v>
      </c>
      <c r="Q11" s="122" t="s">
        <v>38</v>
      </c>
      <c r="R11" s="45" t="s">
        <v>39</v>
      </c>
      <c r="S11" s="109" t="s">
        <v>29</v>
      </c>
      <c r="U11" s="114" t="s">
        <v>40</v>
      </c>
      <c r="V11" s="21"/>
      <c r="W11" s="112"/>
      <c r="X11" s="21"/>
      <c r="Y11" s="112"/>
      <c r="Z11" s="21"/>
    </row>
    <row r="12" spans="1:26" ht="15" customHeight="1" x14ac:dyDescent="0.25">
      <c r="C12" s="111" t="s">
        <v>31</v>
      </c>
      <c r="D12" s="18">
        <f>(F13+F12)+(F21+F22)*3</f>
        <v>0</v>
      </c>
      <c r="E12" s="113" t="s">
        <v>32</v>
      </c>
      <c r="F12" s="22">
        <f>(D21+D22)*4+(F15+F16)+(F18+F19)*2+(D31+D32)+(D28+D27)+(J32+J31)*3+(L32+L31)*4+(J38+J37)*2+(J41+J40)*2+(R41+R40)*4</f>
        <v>0</v>
      </c>
      <c r="G12" s="111" t="s">
        <v>33</v>
      </c>
      <c r="H12" s="18">
        <f>(P32+P31)*4+(H22+H21)*2</f>
        <v>0</v>
      </c>
      <c r="I12" s="111" t="s">
        <v>34</v>
      </c>
      <c r="J12" s="18">
        <f>(X15+X16)*5+(X18+X19)*10+(T38+T37)*40</f>
        <v>0</v>
      </c>
      <c r="K12" s="111" t="s">
        <v>35</v>
      </c>
      <c r="L12" s="18">
        <f>(L15+L16)*3/2+(P35+P34)*4+(N41+N40)*4+(P41+P40)*8+(R41+R40)*4+(J16+J15)</f>
        <v>0</v>
      </c>
      <c r="M12" s="111" t="s">
        <v>36</v>
      </c>
      <c r="N12" s="18">
        <f>(H28+H27)+(L19+L18)*4</f>
        <v>0</v>
      </c>
      <c r="O12" s="116" t="s">
        <v>7</v>
      </c>
      <c r="P12" s="41">
        <f>(V12+V13)*5+(F27+F28)*2+(L22+L21)*12</f>
        <v>0</v>
      </c>
      <c r="Q12" s="123"/>
      <c r="R12" s="46">
        <f>(T15+T16)</f>
        <v>0</v>
      </c>
      <c r="S12" s="109"/>
      <c r="T12">
        <f>IF(IF(T8="可燃冰",(T10+T9),0)&gt;IF(P11="可燃冰",(P12+P13)*2,0),IF(T8="可燃冰",(T10+T9),0),IF(P11="可燃冰",(P12+P13)*2,0))</f>
        <v>0</v>
      </c>
      <c r="U12" s="115" t="s">
        <v>40</v>
      </c>
      <c r="V12" s="22"/>
      <c r="W12" s="113"/>
      <c r="X12" s="22"/>
      <c r="Y12" s="113"/>
      <c r="Z12" s="22"/>
    </row>
    <row r="13" spans="1:26" ht="15" customHeight="1" x14ac:dyDescent="0.25">
      <c r="C13" s="19">
        <f>(D12+D13)*1.5/勿动!A2</f>
        <v>0</v>
      </c>
      <c r="D13" s="20"/>
      <c r="E13" s="23">
        <f>(F13+F12)/2/勿动!A2/F2</f>
        <v>0</v>
      </c>
      <c r="F13" s="20"/>
      <c r="G13" s="19">
        <f>(H13+H12)*2/勿动!A2</f>
        <v>0</v>
      </c>
      <c r="H13" s="20"/>
      <c r="I13" s="19">
        <f>(J13+J12)*12/4/勿动!A2</f>
        <v>0</v>
      </c>
      <c r="J13" s="20"/>
      <c r="K13" s="19">
        <f>(L13+L12)*2/勿动!A2</f>
        <v>0</v>
      </c>
      <c r="L13" s="20"/>
      <c r="M13" s="19">
        <f>(N13+N12)*2/勿动!A2</f>
        <v>0</v>
      </c>
      <c r="N13" s="20"/>
      <c r="O13" s="118"/>
      <c r="P13" s="20"/>
      <c r="Q13" s="47">
        <f>(R13+R12)*6/勿动!A2</f>
        <v>0</v>
      </c>
      <c r="R13" s="20"/>
      <c r="S13" s="49" t="s">
        <v>41</v>
      </c>
      <c r="T13" s="50">
        <f>ROUNDUP(IF(IF(T8="可燃冰",(T9+T10),0)&gt;IF(P11="可燃冰",(P12+P13)*2,0),IF(T8="可燃冰",(T9+T10)/勿动!A2,0),IF(P11="可燃冰",(P12+P13)*2/勿动!A2,0)),0)</f>
        <v>0</v>
      </c>
      <c r="U13" s="23">
        <f>(V13+V12)*3/F2/勿动!A2</f>
        <v>0</v>
      </c>
      <c r="V13" s="20"/>
      <c r="W13" s="23"/>
      <c r="X13" s="20"/>
      <c r="Y13" s="23"/>
      <c r="Z13" s="20"/>
    </row>
    <row r="14" spans="1:26" ht="15" customHeight="1" x14ac:dyDescent="0.25">
      <c r="C14" s="110" t="s">
        <v>42</v>
      </c>
      <c r="D14" s="17"/>
      <c r="E14" s="112" t="s">
        <v>43</v>
      </c>
      <c r="F14" s="21"/>
      <c r="G14" s="112"/>
      <c r="H14" s="21"/>
      <c r="I14" s="112" t="s">
        <v>44</v>
      </c>
      <c r="J14" s="21"/>
      <c r="K14" s="112" t="s">
        <v>45</v>
      </c>
      <c r="L14" s="21"/>
      <c r="M14" s="121" t="s">
        <v>46</v>
      </c>
      <c r="O14" s="112"/>
      <c r="P14" s="21"/>
      <c r="Q14" s="112"/>
      <c r="R14" s="21"/>
      <c r="S14" s="112" t="s">
        <v>47</v>
      </c>
      <c r="T14" s="21"/>
      <c r="U14" s="114" t="s">
        <v>48</v>
      </c>
      <c r="V14" s="21"/>
      <c r="W14" s="114" t="s">
        <v>49</v>
      </c>
      <c r="X14" s="21"/>
      <c r="Y14" s="112"/>
      <c r="Z14" s="21"/>
    </row>
    <row r="15" spans="1:26" ht="15" customHeight="1" x14ac:dyDescent="0.25">
      <c r="C15" s="111" t="s">
        <v>42</v>
      </c>
      <c r="D15" s="18">
        <f>(J12+J13)+(V15+V16)*2+(Z27+Z28)*1+(R32+R31)*20+(N35+N34)*8+(R35+R34)*20+(T35+T34)*40+(N38+N37)*12+(P38+P37)*10+(N41+N40)*8+(P41+P40)*8</f>
        <v>0</v>
      </c>
      <c r="E15" s="113" t="s">
        <v>43</v>
      </c>
      <c r="F15" s="22">
        <f>(F18+F19)*2+(F38+F37)/2+(L38+L37)*4</f>
        <v>0</v>
      </c>
      <c r="G15" s="113"/>
      <c r="H15" s="22"/>
      <c r="I15" s="113"/>
      <c r="J15" s="22">
        <f>(V7+V6)*2</f>
        <v>0</v>
      </c>
      <c r="K15" s="113" t="s">
        <v>45</v>
      </c>
      <c r="L15" s="22">
        <f>IF(D23="棱镜",(D21+D22)*2+(D24+D25)*2,(D21+D22)*2)</f>
        <v>0</v>
      </c>
      <c r="M15" s="121"/>
      <c r="N15">
        <f>IF(N11="金伯利矿石",(N13+N12),0)</f>
        <v>0</v>
      </c>
      <c r="O15" s="113"/>
      <c r="P15" s="22"/>
      <c r="Q15" s="113"/>
      <c r="R15" s="22"/>
      <c r="S15" s="113" t="s">
        <v>47</v>
      </c>
      <c r="T15" s="22">
        <f>(H28+H27)+(L22+L21)</f>
        <v>0</v>
      </c>
      <c r="U15" s="115" t="s">
        <v>48</v>
      </c>
      <c r="V15" s="22">
        <f>(V18+V19)*2</f>
        <v>0</v>
      </c>
      <c r="W15" s="115" t="s">
        <v>49</v>
      </c>
      <c r="X15" s="22">
        <f>(X18+X19)*2</f>
        <v>0</v>
      </c>
      <c r="Y15" s="113"/>
      <c r="Z15" s="22"/>
    </row>
    <row r="16" spans="1:26" ht="15" customHeight="1" x14ac:dyDescent="0.25">
      <c r="C16" s="19">
        <f>(D15+D16)*3/勿动!A2</f>
        <v>0</v>
      </c>
      <c r="D16" s="20"/>
      <c r="E16" s="23">
        <f>(F16+F15)*2/勿动!A2/F2</f>
        <v>0</v>
      </c>
      <c r="F16" s="20"/>
      <c r="G16" s="23"/>
      <c r="H16" s="20"/>
      <c r="I16" s="23">
        <f>(J16+J15)*5/2/F2/勿动!A2</f>
        <v>0</v>
      </c>
      <c r="J16" s="20"/>
      <c r="K16" s="23">
        <f>(L16+L15)/F2/勿动!A2</f>
        <v>0</v>
      </c>
      <c r="L16" s="20"/>
      <c r="O16" s="23"/>
      <c r="P16" s="20"/>
      <c r="Q16" s="23"/>
      <c r="R16" s="20"/>
      <c r="S16" s="23">
        <f>(T16+T15)*4/F2/勿动!A2</f>
        <v>0</v>
      </c>
      <c r="T16" s="20"/>
      <c r="U16" s="23">
        <f>(V16+V15)*4/F2/勿动!A2</f>
        <v>0</v>
      </c>
      <c r="V16" s="20"/>
      <c r="W16" s="23">
        <f>(X16+X15)*6/F2/勿动!A2</f>
        <v>0</v>
      </c>
      <c r="X16" s="20"/>
      <c r="Y16" s="23"/>
      <c r="Z16" s="20"/>
    </row>
    <row r="17" spans="3:26" ht="15" customHeight="1" x14ac:dyDescent="0.25">
      <c r="C17" s="112" t="s">
        <v>50</v>
      </c>
      <c r="D17" s="21"/>
      <c r="E17" s="114" t="s">
        <v>51</v>
      </c>
      <c r="F17" s="21"/>
      <c r="G17" s="112"/>
      <c r="H17" s="21"/>
      <c r="I17" s="112" t="s">
        <v>52</v>
      </c>
      <c r="J17" s="21"/>
      <c r="K17" s="112" t="s">
        <v>53</v>
      </c>
      <c r="L17" s="21"/>
      <c r="M17" s="122" t="s">
        <v>54</v>
      </c>
      <c r="N17" s="45" t="s">
        <v>39</v>
      </c>
      <c r="O17" s="112" t="s">
        <v>55</v>
      </c>
      <c r="P17" s="21"/>
      <c r="Q17" s="112"/>
      <c r="R17" s="21"/>
      <c r="S17" s="114" t="s">
        <v>56</v>
      </c>
      <c r="T17" s="21"/>
      <c r="U17" s="114" t="s">
        <v>57</v>
      </c>
      <c r="V17" s="21"/>
      <c r="W17" s="114" t="s">
        <v>58</v>
      </c>
      <c r="X17" s="21"/>
      <c r="Y17" s="125" t="s">
        <v>59</v>
      </c>
      <c r="Z17" s="51"/>
    </row>
    <row r="18" spans="3:26" ht="15" customHeight="1" x14ac:dyDescent="0.25">
      <c r="C18" s="113"/>
      <c r="D18" s="22">
        <f>(F15+F16)+(D35+D34)/3+(J35+J34)*2+(J32+J31)+(L31+L32)*4+(R35+R34)*20+(J38+J37)*2+(D41+D40)*8</f>
        <v>0</v>
      </c>
      <c r="E18" s="115" t="s">
        <v>51</v>
      </c>
      <c r="F18" s="22">
        <f>IF(N20="电磁涡轮",(F21+F22)*2+(N21+N22)*2+(X15+X16)*5+(F35+F34)/3+(H38+H37)/2,(F21+F22)*2+(X15+X16)*5+(F35+F34)/3+(H38+H37)/2)</f>
        <v>0</v>
      </c>
      <c r="G18" s="113"/>
      <c r="H18" s="22"/>
      <c r="I18" s="113" t="s">
        <v>52</v>
      </c>
      <c r="J18" s="22">
        <f>(J21+J22)*2+(D24+D25)+(D28+D27)+(D38+D37)+(J35+J34)+(N32+N31)*4+(J38+J37)*2+(L38+L37)*2+(N38+N37)*6+(P38+P37)*6+(D41+D40)*4+(J41+J40)*4+(P41+P40)*2+(R41+R40)*4</f>
        <v>0</v>
      </c>
      <c r="K18" s="113"/>
      <c r="L18" s="22">
        <f>(L28+L27)/2</f>
        <v>0</v>
      </c>
      <c r="M18" s="123" t="s">
        <v>54</v>
      </c>
      <c r="N18" s="46">
        <f>IF(T8="化工设备",(J12+J13)*2+(T9+T10)*1/2,(J12+J13)*2)</f>
        <v>0</v>
      </c>
      <c r="O18" s="113"/>
      <c r="P18" s="22">
        <f>(Z19+Z18)*10</f>
        <v>0</v>
      </c>
      <c r="Q18" s="113"/>
      <c r="R18" s="22"/>
      <c r="S18" s="115"/>
      <c r="T18" s="22">
        <f>(H22+H21)*2</f>
        <v>0</v>
      </c>
      <c r="U18" s="115" t="s">
        <v>57</v>
      </c>
      <c r="V18" s="22"/>
      <c r="W18" s="115" t="s">
        <v>58</v>
      </c>
      <c r="X18" s="22"/>
      <c r="Y18" s="126"/>
      <c r="Z18" s="52">
        <f>(L19+L18)</f>
        <v>0</v>
      </c>
    </row>
    <row r="19" spans="3:26" ht="15" customHeight="1" x14ac:dyDescent="0.25">
      <c r="C19" s="23">
        <f>(D19+D18)/勿动!A2/F2</f>
        <v>0</v>
      </c>
      <c r="D19" s="20"/>
      <c r="E19" s="23">
        <f>(F19+F18)*2/勿动!A2/F2</f>
        <v>0</v>
      </c>
      <c r="F19" s="20"/>
      <c r="G19" s="23"/>
      <c r="H19" s="20"/>
      <c r="I19" s="23">
        <f>(J19+J18)/2/F2/勿动!A2</f>
        <v>0</v>
      </c>
      <c r="J19" s="20"/>
      <c r="K19" s="23">
        <f>(L19+L18)*6/F2/勿动!A2</f>
        <v>0</v>
      </c>
      <c r="L19" s="20"/>
      <c r="M19" s="47">
        <f>(N19+N18)*6/4/勿动!A2</f>
        <v>0</v>
      </c>
      <c r="N19" s="20"/>
      <c r="O19" s="23"/>
      <c r="P19" s="20"/>
      <c r="Q19" s="23"/>
      <c r="R19" s="20"/>
      <c r="S19" s="23">
        <f>(T19+T18)*4/2/F2/勿动!A2</f>
        <v>0</v>
      </c>
      <c r="T19" s="20"/>
      <c r="U19" s="23">
        <f>(V19+V18)*4/F2/勿动!A2</f>
        <v>0</v>
      </c>
      <c r="V19" s="20"/>
      <c r="W19" s="23">
        <f>(X19+X18)*6/F2/勿动!A2</f>
        <v>0</v>
      </c>
      <c r="X19" s="34"/>
      <c r="Y19" s="53">
        <f>(Z19+Z18)*8/勿动!A2</f>
        <v>0</v>
      </c>
      <c r="Z19" s="20"/>
    </row>
    <row r="20" spans="3:26" ht="15" customHeight="1" x14ac:dyDescent="0.25">
      <c r="C20" s="114" t="s">
        <v>60</v>
      </c>
      <c r="D20" s="21"/>
      <c r="E20" s="114" t="s">
        <v>61</v>
      </c>
      <c r="F20" s="21"/>
      <c r="G20" s="112" t="s">
        <v>62</v>
      </c>
      <c r="H20" s="21"/>
      <c r="I20" s="112" t="s">
        <v>63</v>
      </c>
      <c r="J20" s="21"/>
      <c r="K20" s="114" t="s">
        <v>64</v>
      </c>
      <c r="L20" s="21"/>
      <c r="M20" s="114" t="s">
        <v>65</v>
      </c>
      <c r="N20" s="24" t="s">
        <v>51</v>
      </c>
      <c r="O20" s="112"/>
      <c r="P20" s="21"/>
      <c r="Q20" s="112"/>
      <c r="R20" s="21"/>
      <c r="S20" s="112"/>
      <c r="T20" s="21"/>
      <c r="U20" s="114" t="s">
        <v>66</v>
      </c>
      <c r="V20" s="21"/>
      <c r="W20" s="112"/>
      <c r="X20" s="21"/>
      <c r="Y20" s="112"/>
      <c r="Z20" s="21"/>
    </row>
    <row r="21" spans="3:26" ht="15" customHeight="1" x14ac:dyDescent="0.25">
      <c r="C21" s="115" t="s">
        <v>60</v>
      </c>
      <c r="D21" s="22">
        <f>(F31+F32)*3+(N38+N37)*4+(P38+P37)*6</f>
        <v>0</v>
      </c>
      <c r="E21" s="115" t="s">
        <v>67</v>
      </c>
      <c r="F21" s="22">
        <f>(H35+H34)/3+(P32+P31)*6+(R32+R31)*20+(R35+R34)*10</f>
        <v>0</v>
      </c>
      <c r="G21" s="113"/>
      <c r="H21" s="22">
        <f>(J28+J27)</f>
        <v>0</v>
      </c>
      <c r="I21" s="113" t="s">
        <v>63</v>
      </c>
      <c r="J21" s="22">
        <f>(V18+V19)*2+(X18+X19)*10+(R32+R31)*5+(R35+R34)*5+(T35+T34)*40+(F41+F40)*4+(N41+N40)+(J28+J27)*2+(X7+X6)*2</f>
        <v>0</v>
      </c>
      <c r="K21" s="115"/>
      <c r="L21" s="22">
        <f>(V7+V6)</f>
        <v>0</v>
      </c>
      <c r="M21" s="115" t="s">
        <v>65</v>
      </c>
      <c r="N21" s="22">
        <f>(T35+T34)*20+(T38+T37)*20+(Z19+Z18)*2</f>
        <v>0</v>
      </c>
      <c r="O21" s="113"/>
      <c r="P21" s="22"/>
      <c r="Q21" s="113"/>
      <c r="R21" s="22"/>
      <c r="S21" s="113"/>
      <c r="T21" s="22"/>
      <c r="U21" s="115" t="s">
        <v>66</v>
      </c>
      <c r="V21" s="22"/>
      <c r="W21" s="113"/>
      <c r="X21" s="22"/>
      <c r="Y21" s="113"/>
      <c r="Z21" s="22"/>
    </row>
    <row r="22" spans="3:26" ht="15" customHeight="1" x14ac:dyDescent="0.25">
      <c r="C22" s="23">
        <f>(D22+D21)*2/勿动!A2/F2</f>
        <v>0</v>
      </c>
      <c r="D22" s="20"/>
      <c r="E22" s="23">
        <f>(F22+F21)*3/勿动!A2/F2</f>
        <v>0</v>
      </c>
      <c r="F22" s="20"/>
      <c r="G22" s="23">
        <f>(H22+H21)*8/F2/勿动!A2</f>
        <v>0</v>
      </c>
      <c r="H22" s="20"/>
      <c r="I22" s="23">
        <f>(J22+J21)*3/F2/勿动!A2</f>
        <v>0</v>
      </c>
      <c r="J22" s="20"/>
      <c r="K22" s="23">
        <f>(L22+L21)*4/F2/勿动!A2</f>
        <v>0</v>
      </c>
      <c r="L22" s="20"/>
      <c r="M22" s="23">
        <f>(N22+N21)*4/F2/勿动!A2</f>
        <v>0</v>
      </c>
      <c r="N22" s="20"/>
      <c r="O22" s="23"/>
      <c r="P22" s="20"/>
      <c r="Q22" s="23"/>
      <c r="R22" s="20"/>
      <c r="S22" s="23"/>
      <c r="T22" s="20"/>
      <c r="U22" s="23">
        <f>(V22+V21)*4/2/F2/勿动!A2</f>
        <v>0</v>
      </c>
      <c r="V22" s="20"/>
      <c r="W22" s="23"/>
      <c r="X22" s="20"/>
      <c r="Y22" s="23"/>
      <c r="Z22" s="20"/>
    </row>
    <row r="23" spans="3:26" ht="15" customHeight="1" x14ac:dyDescent="0.25">
      <c r="C23" s="114" t="s">
        <v>68</v>
      </c>
      <c r="D23" s="24" t="s">
        <v>45</v>
      </c>
      <c r="E23" s="109" t="s">
        <v>69</v>
      </c>
      <c r="G23" s="112" t="s">
        <v>70</v>
      </c>
      <c r="H23" s="21"/>
      <c r="I23" s="112"/>
      <c r="J23" s="21"/>
      <c r="K23" s="112"/>
      <c r="L23" s="21"/>
      <c r="M23" s="109" t="s">
        <v>71</v>
      </c>
      <c r="O23" s="112"/>
      <c r="P23" s="21"/>
      <c r="Q23" s="112"/>
      <c r="R23" s="21"/>
      <c r="S23" s="112"/>
      <c r="T23" s="21"/>
      <c r="U23" s="112"/>
      <c r="V23" s="21"/>
      <c r="W23" s="112"/>
      <c r="X23" s="21"/>
      <c r="Y23" s="112"/>
      <c r="Z23" s="21"/>
    </row>
    <row r="24" spans="3:26" ht="15" customHeight="1" x14ac:dyDescent="0.25">
      <c r="C24" s="115" t="s">
        <v>68</v>
      </c>
      <c r="D24" s="22">
        <f>(V21+V22)*1/2+(R32+R31)*10</f>
        <v>0</v>
      </c>
      <c r="E24" s="109"/>
      <c r="F24" s="10">
        <f>IF(D23="光栅石",(D24+D25),0)</f>
        <v>0</v>
      </c>
      <c r="G24" s="113" t="s">
        <v>70</v>
      </c>
      <c r="H24" s="22">
        <f>(J21+J22)*2</f>
        <v>0</v>
      </c>
      <c r="I24" s="113"/>
      <c r="J24" s="22"/>
      <c r="K24" s="113"/>
      <c r="L24" s="22"/>
      <c r="M24" s="109"/>
      <c r="N24" s="10">
        <f>IF(N20="单极磁石",(N22+N21)*10,0)</f>
        <v>0</v>
      </c>
      <c r="O24" s="113"/>
      <c r="P24" s="22"/>
      <c r="Q24" s="113"/>
      <c r="R24" s="22"/>
      <c r="S24" s="113"/>
      <c r="T24" s="22"/>
      <c r="U24" s="113"/>
      <c r="V24" s="22"/>
      <c r="W24" s="113"/>
      <c r="X24" s="22"/>
      <c r="Y24" s="113"/>
      <c r="Z24" s="22"/>
    </row>
    <row r="25" spans="3:26" ht="15" customHeight="1" x14ac:dyDescent="0.25">
      <c r="C25" s="23">
        <f>(D25+D24)*3/勿动!A2/F2</f>
        <v>0</v>
      </c>
      <c r="D25" s="20"/>
      <c r="G25" s="23">
        <f>(H25+H24)*2/F2/勿动!A2</f>
        <v>0</v>
      </c>
      <c r="H25" s="20"/>
      <c r="I25" s="23"/>
      <c r="J25" s="20"/>
      <c r="K25" s="23"/>
      <c r="L25" s="20"/>
      <c r="O25" s="23"/>
      <c r="P25" s="20"/>
      <c r="Q25" s="23"/>
      <c r="R25" s="20"/>
      <c r="S25" s="23"/>
      <c r="T25" s="20"/>
      <c r="U25" s="23"/>
      <c r="V25" s="20"/>
      <c r="W25" s="23"/>
      <c r="X25" s="20"/>
      <c r="Y25" s="23"/>
      <c r="Z25" s="20"/>
    </row>
    <row r="26" spans="3:26" ht="15" customHeight="1" x14ac:dyDescent="0.25">
      <c r="C26" s="119" t="s">
        <v>72</v>
      </c>
      <c r="D26" s="25"/>
      <c r="E26" s="119" t="s">
        <v>73</v>
      </c>
      <c r="F26" s="25"/>
      <c r="G26" s="119" t="s">
        <v>74</v>
      </c>
      <c r="H26" s="25"/>
      <c r="I26" s="119" t="s">
        <v>75</v>
      </c>
      <c r="J26" s="25"/>
      <c r="K26" s="119" t="s">
        <v>76</v>
      </c>
      <c r="L26" s="25"/>
      <c r="M26" s="112"/>
      <c r="N26" s="21"/>
      <c r="O26" s="112"/>
      <c r="P26" s="21"/>
      <c r="Q26" s="112"/>
      <c r="R26" s="21"/>
      <c r="S26" s="112"/>
      <c r="T26" s="21"/>
      <c r="U26" s="112"/>
      <c r="V26" s="21"/>
      <c r="W26" s="112"/>
      <c r="X26" s="21"/>
      <c r="Y26" s="114" t="s">
        <v>77</v>
      </c>
      <c r="Z26" s="21"/>
    </row>
    <row r="27" spans="3:26" ht="15" customHeight="1" x14ac:dyDescent="0.25">
      <c r="C27" s="120"/>
      <c r="D27" s="26">
        <f>N27+N28</f>
        <v>0</v>
      </c>
      <c r="E27" s="120"/>
      <c r="F27" s="26">
        <f>N27+N28</f>
        <v>0</v>
      </c>
      <c r="G27" s="120"/>
      <c r="H27" s="26">
        <f>N27+N28</f>
        <v>0</v>
      </c>
      <c r="I27" s="120"/>
      <c r="J27" s="26">
        <f>N27+N28</f>
        <v>0</v>
      </c>
      <c r="K27" s="120"/>
      <c r="L27" s="26">
        <f>N27+N28</f>
        <v>0</v>
      </c>
      <c r="M27" s="113"/>
      <c r="N27" s="22"/>
      <c r="O27" s="113"/>
      <c r="P27" s="22"/>
      <c r="Q27" s="113"/>
      <c r="R27" s="22"/>
      <c r="S27" s="113"/>
      <c r="T27" s="22"/>
      <c r="U27" s="113"/>
      <c r="V27" s="22"/>
      <c r="W27" s="113"/>
      <c r="X27" s="22"/>
      <c r="Y27" s="115" t="s">
        <v>77</v>
      </c>
      <c r="Z27" s="22"/>
    </row>
    <row r="28" spans="3:26" ht="15" customHeight="1" x14ac:dyDescent="0.25">
      <c r="C28" s="27">
        <f>(D28+D27)*3/勿动!A2</f>
        <v>0</v>
      </c>
      <c r="D28" s="20"/>
      <c r="E28" s="27">
        <f>(F28+F27)*6/勿动!A2</f>
        <v>0</v>
      </c>
      <c r="F28" s="20"/>
      <c r="G28" s="27">
        <f>(H28+H27)*8/勿动!A2</f>
        <v>0</v>
      </c>
      <c r="H28" s="20"/>
      <c r="I28" s="35">
        <f>(J28+J27)*10/勿动!A2</f>
        <v>0</v>
      </c>
      <c r="J28" s="20"/>
      <c r="K28" s="35">
        <f>(L28+L27)*24/2/勿动!A2</f>
        <v>0</v>
      </c>
      <c r="L28" s="20"/>
      <c r="M28" s="23"/>
      <c r="N28" s="20"/>
      <c r="O28" s="23"/>
      <c r="P28" s="20"/>
      <c r="Q28" s="23"/>
      <c r="R28" s="20"/>
      <c r="S28" s="23"/>
      <c r="T28" s="20"/>
      <c r="U28" s="23"/>
      <c r="V28" s="20"/>
      <c r="W28" s="23"/>
      <c r="X28" s="20"/>
      <c r="Y28" s="23">
        <f>(Z28+Z27)/F2/勿动!A2</f>
        <v>0</v>
      </c>
      <c r="Z28" s="20"/>
    </row>
    <row r="29" spans="3:26" ht="5.0999999999999996" customHeight="1" x14ac:dyDescent="0.25"/>
    <row r="30" spans="3:26" ht="15" customHeight="1" x14ac:dyDescent="0.25">
      <c r="C30" s="114" t="s">
        <v>78</v>
      </c>
      <c r="D30" s="28"/>
      <c r="E30" s="114" t="s">
        <v>79</v>
      </c>
      <c r="F30" s="28"/>
      <c r="G30" s="112"/>
      <c r="H30" s="28"/>
      <c r="I30" s="114" t="s">
        <v>80</v>
      </c>
      <c r="J30" s="28"/>
      <c r="K30" s="114" t="s">
        <v>81</v>
      </c>
      <c r="L30" s="28"/>
      <c r="M30" s="114" t="s">
        <v>82</v>
      </c>
      <c r="N30" s="28"/>
      <c r="O30" s="114" t="s">
        <v>83</v>
      </c>
      <c r="P30" s="28"/>
      <c r="Q30" s="114" t="s">
        <v>84</v>
      </c>
      <c r="R30" s="28"/>
      <c r="S30" s="112"/>
      <c r="T30" s="28"/>
      <c r="U30" s="112"/>
      <c r="V30" s="28"/>
      <c r="W30" s="112"/>
      <c r="X30" s="28"/>
      <c r="Y30" s="112"/>
      <c r="Z30" s="28"/>
    </row>
    <row r="31" spans="3:26" ht="15" customHeight="1" x14ac:dyDescent="0.25">
      <c r="C31" s="115" t="s">
        <v>78</v>
      </c>
      <c r="D31" s="29">
        <f>(F31+F32)</f>
        <v>0</v>
      </c>
      <c r="E31" s="115" t="s">
        <v>79</v>
      </c>
      <c r="F31" s="22"/>
      <c r="G31" s="113"/>
      <c r="H31" s="22"/>
      <c r="I31" s="115"/>
      <c r="J31" s="22"/>
      <c r="K31" s="115"/>
      <c r="L31" s="22"/>
      <c r="M31" s="115"/>
      <c r="N31" s="22"/>
      <c r="O31" s="115"/>
      <c r="P31" s="22"/>
      <c r="Q31" s="115"/>
      <c r="R31" s="22"/>
      <c r="S31" s="113"/>
      <c r="T31" s="22"/>
      <c r="U31" s="113"/>
      <c r="V31" s="22"/>
      <c r="W31" s="113"/>
      <c r="X31" s="22"/>
      <c r="Y31" s="113"/>
      <c r="Z31" s="22"/>
    </row>
    <row r="32" spans="3:26" ht="15" customHeight="1" x14ac:dyDescent="0.25">
      <c r="C32" s="23">
        <f>(D32+D31)/F2/勿动!A2</f>
        <v>0</v>
      </c>
      <c r="D32" s="20"/>
      <c r="E32" s="23">
        <f>(F32+F31)*3/F2/勿动!A2</f>
        <v>0</v>
      </c>
      <c r="F32" s="34"/>
      <c r="G32" s="23"/>
      <c r="H32" s="20"/>
      <c r="I32" s="23">
        <f>(J32+J31)*4/F2/勿动!A2</f>
        <v>0</v>
      </c>
      <c r="J32" s="20"/>
      <c r="K32" s="23">
        <f>(L32+L31)*5/F2/勿动!A2</f>
        <v>0</v>
      </c>
      <c r="L32" s="20"/>
      <c r="M32" s="23">
        <f>(N32+N31)*5/F2/勿动!A2</f>
        <v>0</v>
      </c>
      <c r="N32" s="20"/>
      <c r="O32" s="23">
        <f>(P32+P31)*5/F2/勿动!A2</f>
        <v>0</v>
      </c>
      <c r="P32" s="20"/>
      <c r="Q32" s="23">
        <f>(R32+R31)*8/F2/勿动!A2</f>
        <v>0</v>
      </c>
      <c r="R32" s="20"/>
      <c r="S32" s="23"/>
      <c r="T32" s="20"/>
      <c r="U32" s="23"/>
      <c r="V32" s="20"/>
      <c r="W32" s="23"/>
      <c r="X32" s="20"/>
      <c r="Y32" s="23"/>
      <c r="Z32" s="20"/>
    </row>
    <row r="33" spans="3:26" ht="15" customHeight="1" x14ac:dyDescent="0.25">
      <c r="C33" s="114" t="s">
        <v>85</v>
      </c>
      <c r="D33" s="28"/>
      <c r="E33" s="114" t="s">
        <v>86</v>
      </c>
      <c r="F33" s="28"/>
      <c r="G33" s="114" t="s">
        <v>87</v>
      </c>
      <c r="H33" s="28"/>
      <c r="I33" s="114" t="s">
        <v>88</v>
      </c>
      <c r="J33" s="28"/>
      <c r="K33" s="114" t="s">
        <v>89</v>
      </c>
      <c r="L33" s="28"/>
      <c r="M33" s="114" t="s">
        <v>90</v>
      </c>
      <c r="N33" s="28"/>
      <c r="O33" s="114" t="s">
        <v>91</v>
      </c>
      <c r="P33" s="28"/>
      <c r="Q33" s="114" t="s">
        <v>92</v>
      </c>
      <c r="R33" s="28"/>
      <c r="S33" s="114" t="s">
        <v>93</v>
      </c>
      <c r="T33" s="28"/>
      <c r="U33" s="112"/>
      <c r="V33" s="28"/>
      <c r="W33" s="112"/>
      <c r="X33" s="28"/>
      <c r="Y33" s="112"/>
      <c r="Z33" s="28"/>
    </row>
    <row r="34" spans="3:26" ht="15" customHeight="1" x14ac:dyDescent="0.25">
      <c r="C34" s="115"/>
      <c r="D34" s="22">
        <f>(F35+F34)</f>
        <v>0</v>
      </c>
      <c r="E34" s="115"/>
      <c r="F34" s="22">
        <f>(H35+H34)</f>
        <v>0</v>
      </c>
      <c r="G34" s="115"/>
      <c r="H34" s="22"/>
      <c r="I34" s="115"/>
      <c r="J34" s="22"/>
      <c r="K34" s="115"/>
      <c r="L34" s="22"/>
      <c r="M34" s="115"/>
      <c r="N34" s="22"/>
      <c r="O34" s="115"/>
      <c r="P34" s="22"/>
      <c r="Q34" s="115"/>
      <c r="R34" s="22"/>
      <c r="S34" s="115"/>
      <c r="T34" s="22">
        <f>(T38+T37)</f>
        <v>0</v>
      </c>
      <c r="U34" s="113"/>
      <c r="V34" s="22"/>
      <c r="W34" s="113"/>
      <c r="X34" s="22"/>
      <c r="Y34" s="113"/>
      <c r="Z34" s="22"/>
    </row>
    <row r="35" spans="3:26" ht="15" customHeight="1" x14ac:dyDescent="0.25">
      <c r="C35" s="23">
        <f>(D35+D34)/3/F2/勿动!A2</f>
        <v>0</v>
      </c>
      <c r="D35" s="20"/>
      <c r="E35" s="23">
        <f>(F35+F34)/3/$F$2/勿动!$A$2</f>
        <v>0</v>
      </c>
      <c r="F35" s="20"/>
      <c r="G35" s="23">
        <f>(H35+H34)/3/$F$2/勿动!$A$2</f>
        <v>0</v>
      </c>
      <c r="H35" s="20"/>
      <c r="I35" s="23">
        <f>(J35+J34)*2/F2/勿动!A2</f>
        <v>0</v>
      </c>
      <c r="J35" s="34"/>
      <c r="K35" s="23">
        <f>(L35+L34)*2/F2/勿动!A2</f>
        <v>0</v>
      </c>
      <c r="L35" s="20"/>
      <c r="M35" s="23">
        <f>(N35+N34)*4/F2/勿动!A2</f>
        <v>0</v>
      </c>
      <c r="N35" s="20"/>
      <c r="O35" s="23">
        <f>(P35+P34)*2/F2/勿动!A2</f>
        <v>0</v>
      </c>
      <c r="P35" s="20"/>
      <c r="Q35" s="23">
        <f>(R35+R34)*6/F2/勿动!A2</f>
        <v>0</v>
      </c>
      <c r="R35" s="20"/>
      <c r="S35" s="23">
        <f>(T35+T34)*20/F2/勿动!A2</f>
        <v>0</v>
      </c>
      <c r="T35" s="20"/>
      <c r="U35" s="23"/>
      <c r="V35" s="20"/>
      <c r="W35" s="23"/>
      <c r="X35" s="20"/>
      <c r="Y35" s="23"/>
      <c r="Z35" s="20"/>
    </row>
    <row r="36" spans="3:26" ht="15" customHeight="1" x14ac:dyDescent="0.25">
      <c r="C36" s="114" t="s">
        <v>94</v>
      </c>
      <c r="D36" s="28"/>
      <c r="E36" s="114" t="s">
        <v>95</v>
      </c>
      <c r="F36" s="28"/>
      <c r="G36" s="114" t="s">
        <v>96</v>
      </c>
      <c r="H36" s="28"/>
      <c r="I36" s="112" t="s">
        <v>97</v>
      </c>
      <c r="J36" s="28"/>
      <c r="K36" s="112" t="s">
        <v>98</v>
      </c>
      <c r="L36" s="28"/>
      <c r="M36" s="112" t="s">
        <v>99</v>
      </c>
      <c r="N36" s="28"/>
      <c r="O36" s="112" t="s">
        <v>100</v>
      </c>
      <c r="P36" s="28"/>
      <c r="Q36" s="112"/>
      <c r="R36" s="28"/>
      <c r="S36" s="114" t="s">
        <v>101</v>
      </c>
      <c r="T36" s="28"/>
      <c r="U36" s="112"/>
      <c r="V36" s="28"/>
      <c r="W36" s="112"/>
      <c r="X36" s="28"/>
      <c r="Y36" s="112"/>
      <c r="Z36" s="28"/>
    </row>
    <row r="37" spans="3:26" ht="15" customHeight="1" x14ac:dyDescent="0.25">
      <c r="C37" s="115"/>
      <c r="D37" s="22">
        <f>(F38+F37)</f>
        <v>0</v>
      </c>
      <c r="E37" s="115"/>
      <c r="F37" s="22">
        <f>(H38+H37)</f>
        <v>0</v>
      </c>
      <c r="G37" s="115"/>
      <c r="H37" s="22"/>
      <c r="I37" s="113"/>
      <c r="J37" s="22"/>
      <c r="K37" s="113"/>
      <c r="L37" s="22"/>
      <c r="M37" s="113"/>
      <c r="N37" s="22"/>
      <c r="O37" s="113"/>
      <c r="P37" s="22"/>
      <c r="Q37" s="113"/>
      <c r="R37" s="22"/>
      <c r="S37" s="115"/>
      <c r="T37" s="22"/>
      <c r="U37" s="113"/>
      <c r="V37" s="22"/>
      <c r="W37" s="113"/>
      <c r="X37" s="22"/>
      <c r="Y37" s="113"/>
      <c r="Z37" s="22"/>
    </row>
    <row r="38" spans="3:26" ht="15" customHeight="1" x14ac:dyDescent="0.25">
      <c r="C38" s="23">
        <f>(D38+D37)/F2/勿动!A2</f>
        <v>0</v>
      </c>
      <c r="D38" s="20"/>
      <c r="E38" s="23">
        <f>(F38+F37)/2/F2/勿动!A2</f>
        <v>0</v>
      </c>
      <c r="F38" s="20"/>
      <c r="G38" s="23">
        <f>(H38+H37)/2/F2/勿动!A2</f>
        <v>0</v>
      </c>
      <c r="H38" s="20"/>
      <c r="I38" s="23">
        <f>(J38+J37)*3/F2/勿动!A2</f>
        <v>0</v>
      </c>
      <c r="J38" s="20"/>
      <c r="K38" s="23">
        <f>(L38+L37)*4/F2/勿动!A2</f>
        <v>0</v>
      </c>
      <c r="L38" s="20"/>
      <c r="M38" s="23">
        <f>(N38+N37)*8/F2/勿动!A2</f>
        <v>0</v>
      </c>
      <c r="N38" s="20"/>
      <c r="O38" s="23">
        <f>(P38+P37)*6/F2/勿动!A2</f>
        <v>0</v>
      </c>
      <c r="P38" s="20"/>
      <c r="Q38" s="23"/>
      <c r="R38" s="20"/>
      <c r="S38" s="23">
        <f>(T38+T37)*30/F2/勿动!A2</f>
        <v>0</v>
      </c>
      <c r="T38" s="20"/>
      <c r="U38" s="23"/>
      <c r="V38" s="20"/>
      <c r="W38" s="23"/>
      <c r="X38" s="20"/>
      <c r="Y38" s="23"/>
      <c r="Z38" s="20"/>
    </row>
    <row r="39" spans="3:26" x14ac:dyDescent="0.25">
      <c r="C39" s="114" t="s">
        <v>102</v>
      </c>
      <c r="D39" s="28"/>
      <c r="E39" s="114" t="s">
        <v>103</v>
      </c>
      <c r="F39" s="28"/>
      <c r="G39" s="114" t="s">
        <v>104</v>
      </c>
      <c r="H39" s="28"/>
      <c r="I39" s="112" t="s">
        <v>105</v>
      </c>
      <c r="J39" s="28"/>
      <c r="K39" s="112"/>
      <c r="L39" s="28"/>
      <c r="M39" s="112" t="s">
        <v>106</v>
      </c>
      <c r="N39" s="28"/>
      <c r="O39" s="112" t="s">
        <v>107</v>
      </c>
      <c r="P39" s="28"/>
      <c r="Q39" s="112" t="s">
        <v>108</v>
      </c>
      <c r="R39" s="28"/>
      <c r="S39" s="112"/>
      <c r="T39" s="28"/>
      <c r="U39" s="112"/>
      <c r="V39" s="28"/>
      <c r="W39" s="112"/>
      <c r="X39" s="28"/>
      <c r="Y39" s="112"/>
      <c r="Z39" s="28"/>
    </row>
    <row r="40" spans="3:26" x14ac:dyDescent="0.25">
      <c r="C40" s="115"/>
      <c r="D40" s="22">
        <f>(F41+F40)</f>
        <v>0</v>
      </c>
      <c r="E40" s="115"/>
      <c r="F40" s="22"/>
      <c r="G40" s="115"/>
      <c r="H40" s="22"/>
      <c r="I40" s="113"/>
      <c r="J40" s="22"/>
      <c r="K40" s="113"/>
      <c r="L40" s="22"/>
      <c r="M40" s="113"/>
      <c r="N40" s="22"/>
      <c r="O40" s="113"/>
      <c r="P40" s="22"/>
      <c r="Q40" s="113"/>
      <c r="R40" s="22"/>
      <c r="S40" s="113"/>
      <c r="T40" s="22"/>
      <c r="U40" s="113"/>
      <c r="V40" s="22"/>
      <c r="W40" s="113"/>
      <c r="X40" s="22"/>
      <c r="Y40" s="113"/>
      <c r="Z40" s="22"/>
    </row>
    <row r="41" spans="3:26" x14ac:dyDescent="0.25">
      <c r="C41" s="23">
        <f>(D41+D40)*2/F2/勿动!A2</f>
        <v>0</v>
      </c>
      <c r="D41" s="20"/>
      <c r="E41" s="23">
        <f>(F41+F40)*3/F2/勿动!A2</f>
        <v>0</v>
      </c>
      <c r="F41" s="20"/>
      <c r="G41" s="23"/>
      <c r="H41" s="20"/>
      <c r="I41" s="23">
        <f>(J41+J40)*3/F2/勿动!A2</f>
        <v>0</v>
      </c>
      <c r="J41" s="20"/>
      <c r="K41" s="23"/>
      <c r="L41" s="20"/>
      <c r="M41" s="23">
        <f>(N41+N40)*3/F2/勿动!A2</f>
        <v>0</v>
      </c>
      <c r="N41" s="20"/>
      <c r="O41" s="23">
        <f>(P41+P40)*5/F2/勿动!A2</f>
        <v>0</v>
      </c>
      <c r="P41" s="20"/>
      <c r="Q41" s="23">
        <f>(R41+R40)*3/F2/勿动!A2</f>
        <v>0</v>
      </c>
      <c r="R41" s="20"/>
      <c r="S41" s="23"/>
      <c r="T41" s="20"/>
      <c r="U41" s="23"/>
      <c r="V41" s="20"/>
      <c r="W41" s="23"/>
      <c r="X41" s="20"/>
      <c r="Y41" s="23"/>
      <c r="Z41" s="20"/>
    </row>
    <row r="42" spans="3:26" x14ac:dyDescent="0.25">
      <c r="C42" s="112"/>
      <c r="D42" s="28"/>
      <c r="E42" s="112"/>
      <c r="F42" s="28"/>
      <c r="G42" s="112"/>
      <c r="H42" s="28"/>
      <c r="I42" s="112"/>
      <c r="J42" s="28"/>
      <c r="K42" s="112"/>
      <c r="L42" s="28"/>
      <c r="M42" s="112"/>
      <c r="N42" s="28"/>
      <c r="O42" s="112"/>
      <c r="P42" s="28"/>
      <c r="Q42" s="112"/>
      <c r="R42" s="28"/>
      <c r="S42" s="112"/>
      <c r="T42" s="28"/>
      <c r="U42" s="112"/>
      <c r="V42" s="28"/>
      <c r="W42" s="112"/>
      <c r="X42" s="28"/>
      <c r="Y42" s="112"/>
      <c r="Z42" s="28"/>
    </row>
    <row r="43" spans="3:26" x14ac:dyDescent="0.25">
      <c r="C43" s="113"/>
      <c r="D43" s="22"/>
      <c r="E43" s="113"/>
      <c r="F43" s="22"/>
      <c r="G43" s="113"/>
      <c r="H43" s="22"/>
      <c r="I43" s="113"/>
      <c r="J43" s="22"/>
      <c r="K43" s="113"/>
      <c r="L43" s="22"/>
      <c r="M43" s="113"/>
      <c r="N43" s="22"/>
      <c r="O43" s="113"/>
      <c r="P43" s="22"/>
      <c r="Q43" s="113"/>
      <c r="R43" s="22"/>
      <c r="S43" s="113"/>
      <c r="T43" s="22"/>
      <c r="U43" s="113"/>
      <c r="V43" s="22"/>
      <c r="W43" s="113"/>
      <c r="X43" s="22"/>
      <c r="Y43" s="113"/>
      <c r="Z43" s="22"/>
    </row>
    <row r="44" spans="3:26" x14ac:dyDescent="0.25">
      <c r="C44" s="23"/>
      <c r="D44" s="20"/>
      <c r="E44" s="23"/>
      <c r="F44" s="20"/>
      <c r="G44" s="23"/>
      <c r="H44" s="20"/>
      <c r="I44" s="23"/>
      <c r="J44" s="20"/>
      <c r="K44" s="23"/>
      <c r="L44" s="20"/>
      <c r="M44" s="23"/>
      <c r="N44" s="20"/>
      <c r="O44" s="23"/>
      <c r="P44" s="20"/>
      <c r="Q44" s="23"/>
      <c r="R44" s="20"/>
      <c r="S44" s="23"/>
      <c r="T44" s="20"/>
      <c r="U44" s="23"/>
      <c r="V44" s="20"/>
      <c r="W44" s="23"/>
      <c r="X44" s="20"/>
      <c r="Y44" s="23"/>
      <c r="Z44" s="20"/>
    </row>
  </sheetData>
  <mergeCells count="150">
    <mergeCell ref="B1:B2"/>
    <mergeCell ref="Y36:Y37"/>
    <mergeCell ref="Y39:Y40"/>
    <mergeCell ref="Y42:Y43"/>
    <mergeCell ref="Y8:Y9"/>
    <mergeCell ref="Y11:Y12"/>
    <mergeCell ref="Y14:Y15"/>
    <mergeCell ref="Y17:Y18"/>
    <mergeCell ref="Y20:Y21"/>
    <mergeCell ref="Y23:Y24"/>
    <mergeCell ref="Y26:Y27"/>
    <mergeCell ref="Y30:Y31"/>
    <mergeCell ref="Y33:Y34"/>
    <mergeCell ref="U33:U34"/>
    <mergeCell ref="U36:U37"/>
    <mergeCell ref="U39:U40"/>
    <mergeCell ref="U42:U43"/>
    <mergeCell ref="W5:W6"/>
    <mergeCell ref="W8:W9"/>
    <mergeCell ref="W11:W12"/>
    <mergeCell ref="W14:W15"/>
    <mergeCell ref="W17:W18"/>
    <mergeCell ref="W20:W21"/>
    <mergeCell ref="W23:W24"/>
    <mergeCell ref="W26:W27"/>
    <mergeCell ref="W30:W31"/>
    <mergeCell ref="W33:W34"/>
    <mergeCell ref="W36:W37"/>
    <mergeCell ref="W39:W40"/>
    <mergeCell ref="W42:W43"/>
    <mergeCell ref="U5:U6"/>
    <mergeCell ref="U8:U9"/>
    <mergeCell ref="U11:U12"/>
    <mergeCell ref="U14:U15"/>
    <mergeCell ref="U17:U18"/>
    <mergeCell ref="U20:U21"/>
    <mergeCell ref="U23:U24"/>
    <mergeCell ref="U26:U27"/>
    <mergeCell ref="U30:U31"/>
    <mergeCell ref="Q36:Q37"/>
    <mergeCell ref="Q39:Q40"/>
    <mergeCell ref="Q42:Q43"/>
    <mergeCell ref="S8:S9"/>
    <mergeCell ref="S11:S12"/>
    <mergeCell ref="S14:S15"/>
    <mergeCell ref="S17:S18"/>
    <mergeCell ref="S20:S21"/>
    <mergeCell ref="S23:S24"/>
    <mergeCell ref="S26:S27"/>
    <mergeCell ref="S30:S31"/>
    <mergeCell ref="S33:S34"/>
    <mergeCell ref="S36:S37"/>
    <mergeCell ref="S39:S40"/>
    <mergeCell ref="S42:S43"/>
    <mergeCell ref="Q8:Q9"/>
    <mergeCell ref="Q11:Q12"/>
    <mergeCell ref="Q14:Q15"/>
    <mergeCell ref="Q17:Q18"/>
    <mergeCell ref="Q20:Q21"/>
    <mergeCell ref="Q23:Q24"/>
    <mergeCell ref="Q26:Q27"/>
    <mergeCell ref="Q30:Q31"/>
    <mergeCell ref="Q33:Q34"/>
    <mergeCell ref="O17:O18"/>
    <mergeCell ref="O20:O21"/>
    <mergeCell ref="O23:O24"/>
    <mergeCell ref="O26:O27"/>
    <mergeCell ref="O30:O31"/>
    <mergeCell ref="O33:O34"/>
    <mergeCell ref="O36:O37"/>
    <mergeCell ref="O39:O40"/>
    <mergeCell ref="O42:O43"/>
    <mergeCell ref="K26:K27"/>
    <mergeCell ref="K30:K31"/>
    <mergeCell ref="K33:K34"/>
    <mergeCell ref="K36:K37"/>
    <mergeCell ref="K39:K40"/>
    <mergeCell ref="K42:K43"/>
    <mergeCell ref="M8:M9"/>
    <mergeCell ref="M11:M12"/>
    <mergeCell ref="M14:M15"/>
    <mergeCell ref="M17:M18"/>
    <mergeCell ref="M20:M21"/>
    <mergeCell ref="M23:M24"/>
    <mergeCell ref="M26:M27"/>
    <mergeCell ref="M30:M31"/>
    <mergeCell ref="M33:M34"/>
    <mergeCell ref="M36:M37"/>
    <mergeCell ref="M39:M40"/>
    <mergeCell ref="M42:M43"/>
    <mergeCell ref="G26:G27"/>
    <mergeCell ref="G30:G31"/>
    <mergeCell ref="G33:G34"/>
    <mergeCell ref="G36:G37"/>
    <mergeCell ref="G39:G40"/>
    <mergeCell ref="G42:G43"/>
    <mergeCell ref="I8:I9"/>
    <mergeCell ref="I11:I12"/>
    <mergeCell ref="I14:I15"/>
    <mergeCell ref="I17:I18"/>
    <mergeCell ref="I20:I21"/>
    <mergeCell ref="I23:I24"/>
    <mergeCell ref="I26:I27"/>
    <mergeCell ref="I30:I31"/>
    <mergeCell ref="I33:I34"/>
    <mergeCell ref="I36:I37"/>
    <mergeCell ref="I39:I40"/>
    <mergeCell ref="I42:I43"/>
    <mergeCell ref="C26:C27"/>
    <mergeCell ref="C30:C31"/>
    <mergeCell ref="C33:C34"/>
    <mergeCell ref="C36:C37"/>
    <mergeCell ref="C39:C40"/>
    <mergeCell ref="C42:C43"/>
    <mergeCell ref="E8:E9"/>
    <mergeCell ref="E11:E12"/>
    <mergeCell ref="E14:E15"/>
    <mergeCell ref="E17:E18"/>
    <mergeCell ref="E20:E21"/>
    <mergeCell ref="E23:E24"/>
    <mergeCell ref="E26:E27"/>
    <mergeCell ref="E30:E31"/>
    <mergeCell ref="E33:E34"/>
    <mergeCell ref="E36:E37"/>
    <mergeCell ref="E39:E40"/>
    <mergeCell ref="E42:E43"/>
    <mergeCell ref="O2:P2"/>
    <mergeCell ref="S2:T2"/>
    <mergeCell ref="A2:A3"/>
    <mergeCell ref="C8:C9"/>
    <mergeCell ref="C11:C12"/>
    <mergeCell ref="C14:C15"/>
    <mergeCell ref="C17:C18"/>
    <mergeCell ref="C20:C21"/>
    <mergeCell ref="C23:C24"/>
    <mergeCell ref="G8:G9"/>
    <mergeCell ref="G11:G12"/>
    <mergeCell ref="G14:G15"/>
    <mergeCell ref="G17:G18"/>
    <mergeCell ref="G20:G21"/>
    <mergeCell ref="G23:G24"/>
    <mergeCell ref="K8:K9"/>
    <mergeCell ref="K11:K12"/>
    <mergeCell ref="K14:K15"/>
    <mergeCell ref="K17:K18"/>
    <mergeCell ref="K20:K21"/>
    <mergeCell ref="K23:K24"/>
    <mergeCell ref="O8:O9"/>
    <mergeCell ref="O12:O13"/>
    <mergeCell ref="O14:O15"/>
  </mergeCells>
  <phoneticPr fontId="23" type="noConversion"/>
  <conditionalFormatting sqref="C10">
    <cfRule type="cellIs" dxfId="303" priority="714" operator="greaterThan">
      <formula>0</formula>
    </cfRule>
  </conditionalFormatting>
  <conditionalFormatting sqref="C13">
    <cfRule type="cellIs" dxfId="302" priority="446" operator="greaterThan">
      <formula>0</formula>
    </cfRule>
  </conditionalFormatting>
  <conditionalFormatting sqref="C16">
    <cfRule type="cellIs" dxfId="301" priority="443" operator="greaterThan">
      <formula>0</formula>
    </cfRule>
  </conditionalFormatting>
  <conditionalFormatting sqref="C19">
    <cfRule type="cellIs" dxfId="300" priority="164" operator="greaterThan">
      <formula>0</formula>
    </cfRule>
  </conditionalFormatting>
  <conditionalFormatting sqref="C22">
    <cfRule type="cellIs" dxfId="299" priority="163" operator="greaterThan">
      <formula>0</formula>
    </cfRule>
  </conditionalFormatting>
  <conditionalFormatting sqref="C25">
    <cfRule type="cellIs" dxfId="298" priority="162" operator="greaterThan">
      <formula>0</formula>
    </cfRule>
  </conditionalFormatting>
  <conditionalFormatting sqref="C28">
    <cfRule type="cellIs" dxfId="297" priority="161" operator="greaterThan">
      <formula>0</formula>
    </cfRule>
  </conditionalFormatting>
  <conditionalFormatting sqref="C32">
    <cfRule type="cellIs" dxfId="296" priority="62" operator="greaterThan">
      <formula>0</formula>
    </cfRule>
  </conditionalFormatting>
  <conditionalFormatting sqref="C35">
    <cfRule type="cellIs" dxfId="295" priority="61" operator="greaterThan">
      <formula>0</formula>
    </cfRule>
  </conditionalFormatting>
  <conditionalFormatting sqref="C38">
    <cfRule type="cellIs" dxfId="294" priority="60" operator="greaterThan">
      <formula>0</formula>
    </cfRule>
  </conditionalFormatting>
  <conditionalFormatting sqref="C41">
    <cfRule type="cellIs" dxfId="293" priority="59" operator="greaterThan">
      <formula>0</formula>
    </cfRule>
  </conditionalFormatting>
  <conditionalFormatting sqref="C44">
    <cfRule type="cellIs" dxfId="292" priority="58" operator="greaterThan">
      <formula>0</formula>
    </cfRule>
  </conditionalFormatting>
  <conditionalFormatting sqref="D6">
    <cfRule type="cellIs" dxfId="291" priority="96" operator="greaterThan">
      <formula>0</formula>
    </cfRule>
  </conditionalFormatting>
  <conditionalFormatting sqref="D8:D9">
    <cfRule type="cellIs" dxfId="290" priority="472" operator="greaterThan">
      <formula>0</formula>
    </cfRule>
  </conditionalFormatting>
  <conditionalFormatting sqref="D11:D12">
    <cfRule type="cellIs" dxfId="289" priority="445" operator="greaterThan">
      <formula>0</formula>
    </cfRule>
  </conditionalFormatting>
  <conditionalFormatting sqref="D14:D15">
    <cfRule type="cellIs" dxfId="288" priority="442" operator="greaterThan">
      <formula>0</formula>
    </cfRule>
  </conditionalFormatting>
  <conditionalFormatting sqref="D18">
    <cfRule type="cellIs" dxfId="287" priority="867" operator="greaterThan">
      <formula>0</formula>
    </cfRule>
  </conditionalFormatting>
  <conditionalFormatting sqref="D21">
    <cfRule type="cellIs" dxfId="286" priority="422" operator="greaterThan">
      <formula>0</formula>
    </cfRule>
  </conditionalFormatting>
  <conditionalFormatting sqref="D24">
    <cfRule type="cellIs" dxfId="285" priority="420" operator="greaterThan">
      <formula>0</formula>
    </cfRule>
  </conditionalFormatting>
  <conditionalFormatting sqref="D27">
    <cfRule type="cellIs" dxfId="284" priority="379" operator="greaterThan">
      <formula>0</formula>
    </cfRule>
  </conditionalFormatting>
  <conditionalFormatting sqref="D30:D31">
    <cfRule type="cellIs" dxfId="283" priority="292" operator="greaterThan">
      <formula>0</formula>
    </cfRule>
  </conditionalFormatting>
  <conditionalFormatting sqref="D33:D34">
    <cfRule type="cellIs" dxfId="282" priority="268" operator="greaterThan">
      <formula>0</formula>
    </cfRule>
  </conditionalFormatting>
  <conditionalFormatting sqref="D36:D37">
    <cfRule type="cellIs" dxfId="281" priority="244" operator="greaterThan">
      <formula>0</formula>
    </cfRule>
  </conditionalFormatting>
  <conditionalFormatting sqref="D39:D40">
    <cfRule type="cellIs" dxfId="280" priority="220" operator="greaterThan">
      <formula>0</formula>
    </cfRule>
  </conditionalFormatting>
  <conditionalFormatting sqref="D42:D43">
    <cfRule type="cellIs" dxfId="279" priority="196" operator="greaterThan">
      <formula>0</formula>
    </cfRule>
  </conditionalFormatting>
  <conditionalFormatting sqref="E10">
    <cfRule type="cellIs" dxfId="278" priority="470" operator="greaterThan">
      <formula>0</formula>
    </cfRule>
  </conditionalFormatting>
  <conditionalFormatting sqref="E13">
    <cfRule type="cellIs" dxfId="277" priority="160" operator="greaterThan">
      <formula>0</formula>
    </cfRule>
  </conditionalFormatting>
  <conditionalFormatting sqref="E16">
    <cfRule type="cellIs" dxfId="276" priority="159" operator="greaterThan">
      <formula>0</formula>
    </cfRule>
  </conditionalFormatting>
  <conditionalFormatting sqref="E19">
    <cfRule type="cellIs" dxfId="275" priority="158" operator="greaterThan">
      <formula>0</formula>
    </cfRule>
  </conditionalFormatting>
  <conditionalFormatting sqref="E22">
    <cfRule type="cellIs" dxfId="274" priority="157" operator="greaterThan">
      <formula>0</formula>
    </cfRule>
  </conditionalFormatting>
  <conditionalFormatting sqref="E25">
    <cfRule type="cellIs" dxfId="273" priority="156" operator="greaterThan">
      <formula>0</formula>
    </cfRule>
  </conditionalFormatting>
  <conditionalFormatting sqref="E28">
    <cfRule type="cellIs" dxfId="272" priority="76" operator="greaterThan">
      <formula>0</formula>
    </cfRule>
  </conditionalFormatting>
  <conditionalFormatting sqref="E32">
    <cfRule type="cellIs" dxfId="271" priority="63" operator="greaterThan">
      <formula>0</formula>
    </cfRule>
  </conditionalFormatting>
  <conditionalFormatting sqref="E35">
    <cfRule type="cellIs" dxfId="270" priority="57" operator="greaterThan">
      <formula>0</formula>
    </cfRule>
  </conditionalFormatting>
  <conditionalFormatting sqref="E38">
    <cfRule type="cellIs" dxfId="269" priority="56" operator="greaterThan">
      <formula>0</formula>
    </cfRule>
  </conditionalFormatting>
  <conditionalFormatting sqref="E41">
    <cfRule type="cellIs" dxfId="268" priority="55" operator="greaterThan">
      <formula>0</formula>
    </cfRule>
  </conditionalFormatting>
  <conditionalFormatting sqref="E44">
    <cfRule type="cellIs" dxfId="267" priority="54" operator="greaterThan">
      <formula>0</formula>
    </cfRule>
  </conditionalFormatting>
  <conditionalFormatting sqref="F6">
    <cfRule type="cellIs" dxfId="266" priority="95" operator="greaterThan">
      <formula>0</formula>
    </cfRule>
  </conditionalFormatting>
  <conditionalFormatting sqref="F8:F9">
    <cfRule type="cellIs" dxfId="265" priority="469" operator="greaterThan">
      <formula>0</formula>
    </cfRule>
  </conditionalFormatting>
  <conditionalFormatting sqref="F12">
    <cfRule type="cellIs" dxfId="264" priority="428" operator="greaterThan">
      <formula>0</formula>
    </cfRule>
  </conditionalFormatting>
  <conditionalFormatting sqref="F15">
    <cfRule type="cellIs" dxfId="263" priority="426" operator="greaterThan">
      <formula>0</formula>
    </cfRule>
  </conditionalFormatting>
  <conditionalFormatting sqref="F18">
    <cfRule type="cellIs" dxfId="262" priority="424" operator="greaterThan">
      <formula>0</formula>
    </cfRule>
  </conditionalFormatting>
  <conditionalFormatting sqref="F21">
    <cfRule type="cellIs" dxfId="261" priority="418" operator="greaterThan">
      <formula>0</formula>
    </cfRule>
  </conditionalFormatting>
  <conditionalFormatting sqref="F24">
    <cfRule type="cellIs" dxfId="260" priority="86" operator="greaterThan">
      <formula>0</formula>
    </cfRule>
  </conditionalFormatting>
  <conditionalFormatting sqref="F27">
    <cfRule type="cellIs" dxfId="259" priority="79" operator="greaterThan">
      <formula>0</formula>
    </cfRule>
  </conditionalFormatting>
  <conditionalFormatting sqref="F29:F31">
    <cfRule type="cellIs" dxfId="258" priority="290" operator="greaterThan">
      <formula>0</formula>
    </cfRule>
  </conditionalFormatting>
  <conditionalFormatting sqref="F33:F34">
    <cfRule type="cellIs" dxfId="257" priority="11" operator="greaterThan">
      <formula>0</formula>
    </cfRule>
  </conditionalFormatting>
  <conditionalFormatting sqref="F36:F37">
    <cfRule type="cellIs" dxfId="256" priority="10" operator="greaterThan">
      <formula>0</formula>
    </cfRule>
  </conditionalFormatting>
  <conditionalFormatting sqref="F39:F40">
    <cfRule type="cellIs" dxfId="255" priority="218" operator="greaterThan">
      <formula>0</formula>
    </cfRule>
  </conditionalFormatting>
  <conditionalFormatting sqref="F42:F43">
    <cfRule type="cellIs" dxfId="254" priority="194" operator="greaterThan">
      <formula>0</formula>
    </cfRule>
  </conditionalFormatting>
  <conditionalFormatting sqref="G10">
    <cfRule type="cellIs" dxfId="253" priority="467" operator="greaterThan">
      <formula>0</formula>
    </cfRule>
  </conditionalFormatting>
  <conditionalFormatting sqref="G13">
    <cfRule type="cellIs" dxfId="252" priority="440" operator="greaterThan">
      <formula>0</formula>
    </cfRule>
  </conditionalFormatting>
  <conditionalFormatting sqref="G16">
    <cfRule type="cellIs" dxfId="251" priority="154" operator="greaterThan">
      <formula>0</formula>
    </cfRule>
  </conditionalFormatting>
  <conditionalFormatting sqref="G19">
    <cfRule type="cellIs" dxfId="250" priority="153" operator="greaterThan">
      <formula>0</formula>
    </cfRule>
  </conditionalFormatting>
  <conditionalFormatting sqref="G22">
    <cfRule type="cellIs" dxfId="249" priority="152" operator="greaterThan">
      <formula>0</formula>
    </cfRule>
  </conditionalFormatting>
  <conditionalFormatting sqref="G25">
    <cfRule type="cellIs" dxfId="248" priority="151" operator="greaterThan">
      <formula>0</formula>
    </cfRule>
  </conditionalFormatting>
  <conditionalFormatting sqref="G28">
    <cfRule type="cellIs" dxfId="247" priority="75" operator="greaterThan">
      <formula>0</formula>
    </cfRule>
  </conditionalFormatting>
  <conditionalFormatting sqref="G32">
    <cfRule type="cellIs" dxfId="246" priority="53" operator="greaterThan">
      <formula>0</formula>
    </cfRule>
  </conditionalFormatting>
  <conditionalFormatting sqref="G35">
    <cfRule type="cellIs" dxfId="245" priority="12" operator="greaterThan">
      <formula>0</formula>
    </cfRule>
  </conditionalFormatting>
  <conditionalFormatting sqref="G38">
    <cfRule type="cellIs" dxfId="244" priority="51" operator="greaterThan">
      <formula>0</formula>
    </cfRule>
  </conditionalFormatting>
  <conditionalFormatting sqref="G41">
    <cfRule type="cellIs" dxfId="243" priority="50" operator="greaterThan">
      <formula>0</formula>
    </cfRule>
  </conditionalFormatting>
  <conditionalFormatting sqref="G44">
    <cfRule type="cellIs" dxfId="242" priority="49" operator="greaterThan">
      <formula>0</formula>
    </cfRule>
  </conditionalFormatting>
  <conditionalFormatting sqref="H6">
    <cfRule type="cellIs" dxfId="241" priority="94" operator="greaterThan">
      <formula>0</formula>
    </cfRule>
  </conditionalFormatting>
  <conditionalFormatting sqref="H8:H9">
    <cfRule type="cellIs" dxfId="240" priority="466" operator="greaterThan">
      <formula>0</formula>
    </cfRule>
  </conditionalFormatting>
  <conditionalFormatting sqref="H11:H12">
    <cfRule type="cellIs" dxfId="239" priority="439" operator="greaterThan">
      <formula>0</formula>
    </cfRule>
  </conditionalFormatting>
  <conditionalFormatting sqref="H15">
    <cfRule type="cellIs" dxfId="238" priority="387" operator="greaterThan">
      <formula>0</formula>
    </cfRule>
  </conditionalFormatting>
  <conditionalFormatting sqref="H18">
    <cfRule type="cellIs" dxfId="237" priority="383" operator="greaterThan">
      <formula>0</formula>
    </cfRule>
  </conditionalFormatting>
  <conditionalFormatting sqref="H21">
    <cfRule type="cellIs" dxfId="236" priority="373" operator="greaterThan">
      <formula>0</formula>
    </cfRule>
  </conditionalFormatting>
  <conditionalFormatting sqref="H24">
    <cfRule type="cellIs" dxfId="235" priority="412" operator="greaterThan">
      <formula>0</formula>
    </cfRule>
  </conditionalFormatting>
  <conditionalFormatting sqref="H27">
    <cfRule type="cellIs" dxfId="234" priority="78" operator="greaterThan">
      <formula>0</formula>
    </cfRule>
  </conditionalFormatting>
  <conditionalFormatting sqref="H30:H31">
    <cfRule type="cellIs" dxfId="233" priority="288" operator="greaterThan">
      <formula>0</formula>
    </cfRule>
  </conditionalFormatting>
  <conditionalFormatting sqref="H33:H34">
    <cfRule type="cellIs" dxfId="232" priority="264" operator="greaterThan">
      <formula>0</formula>
    </cfRule>
  </conditionalFormatting>
  <conditionalFormatting sqref="H36:H37">
    <cfRule type="cellIs" dxfId="231" priority="240" operator="greaterThan">
      <formula>0</formula>
    </cfRule>
  </conditionalFormatting>
  <conditionalFormatting sqref="H39:H40">
    <cfRule type="cellIs" dxfId="230" priority="216" operator="greaterThan">
      <formula>0</formula>
    </cfRule>
  </conditionalFormatting>
  <conditionalFormatting sqref="H42:H43">
    <cfRule type="cellIs" dxfId="229" priority="192" operator="greaterThan">
      <formula>0</formula>
    </cfRule>
  </conditionalFormatting>
  <conditionalFormatting sqref="I10">
    <cfRule type="cellIs" dxfId="228" priority="464" operator="greaterThan">
      <formula>0</formula>
    </cfRule>
  </conditionalFormatting>
  <conditionalFormatting sqref="I13">
    <cfRule type="cellIs" dxfId="227" priority="437" operator="greaterThan">
      <formula>0</formula>
    </cfRule>
  </conditionalFormatting>
  <conditionalFormatting sqref="I16">
    <cfRule type="cellIs" dxfId="226" priority="149" operator="greaterThan">
      <formula>0</formula>
    </cfRule>
  </conditionalFormatting>
  <conditionalFormatting sqref="I19">
    <cfRule type="cellIs" dxfId="225" priority="148" operator="greaterThan">
      <formula>0</formula>
    </cfRule>
  </conditionalFormatting>
  <conditionalFormatting sqref="I22">
    <cfRule type="cellIs" dxfId="224" priority="147" operator="greaterThan">
      <formula>0</formula>
    </cfRule>
  </conditionalFormatting>
  <conditionalFormatting sqref="I25">
    <cfRule type="cellIs" dxfId="223" priority="146" operator="greaterThan">
      <formula>0</formula>
    </cfRule>
  </conditionalFormatting>
  <conditionalFormatting sqref="I28">
    <cfRule type="cellIs" dxfId="222" priority="74" operator="greaterThan">
      <formula>0</formula>
    </cfRule>
  </conditionalFormatting>
  <conditionalFormatting sqref="I32">
    <cfRule type="cellIs" dxfId="221" priority="48" operator="greaterThan">
      <formula>0</formula>
    </cfRule>
  </conditionalFormatting>
  <conditionalFormatting sqref="I35">
    <cfRule type="cellIs" dxfId="220" priority="47" operator="greaterThan">
      <formula>0</formula>
    </cfRule>
  </conditionalFormatting>
  <conditionalFormatting sqref="I38">
    <cfRule type="cellIs" dxfId="219" priority="46" operator="greaterThan">
      <formula>0</formula>
    </cfRule>
  </conditionalFormatting>
  <conditionalFormatting sqref="I41">
    <cfRule type="cellIs" dxfId="218" priority="45" operator="greaterThan">
      <formula>0</formula>
    </cfRule>
  </conditionalFormatting>
  <conditionalFormatting sqref="I44">
    <cfRule type="cellIs" dxfId="217" priority="44" operator="greaterThan">
      <formula>0</formula>
    </cfRule>
  </conditionalFormatting>
  <conditionalFormatting sqref="J6">
    <cfRule type="cellIs" dxfId="216" priority="93" operator="greaterThan">
      <formula>0</formula>
    </cfRule>
  </conditionalFormatting>
  <conditionalFormatting sqref="J8:J9">
    <cfRule type="cellIs" dxfId="215" priority="463" operator="greaterThan">
      <formula>0</formula>
    </cfRule>
  </conditionalFormatting>
  <conditionalFormatting sqref="J11:J12">
    <cfRule type="cellIs" dxfId="214" priority="436" operator="greaterThan">
      <formula>0</formula>
    </cfRule>
  </conditionalFormatting>
  <conditionalFormatting sqref="J15">
    <cfRule type="cellIs" dxfId="213" priority="385" operator="greaterThan">
      <formula>0</formula>
    </cfRule>
  </conditionalFormatting>
  <conditionalFormatting sqref="J18">
    <cfRule type="cellIs" dxfId="212" priority="416" operator="greaterThan">
      <formula>0</formula>
    </cfRule>
  </conditionalFormatting>
  <conditionalFormatting sqref="J21">
    <cfRule type="cellIs" dxfId="211" priority="414" operator="greaterThan">
      <formula>0</formula>
    </cfRule>
  </conditionalFormatting>
  <conditionalFormatting sqref="J24">
    <cfRule type="cellIs" dxfId="210" priority="369" operator="greaterThan">
      <formula>0</formula>
    </cfRule>
  </conditionalFormatting>
  <conditionalFormatting sqref="J27">
    <cfRule type="cellIs" dxfId="209" priority="77" operator="greaterThan">
      <formula>0</formula>
    </cfRule>
  </conditionalFormatting>
  <conditionalFormatting sqref="J30:J31">
    <cfRule type="cellIs" dxfId="208" priority="286" operator="greaterThan">
      <formula>0</formula>
    </cfRule>
  </conditionalFormatting>
  <conditionalFormatting sqref="J33:J34">
    <cfRule type="cellIs" dxfId="207" priority="262" operator="greaterThan">
      <formula>0</formula>
    </cfRule>
  </conditionalFormatting>
  <conditionalFormatting sqref="J36:J37">
    <cfRule type="cellIs" dxfId="206" priority="238" operator="greaterThan">
      <formula>0</formula>
    </cfRule>
  </conditionalFormatting>
  <conditionalFormatting sqref="J39:J40">
    <cfRule type="cellIs" dxfId="205" priority="214" operator="greaterThan">
      <formula>0</formula>
    </cfRule>
  </conditionalFormatting>
  <conditionalFormatting sqref="J42:J43">
    <cfRule type="cellIs" dxfId="204" priority="190" operator="greaterThan">
      <formula>0</formula>
    </cfRule>
  </conditionalFormatting>
  <conditionalFormatting sqref="K10">
    <cfRule type="cellIs" dxfId="203" priority="461" operator="greaterThan">
      <formula>0</formula>
    </cfRule>
  </conditionalFormatting>
  <conditionalFormatting sqref="K13">
    <cfRule type="cellIs" dxfId="202" priority="434" operator="greaterThan">
      <formula>0</formula>
    </cfRule>
  </conditionalFormatting>
  <conditionalFormatting sqref="K16">
    <cfRule type="cellIs" dxfId="201" priority="144" operator="greaterThan">
      <formula>0</formula>
    </cfRule>
  </conditionalFormatting>
  <conditionalFormatting sqref="K19">
    <cfRule type="cellIs" dxfId="200" priority="143" operator="greaterThan">
      <formula>0</formula>
    </cfRule>
  </conditionalFormatting>
  <conditionalFormatting sqref="K22">
    <cfRule type="cellIs" dxfId="199" priority="142" operator="greaterThan">
      <formula>0</formula>
    </cfRule>
  </conditionalFormatting>
  <conditionalFormatting sqref="K25">
    <cfRule type="cellIs" dxfId="198" priority="141" operator="greaterThan">
      <formula>0</formula>
    </cfRule>
  </conditionalFormatting>
  <conditionalFormatting sqref="K28">
    <cfRule type="cellIs" dxfId="197" priority="1" operator="greaterThan">
      <formula>0</formula>
    </cfRule>
  </conditionalFormatting>
  <conditionalFormatting sqref="K32">
    <cfRule type="cellIs" dxfId="196" priority="43" operator="greaterThan">
      <formula>0</formula>
    </cfRule>
  </conditionalFormatting>
  <conditionalFormatting sqref="K35">
    <cfRule type="cellIs" dxfId="195" priority="42" operator="greaterThan">
      <formula>0</formula>
    </cfRule>
  </conditionalFormatting>
  <conditionalFormatting sqref="K38">
    <cfRule type="cellIs" dxfId="194" priority="41" operator="greaterThan">
      <formula>0</formula>
    </cfRule>
  </conditionalFormatting>
  <conditionalFormatting sqref="K41">
    <cfRule type="cellIs" dxfId="193" priority="40" operator="greaterThan">
      <formula>0</formula>
    </cfRule>
  </conditionalFormatting>
  <conditionalFormatting sqref="K44">
    <cfRule type="cellIs" dxfId="192" priority="39" operator="greaterThan">
      <formula>0</formula>
    </cfRule>
  </conditionalFormatting>
  <conditionalFormatting sqref="L6">
    <cfRule type="cellIs" dxfId="191" priority="92" operator="greaterThan">
      <formula>0</formula>
    </cfRule>
  </conditionalFormatting>
  <conditionalFormatting sqref="L8:L9">
    <cfRule type="cellIs" dxfId="190" priority="460" operator="greaterThan">
      <formula>0</formula>
    </cfRule>
  </conditionalFormatting>
  <conditionalFormatting sqref="L11:L12">
    <cfRule type="cellIs" dxfId="189" priority="433" operator="greaterThan">
      <formula>0</formula>
    </cfRule>
  </conditionalFormatting>
  <conditionalFormatting sqref="L15">
    <cfRule type="cellIs" dxfId="188" priority="410" operator="greaterThan">
      <formula>0</formula>
    </cfRule>
  </conditionalFormatting>
  <conditionalFormatting sqref="L18">
    <cfRule type="cellIs" dxfId="187" priority="381" operator="greaterThan">
      <formula>0</formula>
    </cfRule>
  </conditionalFormatting>
  <conditionalFormatting sqref="L21">
    <cfRule type="cellIs" dxfId="186" priority="365" operator="greaterThan">
      <formula>0</formula>
    </cfRule>
  </conditionalFormatting>
  <conditionalFormatting sqref="L24">
    <cfRule type="cellIs" dxfId="185" priority="363" operator="greaterThan">
      <formula>0</formula>
    </cfRule>
  </conditionalFormatting>
  <conditionalFormatting sqref="L27">
    <cfRule type="cellIs" dxfId="184" priority="2" operator="greaterThan">
      <formula>0</formula>
    </cfRule>
  </conditionalFormatting>
  <conditionalFormatting sqref="L29:L31">
    <cfRule type="cellIs" dxfId="183" priority="284" operator="greaterThan">
      <formula>0</formula>
    </cfRule>
  </conditionalFormatting>
  <conditionalFormatting sqref="L33:L34">
    <cfRule type="cellIs" dxfId="182" priority="260" operator="greaterThan">
      <formula>0</formula>
    </cfRule>
  </conditionalFormatting>
  <conditionalFormatting sqref="L36:L37">
    <cfRule type="cellIs" dxfId="181" priority="236" operator="greaterThan">
      <formula>0</formula>
    </cfRule>
  </conditionalFormatting>
  <conditionalFormatting sqref="L39:L40">
    <cfRule type="cellIs" dxfId="180" priority="212" operator="greaterThan">
      <formula>0</formula>
    </cfRule>
  </conditionalFormatting>
  <conditionalFormatting sqref="L42:L43">
    <cfRule type="cellIs" dxfId="179" priority="188" operator="greaterThan">
      <formula>0</formula>
    </cfRule>
  </conditionalFormatting>
  <conditionalFormatting sqref="M10">
    <cfRule type="cellIs" dxfId="178" priority="458" operator="greaterThan">
      <formula>0</formula>
    </cfRule>
  </conditionalFormatting>
  <conditionalFormatting sqref="M13">
    <cfRule type="cellIs" dxfId="177" priority="431" operator="greaterThan">
      <formula>0</formula>
    </cfRule>
  </conditionalFormatting>
  <conditionalFormatting sqref="M16">
    <cfRule type="cellIs" dxfId="176" priority="139" operator="greaterThan">
      <formula>0</formula>
    </cfRule>
  </conditionalFormatting>
  <conditionalFormatting sqref="M19">
    <cfRule type="cellIs" dxfId="175" priority="170" operator="greaterThan">
      <formula>0</formula>
    </cfRule>
  </conditionalFormatting>
  <conditionalFormatting sqref="M22">
    <cfRule type="cellIs" dxfId="174" priority="138" operator="greaterThan">
      <formula>0</formula>
    </cfRule>
  </conditionalFormatting>
  <conditionalFormatting sqref="M25">
    <cfRule type="cellIs" dxfId="173" priority="137" operator="greaterThan">
      <formula>0</formula>
    </cfRule>
  </conditionalFormatting>
  <conditionalFormatting sqref="M28">
    <cfRule type="cellIs" dxfId="172" priority="136" operator="greaterThan">
      <formula>0</formula>
    </cfRule>
  </conditionalFormatting>
  <conditionalFormatting sqref="M32">
    <cfRule type="cellIs" dxfId="171" priority="38" operator="greaterThan">
      <formula>0</formula>
    </cfRule>
  </conditionalFormatting>
  <conditionalFormatting sqref="M35">
    <cfRule type="cellIs" dxfId="170" priority="37" operator="greaterThan">
      <formula>0</formula>
    </cfRule>
  </conditionalFormatting>
  <conditionalFormatting sqref="M38">
    <cfRule type="cellIs" dxfId="169" priority="36" operator="greaterThan">
      <formula>0</formula>
    </cfRule>
  </conditionalFormatting>
  <conditionalFormatting sqref="M41">
    <cfRule type="cellIs" dxfId="168" priority="35" operator="greaterThan">
      <formula>0</formula>
    </cfRule>
  </conditionalFormatting>
  <conditionalFormatting sqref="M44">
    <cfRule type="cellIs" dxfId="167" priority="34" operator="greaterThan">
      <formula>0</formula>
    </cfRule>
  </conditionalFormatting>
  <conditionalFormatting sqref="M17:N19">
    <cfRule type="expression" dxfId="166" priority="171">
      <formula>$N$17="硫酸海洋"</formula>
    </cfRule>
  </conditionalFormatting>
  <conditionalFormatting sqref="N6">
    <cfRule type="cellIs" dxfId="165" priority="91" operator="greaterThan">
      <formula>0</formula>
    </cfRule>
  </conditionalFormatting>
  <conditionalFormatting sqref="N8:N9">
    <cfRule type="cellIs" dxfId="164" priority="457" operator="greaterThan">
      <formula>0</formula>
    </cfRule>
  </conditionalFormatting>
  <conditionalFormatting sqref="N12">
    <cfRule type="cellIs" dxfId="163" priority="432" operator="greaterThan">
      <formula>0</formula>
    </cfRule>
  </conditionalFormatting>
  <conditionalFormatting sqref="N15">
    <cfRule type="cellIs" dxfId="162" priority="359" operator="greaterThan">
      <formula>0</formula>
    </cfRule>
  </conditionalFormatting>
  <conditionalFormatting sqref="N18 M19">
    <cfRule type="expression" dxfId="161" priority="82">
      <formula>$N$17="硫酸海洋"</formula>
    </cfRule>
  </conditionalFormatting>
  <conditionalFormatting sqref="N18">
    <cfRule type="cellIs" dxfId="160" priority="81" operator="greaterThan">
      <formula>0</formula>
    </cfRule>
  </conditionalFormatting>
  <conditionalFormatting sqref="N21">
    <cfRule type="cellIs" dxfId="159" priority="406" operator="greaterThan">
      <formula>0</formula>
    </cfRule>
  </conditionalFormatting>
  <conditionalFormatting sqref="N24">
    <cfRule type="cellIs" dxfId="158" priority="87" operator="greaterThan">
      <formula>0</formula>
    </cfRule>
  </conditionalFormatting>
  <conditionalFormatting sqref="N27">
    <cfRule type="cellIs" dxfId="157" priority="355" operator="greaterThan">
      <formula>0</formula>
    </cfRule>
  </conditionalFormatting>
  <conditionalFormatting sqref="N30:N31">
    <cfRule type="cellIs" dxfId="156" priority="282" operator="greaterThan">
      <formula>0</formula>
    </cfRule>
  </conditionalFormatting>
  <conditionalFormatting sqref="N33:N34">
    <cfRule type="cellIs" dxfId="155" priority="258" operator="greaterThan">
      <formula>0</formula>
    </cfRule>
  </conditionalFormatting>
  <conditionalFormatting sqref="N36:N37">
    <cfRule type="cellIs" dxfId="154" priority="234" operator="greaterThan">
      <formula>0</formula>
    </cfRule>
  </conditionalFormatting>
  <conditionalFormatting sqref="N39:N40">
    <cfRule type="cellIs" dxfId="153" priority="210" operator="greaterThan">
      <formula>0</formula>
    </cfRule>
  </conditionalFormatting>
  <conditionalFormatting sqref="N42:N43">
    <cfRule type="cellIs" dxfId="152" priority="186" operator="greaterThan">
      <formula>0</formula>
    </cfRule>
  </conditionalFormatting>
  <conditionalFormatting sqref="O11">
    <cfRule type="cellIs" dxfId="151" priority="165" operator="greaterThan">
      <formula>0</formula>
    </cfRule>
  </conditionalFormatting>
  <conditionalFormatting sqref="O12:O13">
    <cfRule type="expression" dxfId="150" priority="67">
      <formula>$P$11="可燃冰"</formula>
    </cfRule>
  </conditionalFormatting>
  <conditionalFormatting sqref="O16">
    <cfRule type="cellIs" dxfId="149" priority="135" operator="greaterThan">
      <formula>0</formula>
    </cfRule>
  </conditionalFormatting>
  <conditionalFormatting sqref="O19">
    <cfRule type="cellIs" dxfId="148" priority="134" operator="greaterThan">
      <formula>0</formula>
    </cfRule>
  </conditionalFormatting>
  <conditionalFormatting sqref="O22">
    <cfRule type="cellIs" dxfId="147" priority="133" operator="greaterThan">
      <formula>0</formula>
    </cfRule>
  </conditionalFormatting>
  <conditionalFormatting sqref="O25">
    <cfRule type="cellIs" dxfId="146" priority="132" operator="greaterThan">
      <formula>0</formula>
    </cfRule>
  </conditionalFormatting>
  <conditionalFormatting sqref="O28">
    <cfRule type="cellIs" dxfId="145" priority="131" operator="greaterThan">
      <formula>0</formula>
    </cfRule>
  </conditionalFormatting>
  <conditionalFormatting sqref="O32">
    <cfRule type="cellIs" dxfId="144" priority="33" operator="greaterThan">
      <formula>0</formula>
    </cfRule>
  </conditionalFormatting>
  <conditionalFormatting sqref="O35">
    <cfRule type="cellIs" dxfId="143" priority="32" operator="greaterThan">
      <formula>0</formula>
    </cfRule>
  </conditionalFormatting>
  <conditionalFormatting sqref="O38">
    <cfRule type="cellIs" dxfId="142" priority="31" operator="greaterThan">
      <formula>0</formula>
    </cfRule>
  </conditionalFormatting>
  <conditionalFormatting sqref="O41">
    <cfRule type="cellIs" dxfId="141" priority="30" operator="greaterThan">
      <formula>0</formula>
    </cfRule>
  </conditionalFormatting>
  <conditionalFormatting sqref="O44">
    <cfRule type="cellIs" dxfId="140" priority="29" operator="greaterThan">
      <formula>0</formula>
    </cfRule>
  </conditionalFormatting>
  <conditionalFormatting sqref="O4:P4">
    <cfRule type="cellIs" dxfId="139" priority="8" operator="greaterThan">
      <formula>0</formula>
    </cfRule>
  </conditionalFormatting>
  <conditionalFormatting sqref="P6">
    <cfRule type="cellIs" dxfId="138" priority="90" operator="greaterThan">
      <formula>0</formula>
    </cfRule>
  </conditionalFormatting>
  <conditionalFormatting sqref="P8:P9">
    <cfRule type="cellIs" dxfId="137" priority="173" operator="greaterThan">
      <formula>0</formula>
    </cfRule>
  </conditionalFormatting>
  <conditionalFormatting sqref="P11:P12 O12">
    <cfRule type="expression" dxfId="136" priority="633">
      <formula>$P$11="气态行星"</formula>
    </cfRule>
  </conditionalFormatting>
  <conditionalFormatting sqref="P11:P12">
    <cfRule type="expression" dxfId="135" priority="71">
      <formula>$P$11="可燃冰"</formula>
    </cfRule>
  </conditionalFormatting>
  <conditionalFormatting sqref="P12">
    <cfRule type="expression" dxfId="134" priority="66">
      <formula>$P$11="气态行星"</formula>
    </cfRule>
    <cfRule type="expression" dxfId="133" priority="70">
      <formula>$P$11="可燃冰"</formula>
    </cfRule>
    <cfRule type="cellIs" dxfId="132" priority="64" operator="greaterThan">
      <formula>0</formula>
    </cfRule>
  </conditionalFormatting>
  <conditionalFormatting sqref="P15">
    <cfRule type="cellIs" dxfId="131" priority="353" operator="greaterThan">
      <formula>0</formula>
    </cfRule>
  </conditionalFormatting>
  <conditionalFormatting sqref="P18">
    <cfRule type="cellIs" dxfId="130" priority="351" operator="greaterThan">
      <formula>0</formula>
    </cfRule>
  </conditionalFormatting>
  <conditionalFormatting sqref="P21">
    <cfRule type="cellIs" dxfId="129" priority="349" operator="greaterThan">
      <formula>0</formula>
    </cfRule>
  </conditionalFormatting>
  <conditionalFormatting sqref="P24">
    <cfRule type="cellIs" dxfId="128" priority="347" operator="greaterThan">
      <formula>0</formula>
    </cfRule>
  </conditionalFormatting>
  <conditionalFormatting sqref="P27">
    <cfRule type="cellIs" dxfId="127" priority="345" operator="greaterThan">
      <formula>0</formula>
    </cfRule>
  </conditionalFormatting>
  <conditionalFormatting sqref="P30:P31">
    <cfRule type="cellIs" dxfId="126" priority="280" operator="greaterThan">
      <formula>0</formula>
    </cfRule>
  </conditionalFormatting>
  <conditionalFormatting sqref="P33:P34">
    <cfRule type="cellIs" dxfId="125" priority="256" operator="greaterThan">
      <formula>0</formula>
    </cfRule>
  </conditionalFormatting>
  <conditionalFormatting sqref="P36:P37">
    <cfRule type="cellIs" dxfId="124" priority="232" operator="greaterThan">
      <formula>0</formula>
    </cfRule>
  </conditionalFormatting>
  <conditionalFormatting sqref="P39:P40">
    <cfRule type="cellIs" dxfId="123" priority="208" operator="greaterThan">
      <formula>0</formula>
    </cfRule>
  </conditionalFormatting>
  <conditionalFormatting sqref="P42:P43">
    <cfRule type="cellIs" dxfId="122" priority="184" operator="greaterThan">
      <formula>0</formula>
    </cfRule>
  </conditionalFormatting>
  <conditionalFormatting sqref="Q6">
    <cfRule type="expression" dxfId="121" priority="84">
      <formula>"$R9=“有机晶体矿”"</formula>
    </cfRule>
  </conditionalFormatting>
  <conditionalFormatting sqref="Q10">
    <cfRule type="cellIs" dxfId="120" priority="168" operator="greaterThan">
      <formula>0</formula>
    </cfRule>
  </conditionalFormatting>
  <conditionalFormatting sqref="Q13">
    <cfRule type="cellIs" dxfId="119" priority="628" operator="greaterThan">
      <formula>0</formula>
    </cfRule>
  </conditionalFormatting>
  <conditionalFormatting sqref="Q16">
    <cfRule type="cellIs" dxfId="118" priority="130" operator="greaterThan">
      <formula>0</formula>
    </cfRule>
  </conditionalFormatting>
  <conditionalFormatting sqref="Q19">
    <cfRule type="cellIs" dxfId="117" priority="129" operator="greaterThan">
      <formula>0</formula>
    </cfRule>
  </conditionalFormatting>
  <conditionalFormatting sqref="Q22">
    <cfRule type="cellIs" dxfId="116" priority="128" operator="greaterThan">
      <formula>0</formula>
    </cfRule>
  </conditionalFormatting>
  <conditionalFormatting sqref="Q25">
    <cfRule type="cellIs" dxfId="115" priority="127" operator="greaterThan">
      <formula>0</formula>
    </cfRule>
  </conditionalFormatting>
  <conditionalFormatting sqref="Q28">
    <cfRule type="cellIs" dxfId="114" priority="126" operator="greaterThan">
      <formula>0</formula>
    </cfRule>
  </conditionalFormatting>
  <conditionalFormatting sqref="Q32">
    <cfRule type="cellIs" dxfId="113" priority="28" operator="greaterThan">
      <formula>0</formula>
    </cfRule>
  </conditionalFormatting>
  <conditionalFormatting sqref="Q35">
    <cfRule type="cellIs" dxfId="112" priority="27" operator="greaterThan">
      <formula>0</formula>
    </cfRule>
  </conditionalFormatting>
  <conditionalFormatting sqref="Q38">
    <cfRule type="cellIs" dxfId="111" priority="26" operator="greaterThan">
      <formula>0</formula>
    </cfRule>
  </conditionalFormatting>
  <conditionalFormatting sqref="Q41">
    <cfRule type="cellIs" dxfId="110" priority="25" operator="greaterThan">
      <formula>0</formula>
    </cfRule>
  </conditionalFormatting>
  <conditionalFormatting sqref="Q44">
    <cfRule type="cellIs" dxfId="109" priority="24" operator="greaterThan">
      <formula>0</formula>
    </cfRule>
  </conditionalFormatting>
  <conditionalFormatting sqref="Q11:R13">
    <cfRule type="expression" dxfId="108" priority="629">
      <formula>$R$11="有机晶体矿"</formula>
    </cfRule>
  </conditionalFormatting>
  <conditionalFormatting sqref="R6">
    <cfRule type="cellIs" dxfId="107" priority="89" operator="greaterThan">
      <formula>0</formula>
    </cfRule>
  </conditionalFormatting>
  <conditionalFormatting sqref="R9">
    <cfRule type="cellIs" dxfId="106" priority="169" operator="greaterThan">
      <formula>0</formula>
    </cfRule>
  </conditionalFormatting>
  <conditionalFormatting sqref="R12 Q13">
    <cfRule type="expression" dxfId="105" priority="83">
      <formula>$R$11="有机晶体矿"</formula>
    </cfRule>
  </conditionalFormatting>
  <conditionalFormatting sqref="R12">
    <cfRule type="cellIs" dxfId="104" priority="80" operator="greaterThan">
      <formula>0</formula>
    </cfRule>
  </conditionalFormatting>
  <conditionalFormatting sqref="R15">
    <cfRule type="cellIs" dxfId="103" priority="343" operator="greaterThan">
      <formula>0</formula>
    </cfRule>
  </conditionalFormatting>
  <conditionalFormatting sqref="R18">
    <cfRule type="cellIs" dxfId="102" priority="341" operator="greaterThan">
      <formula>0</formula>
    </cfRule>
  </conditionalFormatting>
  <conditionalFormatting sqref="R21">
    <cfRule type="cellIs" dxfId="101" priority="339" operator="greaterThan">
      <formula>0</formula>
    </cfRule>
  </conditionalFormatting>
  <conditionalFormatting sqref="R24">
    <cfRule type="cellIs" dxfId="100" priority="337" operator="greaterThan">
      <formula>0</formula>
    </cfRule>
  </conditionalFormatting>
  <conditionalFormatting sqref="R27">
    <cfRule type="cellIs" dxfId="99" priority="335" operator="greaterThan">
      <formula>0</formula>
    </cfRule>
  </conditionalFormatting>
  <conditionalFormatting sqref="R30:R31">
    <cfRule type="cellIs" dxfId="98" priority="278" operator="greaterThan">
      <formula>0</formula>
    </cfRule>
  </conditionalFormatting>
  <conditionalFormatting sqref="R33:R34">
    <cfRule type="cellIs" dxfId="97" priority="254" operator="greaterThan">
      <formula>0</formula>
    </cfRule>
  </conditionalFormatting>
  <conditionalFormatting sqref="R36:R37">
    <cfRule type="cellIs" dxfId="96" priority="230" operator="greaterThan">
      <formula>0</formula>
    </cfRule>
  </conditionalFormatting>
  <conditionalFormatting sqref="R39:R40">
    <cfRule type="cellIs" dxfId="95" priority="206" operator="greaterThan">
      <formula>0</formula>
    </cfRule>
  </conditionalFormatting>
  <conditionalFormatting sqref="R42:R43">
    <cfRule type="cellIs" dxfId="94" priority="182" operator="greaterThan">
      <formula>0</formula>
    </cfRule>
  </conditionalFormatting>
  <conditionalFormatting sqref="S10">
    <cfRule type="cellIs" dxfId="93" priority="166" operator="greaterThan">
      <formula>0</formula>
    </cfRule>
    <cfRule type="expression" dxfId="92" priority="73">
      <formula>$T$8="可燃冰"</formula>
    </cfRule>
  </conditionalFormatting>
  <conditionalFormatting sqref="S16">
    <cfRule type="cellIs" dxfId="91" priority="124" operator="greaterThan">
      <formula>0</formula>
    </cfRule>
  </conditionalFormatting>
  <conditionalFormatting sqref="S19">
    <cfRule type="cellIs" dxfId="90" priority="123" operator="greaterThan">
      <formula>0</formula>
    </cfRule>
  </conditionalFormatting>
  <conditionalFormatting sqref="S22">
    <cfRule type="cellIs" dxfId="89" priority="122" operator="greaterThan">
      <formula>0</formula>
    </cfRule>
  </conditionalFormatting>
  <conditionalFormatting sqref="S25">
    <cfRule type="cellIs" dxfId="88" priority="121" operator="greaterThan">
      <formula>0</formula>
    </cfRule>
  </conditionalFormatting>
  <conditionalFormatting sqref="S28">
    <cfRule type="cellIs" dxfId="87" priority="120" operator="greaterThan">
      <formula>0</formula>
    </cfRule>
  </conditionalFormatting>
  <conditionalFormatting sqref="S32">
    <cfRule type="cellIs" dxfId="86" priority="23" operator="greaterThan">
      <formula>0</formula>
    </cfRule>
  </conditionalFormatting>
  <conditionalFormatting sqref="S35">
    <cfRule type="cellIs" dxfId="85" priority="22" operator="greaterThan">
      <formula>0</formula>
    </cfRule>
  </conditionalFormatting>
  <conditionalFormatting sqref="S38">
    <cfRule type="cellIs" dxfId="84" priority="21" operator="greaterThan">
      <formula>0</formula>
    </cfRule>
  </conditionalFormatting>
  <conditionalFormatting sqref="S41">
    <cfRule type="cellIs" dxfId="83" priority="20" operator="greaterThan">
      <formula>0</formula>
    </cfRule>
  </conditionalFormatting>
  <conditionalFormatting sqref="S44">
    <cfRule type="cellIs" dxfId="82" priority="19" operator="greaterThan">
      <formula>0</formula>
    </cfRule>
  </conditionalFormatting>
  <conditionalFormatting sqref="T4">
    <cfRule type="cellIs" dxfId="81" priority="7" operator="greaterThan">
      <formula>0</formula>
    </cfRule>
  </conditionalFormatting>
  <conditionalFormatting sqref="T6">
    <cfRule type="cellIs" dxfId="80" priority="88" operator="greaterThan">
      <formula>0</formula>
    </cfRule>
  </conditionalFormatting>
  <conditionalFormatting sqref="T9">
    <cfRule type="cellIs" dxfId="79" priority="167" operator="greaterThan">
      <formula>0</formula>
    </cfRule>
  </conditionalFormatting>
  <conditionalFormatting sqref="T12">
    <cfRule type="cellIs" dxfId="78" priority="333" operator="greaterThan">
      <formula>0</formula>
    </cfRule>
  </conditionalFormatting>
  <conditionalFormatting sqref="T15">
    <cfRule type="cellIs" dxfId="77" priority="404" operator="greaterThan">
      <formula>0</formula>
    </cfRule>
  </conditionalFormatting>
  <conditionalFormatting sqref="T18">
    <cfRule type="cellIs" dxfId="76" priority="331" operator="greaterThan">
      <formula>0</formula>
    </cfRule>
  </conditionalFormatting>
  <conditionalFormatting sqref="T21">
    <cfRule type="cellIs" dxfId="75" priority="329" operator="greaterThan">
      <formula>0</formula>
    </cfRule>
  </conditionalFormatting>
  <conditionalFormatting sqref="T24">
    <cfRule type="cellIs" dxfId="74" priority="327" operator="greaterThan">
      <formula>0</formula>
    </cfRule>
  </conditionalFormatting>
  <conditionalFormatting sqref="T27">
    <cfRule type="cellIs" dxfId="73" priority="325" operator="greaterThan">
      <formula>0</formula>
    </cfRule>
  </conditionalFormatting>
  <conditionalFormatting sqref="T30:T31">
    <cfRule type="cellIs" dxfId="72" priority="276" operator="greaterThan">
      <formula>0</formula>
    </cfRule>
  </conditionalFormatting>
  <conditionalFormatting sqref="T33:T34">
    <cfRule type="cellIs" dxfId="71" priority="252" operator="greaterThan">
      <formula>0</formula>
    </cfRule>
  </conditionalFormatting>
  <conditionalFormatting sqref="T36:T37">
    <cfRule type="cellIs" dxfId="70" priority="228" operator="greaterThan">
      <formula>0</formula>
    </cfRule>
  </conditionalFormatting>
  <conditionalFormatting sqref="T39:T40">
    <cfRule type="cellIs" dxfId="69" priority="204" operator="greaterThan">
      <formula>0</formula>
    </cfRule>
  </conditionalFormatting>
  <conditionalFormatting sqref="T42:T43">
    <cfRule type="cellIs" dxfId="68" priority="180" operator="greaterThan">
      <formula>0</formula>
    </cfRule>
  </conditionalFormatting>
  <conditionalFormatting sqref="T13:U13">
    <cfRule type="cellIs" dxfId="67" priority="116" operator="greaterThan">
      <formula>0</formula>
    </cfRule>
  </conditionalFormatting>
  <conditionalFormatting sqref="U7">
    <cfRule type="cellIs" dxfId="66" priority="4" operator="greaterThan">
      <formula>0</formula>
    </cfRule>
  </conditionalFormatting>
  <conditionalFormatting sqref="U10">
    <cfRule type="cellIs" dxfId="65" priority="117" operator="greaterThan">
      <formula>0</formula>
    </cfRule>
  </conditionalFormatting>
  <conditionalFormatting sqref="U16">
    <cfRule type="cellIs" dxfId="64" priority="115" operator="greaterThan">
      <formula>0</formula>
    </cfRule>
  </conditionalFormatting>
  <conditionalFormatting sqref="U19">
    <cfRule type="cellIs" dxfId="63" priority="114" operator="greaterThan">
      <formula>0</formula>
    </cfRule>
  </conditionalFormatting>
  <conditionalFormatting sqref="U22">
    <cfRule type="cellIs" dxfId="62" priority="113" operator="greaterThan">
      <formula>0</formula>
    </cfRule>
  </conditionalFormatting>
  <conditionalFormatting sqref="U25">
    <cfRule type="cellIs" dxfId="61" priority="112" operator="greaterThan">
      <formula>0</formula>
    </cfRule>
  </conditionalFormatting>
  <conditionalFormatting sqref="U28">
    <cfRule type="cellIs" dxfId="60" priority="111" operator="greaterThan">
      <formula>0</formula>
    </cfRule>
  </conditionalFormatting>
  <conditionalFormatting sqref="U32">
    <cfRule type="cellIs" dxfId="59" priority="18" operator="greaterThan">
      <formula>0</formula>
    </cfRule>
  </conditionalFormatting>
  <conditionalFormatting sqref="U35">
    <cfRule type="cellIs" dxfId="58" priority="17" operator="greaterThan">
      <formula>0</formula>
    </cfRule>
  </conditionalFormatting>
  <conditionalFormatting sqref="U38">
    <cfRule type="cellIs" dxfId="57" priority="16" operator="greaterThan">
      <formula>0</formula>
    </cfRule>
  </conditionalFormatting>
  <conditionalFormatting sqref="U41">
    <cfRule type="cellIs" dxfId="56" priority="15" operator="greaterThan">
      <formula>0</formula>
    </cfRule>
  </conditionalFormatting>
  <conditionalFormatting sqref="U44">
    <cfRule type="cellIs" dxfId="55" priority="14" operator="greaterThan">
      <formula>0</formula>
    </cfRule>
  </conditionalFormatting>
  <conditionalFormatting sqref="V6">
    <cfRule type="cellIs" dxfId="54" priority="6" operator="greaterThan">
      <formula>0</formula>
    </cfRule>
  </conditionalFormatting>
  <conditionalFormatting sqref="V9">
    <cfRule type="cellIs" dxfId="53" priority="323" operator="greaterThan">
      <formula>0</formula>
    </cfRule>
  </conditionalFormatting>
  <conditionalFormatting sqref="V12">
    <cfRule type="cellIs" dxfId="52" priority="402" operator="greaterThan">
      <formula>0</formula>
    </cfRule>
  </conditionalFormatting>
  <conditionalFormatting sqref="V15">
    <cfRule type="cellIs" dxfId="51" priority="400" operator="greaterThan">
      <formula>0</formula>
    </cfRule>
  </conditionalFormatting>
  <conditionalFormatting sqref="V18">
    <cfRule type="cellIs" dxfId="50" priority="398" operator="greaterThan">
      <formula>0</formula>
    </cfRule>
  </conditionalFormatting>
  <conditionalFormatting sqref="V21">
    <cfRule type="cellIs" dxfId="49" priority="389" operator="greaterThan">
      <formula>0</formula>
    </cfRule>
  </conditionalFormatting>
  <conditionalFormatting sqref="V24">
    <cfRule type="cellIs" dxfId="48" priority="305" operator="greaterThan">
      <formula>0</formula>
    </cfRule>
  </conditionalFormatting>
  <conditionalFormatting sqref="V27">
    <cfRule type="cellIs" dxfId="47" priority="299" operator="greaterThan">
      <formula>0</formula>
    </cfRule>
  </conditionalFormatting>
  <conditionalFormatting sqref="V30:V31">
    <cfRule type="cellIs" dxfId="46" priority="274" operator="greaterThan">
      <formula>0</formula>
    </cfRule>
  </conditionalFormatting>
  <conditionalFormatting sqref="V33:V34">
    <cfRule type="cellIs" dxfId="45" priority="250" operator="greaterThan">
      <formula>0</formula>
    </cfRule>
  </conditionalFormatting>
  <conditionalFormatting sqref="V36:V37">
    <cfRule type="cellIs" dxfId="44" priority="226" operator="greaterThan">
      <formula>0</formula>
    </cfRule>
  </conditionalFormatting>
  <conditionalFormatting sqref="V39:V40">
    <cfRule type="cellIs" dxfId="43" priority="202" operator="greaterThan">
      <formula>0</formula>
    </cfRule>
  </conditionalFormatting>
  <conditionalFormatting sqref="V42:V43">
    <cfRule type="cellIs" dxfId="42" priority="178" operator="greaterThan">
      <formula>0</formula>
    </cfRule>
  </conditionalFormatting>
  <conditionalFormatting sqref="W7">
    <cfRule type="cellIs" dxfId="41" priority="3" operator="greaterThan">
      <formula>0</formula>
    </cfRule>
  </conditionalFormatting>
  <conditionalFormatting sqref="W10">
    <cfRule type="cellIs" dxfId="40" priority="110" operator="greaterThan">
      <formula>0</formula>
    </cfRule>
  </conditionalFormatting>
  <conditionalFormatting sqref="W13">
    <cfRule type="cellIs" dxfId="39" priority="109" operator="greaterThan">
      <formula>0</formula>
    </cfRule>
  </conditionalFormatting>
  <conditionalFormatting sqref="W16">
    <cfRule type="cellIs" dxfId="38" priority="108" operator="greaterThan">
      <formula>0</formula>
    </cfRule>
  </conditionalFormatting>
  <conditionalFormatting sqref="W19">
    <cfRule type="cellIs" dxfId="37" priority="107" operator="greaterThan">
      <formula>0</formula>
    </cfRule>
  </conditionalFormatting>
  <conditionalFormatting sqref="W22">
    <cfRule type="cellIs" dxfId="36" priority="106" operator="greaterThan">
      <formula>0</formula>
    </cfRule>
  </conditionalFormatting>
  <conditionalFormatting sqref="W25">
    <cfRule type="cellIs" dxfId="35" priority="105" operator="greaterThan">
      <formula>0</formula>
    </cfRule>
  </conditionalFormatting>
  <conditionalFormatting sqref="W28">
    <cfRule type="cellIs" dxfId="34" priority="104" operator="greaterThan">
      <formula>0</formula>
    </cfRule>
  </conditionalFormatting>
  <conditionalFormatting sqref="W32">
    <cfRule type="cellIs" dxfId="33" priority="13" operator="greaterThan">
      <formula>0</formula>
    </cfRule>
  </conditionalFormatting>
  <conditionalFormatting sqref="X6">
    <cfRule type="cellIs" dxfId="32" priority="5" operator="greaterThan">
      <formula>0</formula>
    </cfRule>
  </conditionalFormatting>
  <conditionalFormatting sqref="X9">
    <cfRule type="cellIs" dxfId="31" priority="321" operator="greaterThan">
      <formula>0</formula>
    </cfRule>
  </conditionalFormatting>
  <conditionalFormatting sqref="X12">
    <cfRule type="cellIs" dxfId="30" priority="317" operator="greaterThan">
      <formula>0</formula>
    </cfRule>
  </conditionalFormatting>
  <conditionalFormatting sqref="X15">
    <cfRule type="cellIs" dxfId="29" priority="396" operator="greaterThan">
      <formula>0</formula>
    </cfRule>
  </conditionalFormatting>
  <conditionalFormatting sqref="X18">
    <cfRule type="cellIs" dxfId="28" priority="394" operator="greaterThan">
      <formula>0</formula>
    </cfRule>
  </conditionalFormatting>
  <conditionalFormatting sqref="X21">
    <cfRule type="cellIs" dxfId="27" priority="307" operator="greaterThan">
      <formula>0</formula>
    </cfRule>
  </conditionalFormatting>
  <conditionalFormatting sqref="X24">
    <cfRule type="cellIs" dxfId="26" priority="303" operator="greaterThan">
      <formula>0</formula>
    </cfRule>
  </conditionalFormatting>
  <conditionalFormatting sqref="X27">
    <cfRule type="cellIs" dxfId="25" priority="297" operator="greaterThan">
      <formula>0</formula>
    </cfRule>
  </conditionalFormatting>
  <conditionalFormatting sqref="X30:X31">
    <cfRule type="cellIs" dxfId="24" priority="272" operator="greaterThan">
      <formula>0</formula>
    </cfRule>
  </conditionalFormatting>
  <conditionalFormatting sqref="X33:X34">
    <cfRule type="cellIs" dxfId="23" priority="248" operator="greaterThan">
      <formula>0</formula>
    </cfRule>
  </conditionalFormatting>
  <conditionalFormatting sqref="X36:X37">
    <cfRule type="cellIs" dxfId="22" priority="224" operator="greaterThan">
      <formula>0</formula>
    </cfRule>
  </conditionalFormatting>
  <conditionalFormatting sqref="X39:X40">
    <cfRule type="cellIs" dxfId="21" priority="200" operator="greaterThan">
      <formula>0</formula>
    </cfRule>
  </conditionalFormatting>
  <conditionalFormatting sqref="X42:X43">
    <cfRule type="cellIs" dxfId="20" priority="176" operator="greaterThan">
      <formula>0</formula>
    </cfRule>
  </conditionalFormatting>
  <conditionalFormatting sqref="Y10">
    <cfRule type="cellIs" dxfId="19" priority="103" operator="greaterThan">
      <formula>0</formula>
    </cfRule>
  </conditionalFormatting>
  <conditionalFormatting sqref="Y13">
    <cfRule type="cellIs" dxfId="18" priority="102" operator="greaterThan">
      <formula>0</formula>
    </cfRule>
  </conditionalFormatting>
  <conditionalFormatting sqref="Y16">
    <cfRule type="cellIs" dxfId="17" priority="101" operator="greaterThan">
      <formula>0</formula>
    </cfRule>
  </conditionalFormatting>
  <conditionalFormatting sqref="Y19">
    <cfRule type="cellIs" dxfId="16" priority="100" operator="greaterThan">
      <formula>0</formula>
    </cfRule>
  </conditionalFormatting>
  <conditionalFormatting sqref="Y22">
    <cfRule type="cellIs" dxfId="15" priority="99" operator="greaterThan">
      <formula>0</formula>
    </cfRule>
  </conditionalFormatting>
  <conditionalFormatting sqref="Y25">
    <cfRule type="cellIs" dxfId="14" priority="98" operator="greaterThan">
      <formula>0</formula>
    </cfRule>
  </conditionalFormatting>
  <conditionalFormatting sqref="Y28">
    <cfRule type="cellIs" dxfId="13" priority="97" operator="greaterThan">
      <formula>0</formula>
    </cfRule>
  </conditionalFormatting>
  <conditionalFormatting sqref="Z9">
    <cfRule type="cellIs" dxfId="12" priority="319" operator="greaterThan">
      <formula>0</formula>
    </cfRule>
  </conditionalFormatting>
  <conditionalFormatting sqref="Z12">
    <cfRule type="cellIs" dxfId="11" priority="315" operator="greaterThan">
      <formula>0</formula>
    </cfRule>
  </conditionalFormatting>
  <conditionalFormatting sqref="Z15">
    <cfRule type="cellIs" dxfId="10" priority="313" operator="greaterThan">
      <formula>0</formula>
    </cfRule>
  </conditionalFormatting>
  <conditionalFormatting sqref="Z18">
    <cfRule type="cellIs" dxfId="9" priority="311" operator="greaterThan">
      <formula>0</formula>
    </cfRule>
  </conditionalFormatting>
  <conditionalFormatting sqref="Z21">
    <cfRule type="cellIs" dxfId="8" priority="309" operator="greaterThan">
      <formula>0</formula>
    </cfRule>
  </conditionalFormatting>
  <conditionalFormatting sqref="Z24">
    <cfRule type="cellIs" dxfId="7" priority="301" operator="greaterThan">
      <formula>0</formula>
    </cfRule>
  </conditionalFormatting>
  <conditionalFormatting sqref="Z27">
    <cfRule type="cellIs" dxfId="6" priority="391" operator="greaterThan">
      <formula>0</formula>
    </cfRule>
  </conditionalFormatting>
  <conditionalFormatting sqref="Z30:Z31">
    <cfRule type="cellIs" dxfId="5" priority="294" operator="greaterThan">
      <formula>0</formula>
    </cfRule>
  </conditionalFormatting>
  <conditionalFormatting sqref="Z33:Z34">
    <cfRule type="cellIs" dxfId="4" priority="270" operator="greaterThan">
      <formula>0</formula>
    </cfRule>
  </conditionalFormatting>
  <conditionalFormatting sqref="Z36:Z37">
    <cfRule type="cellIs" dxfId="3" priority="246" operator="greaterThan">
      <formula>0</formula>
    </cfRule>
  </conditionalFormatting>
  <conditionalFormatting sqref="Z39:Z40">
    <cfRule type="cellIs" dxfId="2" priority="222" operator="greaterThan">
      <formula>0</formula>
    </cfRule>
  </conditionalFormatting>
  <conditionalFormatting sqref="Z42:Z43">
    <cfRule type="cellIs" dxfId="1" priority="198" operator="greaterThan">
      <formula>0</formula>
    </cfRule>
  </conditionalFormatting>
  <conditionalFormatting sqref="AD13">
    <cfRule type="cellIs" dxfId="0" priority="118" operator="greaterThan">
      <formula>0</formula>
    </cfRule>
  </conditionalFormatting>
  <dataValidations count="9">
    <dataValidation type="list" allowBlank="1" showInputMessage="1" showErrorMessage="1" sqref="D23" xr:uid="{00000000-0002-0000-0000-000001000000}">
      <formula1>"棱镜,光栅石"</formula1>
    </dataValidation>
    <dataValidation type="list" allowBlank="1" showInputMessage="1" showErrorMessage="1" sqref="N20" xr:uid="{00000000-0002-0000-0000-000002000000}">
      <formula1>"电磁涡轮,单极磁石"</formula1>
    </dataValidation>
    <dataValidation type="list" allowBlank="1" showInputMessage="1" showErrorMessage="1" sqref="N17" xr:uid="{00000000-0002-0000-0000-000003000000}">
      <formula1>"化工设备,硫酸海洋"</formula1>
    </dataValidation>
    <dataValidation type="list" allowBlank="1" showInputMessage="1" showErrorMessage="1" sqref="P11" xr:uid="{00000000-0002-0000-0000-000004000000}">
      <formula1>"原油,气态行星,可燃冰"</formula1>
    </dataValidation>
    <dataValidation type="list" allowBlank="1" showInputMessage="1" showErrorMessage="1" sqref="D2 E3 D5" xr:uid="{00000000-0002-0000-0000-000005000000}">
      <formula1>"个/S,个/min"</formula1>
    </dataValidation>
    <dataValidation type="list" allowBlank="1" showInputMessage="1" showErrorMessage="1" sqref="N11" xr:uid="{00000000-0002-0000-0000-000006000000}">
      <formula1>"石墨,金伯利矿石"</formula1>
    </dataValidation>
    <dataValidation type="list" allowBlank="1" showInputMessage="1" showErrorMessage="1" sqref="R11" xr:uid="{00000000-0002-0000-0000-000007000000}">
      <formula1>"化工设备,有机晶体矿"</formula1>
    </dataValidation>
    <dataValidation type="list" allowBlank="1" showInputMessage="1" showErrorMessage="1" sqref="T8" xr:uid="{00000000-0002-0000-0000-000008000000}">
      <formula1>"化工设备,可燃冰"</formula1>
    </dataValidation>
    <dataValidation type="list" allowBlank="1" showInputMessage="1" showErrorMessage="1" sqref="E5 F2:F3" xr:uid="{00000000-0002-0000-0000-000000000000}">
      <formula1>"0.75,1,1.5"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AE78-7C25-45F8-8F6E-43BEE0B788F7}">
  <dimension ref="B1:R54"/>
  <sheetViews>
    <sheetView workbookViewId="0">
      <selection activeCell="C26" sqref="C26"/>
    </sheetView>
  </sheetViews>
  <sheetFormatPr defaultRowHeight="13.8" x14ac:dyDescent="0.25"/>
  <cols>
    <col min="1" max="16384" width="8.88671875" style="56"/>
  </cols>
  <sheetData>
    <row r="1" spans="2:18" x14ac:dyDescent="0.25">
      <c r="B1" s="56" t="s">
        <v>115</v>
      </c>
      <c r="C1" s="56" t="s">
        <v>116</v>
      </c>
      <c r="D1" s="56" t="s">
        <v>117</v>
      </c>
      <c r="E1" s="56" t="s">
        <v>118</v>
      </c>
      <c r="G1" s="56" t="s">
        <v>119</v>
      </c>
    </row>
    <row r="2" spans="2:18" ht="15.6" x14ac:dyDescent="0.25">
      <c r="B2" s="57" t="s">
        <v>14</v>
      </c>
      <c r="C2" s="57">
        <v>8736</v>
      </c>
      <c r="D2" s="56">
        <f>O12</f>
        <v>225</v>
      </c>
      <c r="E2" s="56">
        <f>C2-D2</f>
        <v>8511</v>
      </c>
      <c r="G2" s="56" t="s">
        <v>120</v>
      </c>
      <c r="H2" s="56" t="s">
        <v>121</v>
      </c>
      <c r="I2" s="56" t="s">
        <v>122</v>
      </c>
      <c r="J2" s="56" t="s">
        <v>123</v>
      </c>
      <c r="K2" s="56" t="s">
        <v>124</v>
      </c>
      <c r="Q2" s="56">
        <v>1875</v>
      </c>
    </row>
    <row r="3" spans="2:18" ht="15.6" x14ac:dyDescent="0.25">
      <c r="B3" s="57" t="s">
        <v>15</v>
      </c>
      <c r="C3" s="57">
        <v>11184</v>
      </c>
      <c r="D3" s="56">
        <f>N12</f>
        <v>270</v>
      </c>
      <c r="E3" s="56">
        <f>C3-D3</f>
        <v>10914</v>
      </c>
      <c r="G3" s="56">
        <f>E2+E6+E8+E11+E18</f>
        <v>24276</v>
      </c>
      <c r="H3" s="56">
        <f>E3+E5+E10+E15+E21</f>
        <v>38891.603386563336</v>
      </c>
      <c r="I3" s="56">
        <f>+E4+E13+E14+E16+E19</f>
        <v>23885.25</v>
      </c>
      <c r="J3" s="56">
        <f>E7+E9+E12+E17+E20</f>
        <v>26550.646666666667</v>
      </c>
      <c r="K3" s="56">
        <f>E5</f>
        <v>21504</v>
      </c>
      <c r="Q3" s="58">
        <v>1500</v>
      </c>
    </row>
    <row r="4" spans="2:18" ht="15.6" x14ac:dyDescent="0.25">
      <c r="B4" s="57" t="s">
        <v>17</v>
      </c>
      <c r="C4" s="57">
        <v>11040</v>
      </c>
      <c r="D4" s="56">
        <f>J12*2</f>
        <v>148.5</v>
      </c>
      <c r="E4" s="56">
        <f>C4-D4</f>
        <v>10891.5</v>
      </c>
      <c r="H4" s="56" t="s">
        <v>125</v>
      </c>
      <c r="Q4" s="56">
        <v>1200</v>
      </c>
    </row>
    <row r="5" spans="2:18" ht="15.6" x14ac:dyDescent="0.25">
      <c r="B5" s="57" t="s">
        <v>16</v>
      </c>
      <c r="C5" s="57">
        <v>21504</v>
      </c>
      <c r="E5" s="56">
        <f t="shared" ref="E5:E19" si="0">C5-D5</f>
        <v>21504</v>
      </c>
      <c r="H5" s="56">
        <f>E3+E10+E15+E21</f>
        <v>17387.603386563333</v>
      </c>
      <c r="Q5" s="56">
        <v>1200</v>
      </c>
    </row>
    <row r="6" spans="2:18" ht="15.6" x14ac:dyDescent="0.25">
      <c r="B6" s="57" t="s">
        <v>19</v>
      </c>
      <c r="C6" s="57">
        <v>6720</v>
      </c>
      <c r="D6" s="56">
        <f>M12*2</f>
        <v>135</v>
      </c>
      <c r="E6" s="56">
        <f t="shared" si="0"/>
        <v>6585</v>
      </c>
      <c r="P6" s="85" t="s">
        <v>170</v>
      </c>
      <c r="Q6" s="56">
        <f>E2</f>
        <v>8511</v>
      </c>
      <c r="R6" s="56" t="s">
        <v>126</v>
      </c>
    </row>
    <row r="7" spans="2:18" ht="15.6" x14ac:dyDescent="0.25">
      <c r="B7" s="57" t="s">
        <v>18</v>
      </c>
      <c r="C7" s="57">
        <v>3840</v>
      </c>
      <c r="D7" s="56">
        <f>I12*2</f>
        <v>81</v>
      </c>
      <c r="E7" s="56">
        <f t="shared" si="0"/>
        <v>3759</v>
      </c>
      <c r="P7" s="56">
        <f>11184-(L12/2+G12*2)</f>
        <v>10959</v>
      </c>
      <c r="Q7" s="56">
        <f>E3</f>
        <v>10914</v>
      </c>
      <c r="R7" s="56" t="s">
        <v>127</v>
      </c>
    </row>
    <row r="8" spans="2:18" ht="15.6" x14ac:dyDescent="0.25">
      <c r="B8" s="57" t="s">
        <v>128</v>
      </c>
      <c r="C8" s="57">
        <v>1500</v>
      </c>
      <c r="E8" s="56">
        <f t="shared" si="0"/>
        <v>1500</v>
      </c>
      <c r="Q8" s="56">
        <v>6576</v>
      </c>
    </row>
    <row r="9" spans="2:18" ht="15.6" x14ac:dyDescent="0.25">
      <c r="B9" s="57" t="s">
        <v>7</v>
      </c>
      <c r="C9" s="57">
        <v>10500</v>
      </c>
      <c r="E9" s="56">
        <f t="shared" si="0"/>
        <v>10500</v>
      </c>
      <c r="Q9" s="56">
        <f>7536-L12</f>
        <v>7356</v>
      </c>
      <c r="R9" s="56" t="s">
        <v>129</v>
      </c>
    </row>
    <row r="10" spans="2:18" ht="15.6" x14ac:dyDescent="0.25">
      <c r="B10" s="57" t="s">
        <v>130</v>
      </c>
      <c r="C10" s="57">
        <v>4800</v>
      </c>
      <c r="E10" s="56">
        <f t="shared" si="0"/>
        <v>4800</v>
      </c>
      <c r="G10" s="82" t="s">
        <v>263</v>
      </c>
      <c r="Q10" s="59">
        <v>1500</v>
      </c>
    </row>
    <row r="11" spans="2:18" ht="15.6" x14ac:dyDescent="0.25">
      <c r="B11" s="57" t="s">
        <v>131</v>
      </c>
      <c r="C11" s="57">
        <v>1920</v>
      </c>
      <c r="E11" s="56">
        <f t="shared" si="0"/>
        <v>1920</v>
      </c>
      <c r="G11" s="81" t="s">
        <v>184</v>
      </c>
      <c r="H11" s="56" t="s">
        <v>132</v>
      </c>
      <c r="I11" s="56" t="s">
        <v>133</v>
      </c>
      <c r="J11" s="56" t="s">
        <v>134</v>
      </c>
      <c r="K11" s="56" t="s">
        <v>135</v>
      </c>
      <c r="L11" s="56" t="s">
        <v>136</v>
      </c>
      <c r="M11" s="56" t="s">
        <v>137</v>
      </c>
      <c r="N11" s="82" t="s">
        <v>170</v>
      </c>
      <c r="O11" s="82" t="s">
        <v>129</v>
      </c>
      <c r="Q11" s="56">
        <v>3360</v>
      </c>
    </row>
    <row r="12" spans="2:18" ht="15.6" x14ac:dyDescent="0.25">
      <c r="B12" s="57" t="s">
        <v>21</v>
      </c>
      <c r="C12" s="57">
        <v>1920</v>
      </c>
      <c r="D12" s="56">
        <f>H12</f>
        <v>18</v>
      </c>
      <c r="E12" s="56">
        <f t="shared" si="0"/>
        <v>1902</v>
      </c>
      <c r="G12" s="81">
        <f>11.25*6</f>
        <v>67.5</v>
      </c>
      <c r="H12" s="56">
        <f>18</f>
        <v>18</v>
      </c>
      <c r="I12" s="56">
        <f>22.5+H12</f>
        <v>40.5</v>
      </c>
      <c r="J12" s="56">
        <f>22.5+H12+K12*3</f>
        <v>74.25</v>
      </c>
      <c r="K12" s="56">
        <f>11.25</f>
        <v>11.25</v>
      </c>
      <c r="L12" s="56">
        <f>90*2</f>
        <v>180</v>
      </c>
      <c r="M12" s="56">
        <f>22.5*3</f>
        <v>67.5</v>
      </c>
      <c r="N12" s="56">
        <f>45+L12/2+G12*2</f>
        <v>270</v>
      </c>
      <c r="O12" s="56">
        <f>45+L12</f>
        <v>225</v>
      </c>
      <c r="Q12" s="56">
        <f>E6</f>
        <v>6585</v>
      </c>
      <c r="R12" s="56" t="s">
        <v>138</v>
      </c>
    </row>
    <row r="13" spans="2:18" ht="15.6" x14ac:dyDescent="0.25">
      <c r="B13" s="57" t="s">
        <v>29</v>
      </c>
      <c r="C13" s="57">
        <v>1920</v>
      </c>
      <c r="E13" s="56">
        <f t="shared" si="0"/>
        <v>1920</v>
      </c>
      <c r="Q13" s="56">
        <f>10500+960*2+1500</f>
        <v>13920</v>
      </c>
    </row>
    <row r="14" spans="2:18" ht="15.6" x14ac:dyDescent="0.25">
      <c r="B14" s="57" t="s">
        <v>139</v>
      </c>
      <c r="C14" s="57">
        <v>1200</v>
      </c>
      <c r="D14" s="56">
        <f>K12</f>
        <v>11.25</v>
      </c>
      <c r="E14" s="56">
        <f t="shared" si="0"/>
        <v>1188.75</v>
      </c>
      <c r="Q14" s="60">
        <v>1500</v>
      </c>
    </row>
    <row r="15" spans="2:18" ht="15.6" x14ac:dyDescent="0.25">
      <c r="B15" s="57" t="s">
        <v>140</v>
      </c>
      <c r="C15" s="57">
        <v>1560</v>
      </c>
      <c r="E15" s="56">
        <f t="shared" si="0"/>
        <v>1560</v>
      </c>
      <c r="Q15" s="56">
        <v>3120</v>
      </c>
    </row>
    <row r="16" spans="2:18" ht="15.6" x14ac:dyDescent="0.25">
      <c r="B16" s="57" t="s">
        <v>141</v>
      </c>
      <c r="C16" s="57">
        <v>960</v>
      </c>
      <c r="E16" s="56">
        <f t="shared" si="0"/>
        <v>960</v>
      </c>
      <c r="P16" s="56">
        <v>1200</v>
      </c>
      <c r="Q16" s="56">
        <v>1560</v>
      </c>
    </row>
    <row r="17" spans="2:18" ht="15.6" x14ac:dyDescent="0.25">
      <c r="B17" s="57" t="s">
        <v>142</v>
      </c>
      <c r="C17" s="57">
        <v>7680</v>
      </c>
      <c r="E17" s="56">
        <f t="shared" si="0"/>
        <v>7680</v>
      </c>
      <c r="Q17" s="56">
        <f>E14</f>
        <v>1188.75</v>
      </c>
      <c r="R17" s="56" t="s">
        <v>143</v>
      </c>
    </row>
    <row r="18" spans="2:18" ht="15.6" x14ac:dyDescent="0.25">
      <c r="B18" s="57" t="s">
        <v>144</v>
      </c>
      <c r="C18" s="57">
        <v>5760</v>
      </c>
      <c r="E18" s="56">
        <f t="shared" si="0"/>
        <v>5760</v>
      </c>
      <c r="Q18" s="56">
        <f>5520-H12-K12*3</f>
        <v>5468.25</v>
      </c>
      <c r="R18" s="56" t="s">
        <v>145</v>
      </c>
    </row>
    <row r="19" spans="2:18" ht="15.6" x14ac:dyDescent="0.25">
      <c r="B19" s="57" t="s">
        <v>146</v>
      </c>
      <c r="C19" s="57">
        <v>9600</v>
      </c>
      <c r="D19" s="56">
        <f>G12*10</f>
        <v>675</v>
      </c>
      <c r="E19" s="56">
        <f t="shared" si="0"/>
        <v>8925</v>
      </c>
      <c r="Q19" s="56">
        <f>E4</f>
        <v>10891.5</v>
      </c>
      <c r="R19" s="56" t="s">
        <v>147</v>
      </c>
    </row>
    <row r="20" spans="2:18" ht="15.6" x14ac:dyDescent="0.25">
      <c r="B20" s="57" t="s">
        <v>148</v>
      </c>
      <c r="C20" s="63" t="s">
        <v>157</v>
      </c>
      <c r="E20" s="56">
        <f>P54</f>
        <v>2709.6466666666665</v>
      </c>
      <c r="Q20" s="61">
        <v>1500</v>
      </c>
    </row>
    <row r="21" spans="2:18" ht="15.6" x14ac:dyDescent="0.25">
      <c r="B21" s="57" t="s">
        <v>149</v>
      </c>
      <c r="C21" s="64" t="s">
        <v>157</v>
      </c>
      <c r="E21" s="56">
        <f>SUM(E2:E20)/1000*1.001</f>
        <v>113.60338656333332</v>
      </c>
      <c r="Q21" s="56">
        <v>3360</v>
      </c>
    </row>
    <row r="22" spans="2:18" x14ac:dyDescent="0.25">
      <c r="Q22" s="56">
        <v>5375</v>
      </c>
    </row>
    <row r="23" spans="2:18" x14ac:dyDescent="0.25">
      <c r="D23" s="56" t="s">
        <v>150</v>
      </c>
      <c r="E23" s="56">
        <f>SUM(E2:E22)</f>
        <v>113603.50005323</v>
      </c>
      <c r="Q23" s="56">
        <v>10752</v>
      </c>
    </row>
    <row r="24" spans="2:18" x14ac:dyDescent="0.25">
      <c r="Q24" s="56">
        <v>21504</v>
      </c>
    </row>
    <row r="25" spans="2:18" x14ac:dyDescent="0.25">
      <c r="Q25" s="56">
        <v>1200</v>
      </c>
    </row>
    <row r="26" spans="2:18" x14ac:dyDescent="0.25">
      <c r="Q26" s="56">
        <v>1920</v>
      </c>
    </row>
    <row r="27" spans="2:18" x14ac:dyDescent="0.25">
      <c r="Q27" s="56">
        <v>5760</v>
      </c>
    </row>
    <row r="28" spans="2:18" x14ac:dyDescent="0.25">
      <c r="Q28" s="56">
        <v>1920</v>
      </c>
    </row>
    <row r="29" spans="2:18" x14ac:dyDescent="0.25">
      <c r="Q29" s="56">
        <v>960</v>
      </c>
    </row>
    <row r="30" spans="2:18" x14ac:dyDescent="0.25">
      <c r="Q30" s="56">
        <v>960</v>
      </c>
    </row>
    <row r="31" spans="2:18" x14ac:dyDescent="0.25">
      <c r="Q31" s="56">
        <v>1920</v>
      </c>
    </row>
    <row r="32" spans="2:18" x14ac:dyDescent="0.25">
      <c r="Q32" s="56">
        <v>1920</v>
      </c>
    </row>
    <row r="33" spans="17:18" x14ac:dyDescent="0.25">
      <c r="Q33" s="62">
        <v>1500</v>
      </c>
    </row>
    <row r="34" spans="17:18" x14ac:dyDescent="0.25">
      <c r="Q34" s="56">
        <v>600</v>
      </c>
    </row>
    <row r="35" spans="17:18" x14ac:dyDescent="0.25">
      <c r="Q35" s="56">
        <v>480</v>
      </c>
    </row>
    <row r="36" spans="17:18" x14ac:dyDescent="0.25">
      <c r="Q36" s="56">
        <v>960</v>
      </c>
      <c r="R36" s="85" t="s">
        <v>184</v>
      </c>
    </row>
    <row r="37" spans="17:18" x14ac:dyDescent="0.25">
      <c r="Q37" s="56">
        <f>E19</f>
        <v>8925</v>
      </c>
      <c r="R37" s="85" t="s">
        <v>215</v>
      </c>
    </row>
    <row r="38" spans="17:18" x14ac:dyDescent="0.25">
      <c r="Q38" s="56">
        <v>4800</v>
      </c>
    </row>
    <row r="39" spans="17:18" x14ac:dyDescent="0.25">
      <c r="Q39" s="56">
        <v>600</v>
      </c>
    </row>
    <row r="40" spans="17:18" x14ac:dyDescent="0.25">
      <c r="Q40" s="56">
        <v>960</v>
      </c>
    </row>
    <row r="41" spans="17:18" x14ac:dyDescent="0.25">
      <c r="Q41" s="56">
        <v>960</v>
      </c>
    </row>
    <row r="42" spans="17:18" x14ac:dyDescent="0.25">
      <c r="Q42" s="56">
        <v>7680</v>
      </c>
    </row>
    <row r="43" spans="17:18" x14ac:dyDescent="0.25">
      <c r="Q43" s="56">
        <v>1920</v>
      </c>
    </row>
    <row r="44" spans="17:18" x14ac:dyDescent="0.25">
      <c r="Q44" s="56">
        <v>1920</v>
      </c>
    </row>
    <row r="45" spans="17:18" x14ac:dyDescent="0.25">
      <c r="Q45" s="56">
        <v>1920</v>
      </c>
    </row>
    <row r="46" spans="17:18" x14ac:dyDescent="0.25">
      <c r="Q46" s="56">
        <f>1920-H12</f>
        <v>1902</v>
      </c>
      <c r="R46" s="56" t="s">
        <v>133</v>
      </c>
    </row>
    <row r="47" spans="17:18" x14ac:dyDescent="0.25">
      <c r="Q47" s="56">
        <f>E7</f>
        <v>3759</v>
      </c>
      <c r="R47" s="56" t="s">
        <v>151</v>
      </c>
    </row>
    <row r="48" spans="17:18" x14ac:dyDescent="0.25">
      <c r="Q48" s="56">
        <f>E12</f>
        <v>1902</v>
      </c>
      <c r="R48" s="56" t="s">
        <v>152</v>
      </c>
    </row>
    <row r="49" spans="14:18" x14ac:dyDescent="0.25">
      <c r="Q49" s="56">
        <v>1500</v>
      </c>
    </row>
    <row r="50" spans="14:18" x14ac:dyDescent="0.25">
      <c r="Q50" s="56">
        <v>1500</v>
      </c>
    </row>
    <row r="51" spans="14:18" x14ac:dyDescent="0.25">
      <c r="Q51" s="56">
        <f>SUM(Q2:Q50)+P7+P16</f>
        <v>203223.5</v>
      </c>
      <c r="R51" s="56" t="s">
        <v>153</v>
      </c>
    </row>
    <row r="53" spans="14:18" x14ac:dyDescent="0.25">
      <c r="N53" s="56" t="s">
        <v>148</v>
      </c>
      <c r="O53" s="56" t="s">
        <v>154</v>
      </c>
      <c r="P53" s="56" t="s">
        <v>155</v>
      </c>
      <c r="Q53" s="56" t="s">
        <v>156</v>
      </c>
    </row>
    <row r="54" spans="14:18" x14ac:dyDescent="0.25">
      <c r="O54" s="56">
        <f>Q51/60</f>
        <v>3387.0583333333334</v>
      </c>
      <c r="P54" s="56">
        <f>Q51/75</f>
        <v>2709.6466666666665</v>
      </c>
      <c r="Q54" s="56">
        <f>P54+P54/75</f>
        <v>2745.7752888888886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68BF-1FA3-4EBA-8691-565B74140D3E}">
  <dimension ref="B2:U18"/>
  <sheetViews>
    <sheetView workbookViewId="0">
      <selection activeCell="K4" sqref="K4"/>
    </sheetView>
  </sheetViews>
  <sheetFormatPr defaultRowHeight="13.8" x14ac:dyDescent="0.25"/>
  <sheetData>
    <row r="2" spans="2:21" x14ac:dyDescent="0.25">
      <c r="C2" s="54" t="s">
        <v>298</v>
      </c>
      <c r="D2" s="54" t="s">
        <v>299</v>
      </c>
      <c r="E2" s="54" t="s">
        <v>300</v>
      </c>
      <c r="K2">
        <f>(H4+I4+K4)/3</f>
        <v>30329.633333333331</v>
      </c>
      <c r="L2">
        <f>(J4+L4+562.5)/2</f>
        <v>29233.45</v>
      </c>
    </row>
    <row r="3" spans="2:21" ht="15.6" x14ac:dyDescent="0.25">
      <c r="B3" s="57" t="s">
        <v>14</v>
      </c>
      <c r="C3">
        <v>23659.200000000001</v>
      </c>
      <c r="D3">
        <f>O10+P10</f>
        <v>960</v>
      </c>
      <c r="E3">
        <f>C3-D3</f>
        <v>22699.200000000001</v>
      </c>
      <c r="H3">
        <v>1</v>
      </c>
      <c r="I3">
        <v>2</v>
      </c>
      <c r="J3">
        <v>3</v>
      </c>
      <c r="K3">
        <v>4</v>
      </c>
      <c r="L3">
        <v>5</v>
      </c>
    </row>
    <row r="4" spans="2:21" ht="15.6" x14ac:dyDescent="0.25">
      <c r="B4" s="57" t="s">
        <v>15</v>
      </c>
      <c r="C4">
        <v>11023.2</v>
      </c>
      <c r="D4">
        <f>Q10</f>
        <v>202.5</v>
      </c>
      <c r="E4">
        <f t="shared" ref="E4:E15" si="0">C4-D4</f>
        <v>10820.7</v>
      </c>
      <c r="G4">
        <f>C18/5</f>
        <v>29344.159999999996</v>
      </c>
      <c r="H4">
        <f>E15+E13</f>
        <v>24576</v>
      </c>
      <c r="I4">
        <f>E3+E7+E12+E4</f>
        <v>38497.9</v>
      </c>
      <c r="J4">
        <f>E6+E5+E10</f>
        <v>45689.4</v>
      </c>
      <c r="K4">
        <f>E14+E9</f>
        <v>27915</v>
      </c>
      <c r="L4">
        <f>E11+E16+E8</f>
        <v>12215</v>
      </c>
      <c r="M4" s="54">
        <f>SUM(H4:L4)</f>
        <v>148893.29999999999</v>
      </c>
    </row>
    <row r="5" spans="2:21" ht="15.6" x14ac:dyDescent="0.25">
      <c r="B5" s="57" t="s">
        <v>17</v>
      </c>
      <c r="C5">
        <v>4838.3999999999996</v>
      </c>
      <c r="E5">
        <f t="shared" si="0"/>
        <v>4838.3999999999996</v>
      </c>
    </row>
    <row r="6" spans="2:21" ht="15.6" x14ac:dyDescent="0.25">
      <c r="B6" s="57" t="s">
        <v>16</v>
      </c>
      <c r="C6">
        <v>26496</v>
      </c>
      <c r="D6">
        <f>T10*2</f>
        <v>45</v>
      </c>
      <c r="E6">
        <f t="shared" si="0"/>
        <v>26451</v>
      </c>
    </row>
    <row r="7" spans="2:21" ht="15.6" x14ac:dyDescent="0.25">
      <c r="B7" s="57" t="s">
        <v>19</v>
      </c>
      <c r="C7">
        <v>1152</v>
      </c>
      <c r="D7">
        <f>R10*2</f>
        <v>90</v>
      </c>
      <c r="E7">
        <f t="shared" si="0"/>
        <v>1062</v>
      </c>
    </row>
    <row r="8" spans="2:21" ht="15.6" x14ac:dyDescent="0.25">
      <c r="B8" s="57" t="s">
        <v>18</v>
      </c>
      <c r="C8">
        <v>5760</v>
      </c>
      <c r="E8">
        <f t="shared" si="0"/>
        <v>5760</v>
      </c>
    </row>
    <row r="9" spans="2:21" ht="15.6" x14ac:dyDescent="0.25">
      <c r="B9" s="57" t="s">
        <v>7</v>
      </c>
      <c r="C9">
        <v>15300</v>
      </c>
      <c r="D9">
        <f>-S10/2</f>
        <v>-15</v>
      </c>
      <c r="E9">
        <f t="shared" si="0"/>
        <v>15315</v>
      </c>
      <c r="J9" s="54" t="s">
        <v>285</v>
      </c>
      <c r="K9" s="54" t="s">
        <v>286</v>
      </c>
      <c r="L9" s="54" t="s">
        <v>287</v>
      </c>
      <c r="M9" s="54" t="s">
        <v>288</v>
      </c>
      <c r="N9" s="54" t="s">
        <v>289</v>
      </c>
      <c r="O9" s="54" t="s">
        <v>290</v>
      </c>
      <c r="P9" s="54" t="s">
        <v>291</v>
      </c>
      <c r="Q9" s="54" t="s">
        <v>292</v>
      </c>
      <c r="R9" s="54" t="s">
        <v>293</v>
      </c>
      <c r="S9" s="54" t="s">
        <v>294</v>
      </c>
      <c r="T9" s="54" t="s">
        <v>295</v>
      </c>
      <c r="U9" s="54" t="s">
        <v>296</v>
      </c>
    </row>
    <row r="10" spans="2:21" ht="15.6" x14ac:dyDescent="0.25">
      <c r="B10" s="57" t="s">
        <v>130</v>
      </c>
      <c r="C10">
        <v>14400</v>
      </c>
      <c r="E10">
        <f t="shared" si="0"/>
        <v>14400</v>
      </c>
      <c r="J10" s="54">
        <f>22.5*2</f>
        <v>45</v>
      </c>
      <c r="K10">
        <f>90*2+J10</f>
        <v>225</v>
      </c>
      <c r="L10">
        <f>45*2+J10</f>
        <v>135</v>
      </c>
      <c r="M10">
        <v>90</v>
      </c>
      <c r="N10" s="54">
        <f>15*4</f>
        <v>60</v>
      </c>
      <c r="O10">
        <f>J10*2+L10+M10+N10*3+45*5</f>
        <v>720</v>
      </c>
      <c r="P10">
        <f>15+K10</f>
        <v>240</v>
      </c>
      <c r="Q10">
        <f>45+M10/2+K10/2</f>
        <v>202.5</v>
      </c>
      <c r="R10" s="54">
        <f>22.5*2</f>
        <v>45</v>
      </c>
      <c r="S10">
        <v>30</v>
      </c>
      <c r="T10">
        <v>22.5</v>
      </c>
      <c r="U10">
        <v>15</v>
      </c>
    </row>
    <row r="11" spans="2:21" ht="15.6" x14ac:dyDescent="0.25">
      <c r="B11" s="57" t="s">
        <v>21</v>
      </c>
      <c r="C11">
        <v>2880</v>
      </c>
      <c r="E11">
        <f t="shared" si="0"/>
        <v>2880</v>
      </c>
    </row>
    <row r="12" spans="2:21" ht="15.6" x14ac:dyDescent="0.25">
      <c r="B12" s="57" t="s">
        <v>284</v>
      </c>
      <c r="C12">
        <v>3916</v>
      </c>
      <c r="E12">
        <f t="shared" si="0"/>
        <v>3916</v>
      </c>
      <c r="O12" s="54" t="s">
        <v>297</v>
      </c>
    </row>
    <row r="13" spans="2:21" ht="15.6" x14ac:dyDescent="0.25">
      <c r="B13" s="57" t="s">
        <v>29</v>
      </c>
      <c r="C13">
        <v>3960</v>
      </c>
      <c r="D13">
        <f>S10</f>
        <v>30</v>
      </c>
      <c r="E13">
        <f t="shared" si="0"/>
        <v>3930</v>
      </c>
      <c r="O13">
        <f>J10*2+L10</f>
        <v>225</v>
      </c>
      <c r="Q13">
        <f>M10/2+K10/2</f>
        <v>157.5</v>
      </c>
    </row>
    <row r="14" spans="2:21" ht="15.6" x14ac:dyDescent="0.25">
      <c r="B14" s="57" t="s">
        <v>142</v>
      </c>
      <c r="C14">
        <v>12600</v>
      </c>
      <c r="E14">
        <f t="shared" si="0"/>
        <v>12600</v>
      </c>
    </row>
    <row r="15" spans="2:21" ht="15.6" x14ac:dyDescent="0.25">
      <c r="B15" s="57" t="s">
        <v>144</v>
      </c>
      <c r="C15">
        <v>20736</v>
      </c>
      <c r="D15">
        <f>U10*6</f>
        <v>90</v>
      </c>
      <c r="E15">
        <f t="shared" si="0"/>
        <v>20646</v>
      </c>
    </row>
    <row r="16" spans="2:21" ht="15.6" x14ac:dyDescent="0.25">
      <c r="B16" s="57" t="s">
        <v>148</v>
      </c>
      <c r="C16" s="104"/>
      <c r="E16">
        <v>3575</v>
      </c>
    </row>
    <row r="17" spans="2:3" ht="15.6" x14ac:dyDescent="0.25">
      <c r="B17" s="57" t="s">
        <v>149</v>
      </c>
    </row>
    <row r="18" spans="2:3" x14ac:dyDescent="0.25">
      <c r="C18" s="54">
        <f>SUM(C3:C17)</f>
        <v>146720.79999999999</v>
      </c>
    </row>
  </sheetData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T64"/>
  <sheetViews>
    <sheetView workbookViewId="0">
      <selection activeCell="T17" sqref="T17"/>
    </sheetView>
  </sheetViews>
  <sheetFormatPr defaultColWidth="9" defaultRowHeight="13.8" x14ac:dyDescent="0.25"/>
  <cols>
    <col min="1" max="1" width="13.88671875" bestFit="1" customWidth="1"/>
    <col min="2" max="2" width="11.6640625" bestFit="1" customWidth="1"/>
  </cols>
  <sheetData>
    <row r="1" spans="1:46" x14ac:dyDescent="0.25">
      <c r="A1" s="54" t="s">
        <v>268</v>
      </c>
      <c r="C1" s="54" t="s">
        <v>272</v>
      </c>
      <c r="D1" s="54" t="s">
        <v>273</v>
      </c>
      <c r="I1" s="65"/>
      <c r="J1" s="65" t="s">
        <v>170</v>
      </c>
      <c r="K1" s="65" t="s">
        <v>133</v>
      </c>
      <c r="L1" s="65" t="s">
        <v>168</v>
      </c>
      <c r="M1" s="65" t="s">
        <v>177</v>
      </c>
      <c r="N1" s="65" t="s">
        <v>129</v>
      </c>
      <c r="O1" s="65" t="s">
        <v>165</v>
      </c>
      <c r="P1" s="65" t="s">
        <v>160</v>
      </c>
      <c r="Q1" s="65" t="s">
        <v>195</v>
      </c>
      <c r="R1" s="65" t="s">
        <v>190</v>
      </c>
      <c r="S1" s="65" t="s">
        <v>162</v>
      </c>
      <c r="T1" s="65" t="s">
        <v>184</v>
      </c>
      <c r="U1" s="65" t="s">
        <v>172</v>
      </c>
      <c r="V1" s="65" t="s">
        <v>180</v>
      </c>
      <c r="W1" s="65" t="s">
        <v>188</v>
      </c>
      <c r="X1" s="65" t="s">
        <v>161</v>
      </c>
      <c r="Y1" s="65" t="s">
        <v>178</v>
      </c>
      <c r="Z1" s="65" t="s">
        <v>145</v>
      </c>
      <c r="AA1" s="65" t="s">
        <v>179</v>
      </c>
      <c r="AB1" s="65" t="s">
        <v>163</v>
      </c>
      <c r="AC1" s="65" t="s">
        <v>222</v>
      </c>
      <c r="AD1" s="65" t="s">
        <v>171</v>
      </c>
      <c r="AE1" s="65" t="s">
        <v>175</v>
      </c>
      <c r="AF1" s="65" t="s">
        <v>204</v>
      </c>
      <c r="AG1" s="65" t="s">
        <v>242</v>
      </c>
      <c r="AH1" s="65" t="s">
        <v>48</v>
      </c>
      <c r="AI1" s="65" t="s">
        <v>49</v>
      </c>
      <c r="AJ1" s="65" t="s">
        <v>194</v>
      </c>
      <c r="AK1" s="65" t="s">
        <v>181</v>
      </c>
      <c r="AL1" s="65" t="s">
        <v>233</v>
      </c>
      <c r="AM1" s="65" t="s">
        <v>227</v>
      </c>
      <c r="AN1" s="65" t="s">
        <v>239</v>
      </c>
      <c r="AO1" s="65" t="s">
        <v>223</v>
      </c>
      <c r="AP1" s="65" t="s">
        <v>249</v>
      </c>
      <c r="AQ1" s="80" t="s">
        <v>187</v>
      </c>
      <c r="AR1" s="65" t="s">
        <v>214</v>
      </c>
      <c r="AS1" s="65" t="s">
        <v>215</v>
      </c>
      <c r="AT1" s="65" t="s">
        <v>228</v>
      </c>
    </row>
    <row r="2" spans="1:46" x14ac:dyDescent="0.25">
      <c r="A2">
        <f>IF(量化计算器!D2="个/S",1,60)</f>
        <v>60</v>
      </c>
      <c r="B2" s="54" t="s">
        <v>271</v>
      </c>
      <c r="C2" s="54">
        <f>IF(一些计算!E2="MW",1,IF(一些计算!E2="GW",1000,1000000))</f>
        <v>1000</v>
      </c>
      <c r="D2" s="54">
        <f>IF(一些计算!G4="发电量（光子）",80,10)</f>
        <v>80</v>
      </c>
      <c r="I2" s="74" t="s">
        <v>189</v>
      </c>
      <c r="J2" s="66"/>
      <c r="K2" s="66"/>
      <c r="L2" s="66"/>
      <c r="M2" s="66"/>
      <c r="N2" s="66">
        <f>2/3</f>
        <v>0.66666666666666663</v>
      </c>
      <c r="O2" s="66">
        <f>1/3</f>
        <v>0.33333333333333331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</row>
    <row r="3" spans="1:46" x14ac:dyDescent="0.25">
      <c r="A3">
        <f>IF(一些计算!D2="/S",1,60)</f>
        <v>60</v>
      </c>
      <c r="B3" s="54" t="s">
        <v>270</v>
      </c>
      <c r="I3" s="74" t="s">
        <v>191</v>
      </c>
      <c r="J3" s="66"/>
      <c r="K3" s="66"/>
      <c r="L3" s="66"/>
      <c r="M3" s="66"/>
      <c r="N3" s="66"/>
      <c r="O3" s="66"/>
      <c r="P3" s="66"/>
      <c r="Q3" s="66"/>
      <c r="R3" s="66">
        <f>1/3</f>
        <v>0.33333333333333331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</row>
    <row r="4" spans="1:46" x14ac:dyDescent="0.25">
      <c r="I4" s="74" t="s">
        <v>193</v>
      </c>
      <c r="J4" s="66"/>
      <c r="K4" s="66"/>
      <c r="L4" s="66"/>
      <c r="M4" s="66"/>
      <c r="N4" s="66"/>
      <c r="O4" s="66"/>
      <c r="P4" s="66"/>
      <c r="Q4" s="66"/>
      <c r="R4" s="66"/>
      <c r="S4" s="66">
        <f>1/3</f>
        <v>0.33333333333333331</v>
      </c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>
        <f>1/3</f>
        <v>0.33333333333333331</v>
      </c>
      <c r="AK4" s="66"/>
      <c r="AL4" s="66"/>
      <c r="AM4" s="66"/>
      <c r="AN4" s="66"/>
      <c r="AO4" s="66"/>
      <c r="AP4" s="66"/>
      <c r="AQ4" s="66"/>
      <c r="AR4" s="66"/>
      <c r="AS4" s="66"/>
      <c r="AT4" s="66"/>
    </row>
    <row r="5" spans="1:46" x14ac:dyDescent="0.25">
      <c r="I5" s="74" t="s">
        <v>196</v>
      </c>
      <c r="J5" s="66"/>
      <c r="K5" s="66"/>
      <c r="L5" s="66"/>
      <c r="M5" s="66"/>
      <c r="N5" s="66">
        <v>1</v>
      </c>
      <c r="O5" s="66"/>
      <c r="P5" s="66"/>
      <c r="Q5" s="66"/>
      <c r="R5" s="66"/>
      <c r="S5" s="66"/>
      <c r="T5" s="66"/>
      <c r="U5" s="66">
        <v>1</v>
      </c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</row>
    <row r="6" spans="1:46" x14ac:dyDescent="0.25">
      <c r="I6" s="74" t="s">
        <v>197</v>
      </c>
      <c r="J6" s="66"/>
      <c r="K6" s="66"/>
      <c r="L6" s="66"/>
      <c r="M6" s="66"/>
      <c r="N6" s="66"/>
      <c r="O6" s="66"/>
      <c r="P6" s="66"/>
      <c r="Q6" s="66">
        <f>1/2</f>
        <v>0.5</v>
      </c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</row>
    <row r="7" spans="1:46" x14ac:dyDescent="0.25">
      <c r="I7" s="74" t="s">
        <v>198</v>
      </c>
      <c r="J7" s="66"/>
      <c r="K7" s="66"/>
      <c r="L7" s="66"/>
      <c r="M7" s="66"/>
      <c r="N7" s="66"/>
      <c r="O7" s="66"/>
      <c r="P7" s="66"/>
      <c r="Q7" s="66"/>
      <c r="R7" s="66">
        <f>1/2</f>
        <v>0.5</v>
      </c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</row>
    <row r="8" spans="1:46" x14ac:dyDescent="0.25">
      <c r="I8" s="74" t="s">
        <v>199</v>
      </c>
      <c r="J8" s="66"/>
      <c r="K8" s="66"/>
      <c r="L8" s="66"/>
      <c r="M8" s="66"/>
      <c r="N8" s="66"/>
      <c r="O8" s="66"/>
      <c r="P8" s="66"/>
      <c r="Q8" s="66"/>
      <c r="R8" s="66"/>
      <c r="S8" s="66">
        <v>1</v>
      </c>
      <c r="T8" s="66"/>
      <c r="U8" s="66"/>
      <c r="V8" s="66">
        <v>1</v>
      </c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</row>
    <row r="9" spans="1:46" x14ac:dyDescent="0.25">
      <c r="I9" s="73" t="s">
        <v>225</v>
      </c>
      <c r="J9" s="66"/>
      <c r="K9" s="66"/>
      <c r="L9" s="66">
        <v>2</v>
      </c>
      <c r="M9" s="66"/>
      <c r="N9" s="66">
        <v>4</v>
      </c>
      <c r="O9" s="66"/>
      <c r="P9" s="66">
        <v>2</v>
      </c>
      <c r="Q9" s="66"/>
      <c r="R9" s="66"/>
      <c r="S9" s="66"/>
      <c r="T9" s="66"/>
      <c r="U9" s="66">
        <v>4</v>
      </c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</row>
    <row r="10" spans="1:46" x14ac:dyDescent="0.25">
      <c r="I10" s="73" t="s">
        <v>226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>
        <v>5</v>
      </c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>
        <v>4</v>
      </c>
      <c r="AN10" s="66"/>
      <c r="AO10" s="66"/>
      <c r="AP10" s="66"/>
      <c r="AQ10" s="66"/>
      <c r="AR10" s="66"/>
      <c r="AS10" s="66">
        <v>15</v>
      </c>
      <c r="AT10" s="66"/>
    </row>
    <row r="11" spans="1:46" x14ac:dyDescent="0.25">
      <c r="I11" s="73" t="s">
        <v>229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>
        <v>4</v>
      </c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>
        <v>40</v>
      </c>
    </row>
    <row r="12" spans="1:46" x14ac:dyDescent="0.25">
      <c r="I12" s="73" t="s">
        <v>230</v>
      </c>
      <c r="J12" s="66"/>
      <c r="K12" s="66"/>
      <c r="L12" s="66"/>
      <c r="M12" s="66"/>
      <c r="N12" s="66">
        <v>4</v>
      </c>
      <c r="O12" s="66">
        <v>8</v>
      </c>
      <c r="P12" s="66"/>
      <c r="Q12" s="66"/>
      <c r="R12" s="66"/>
      <c r="S12" s="66"/>
      <c r="T12" s="66"/>
      <c r="U12" s="66">
        <v>4</v>
      </c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</row>
    <row r="13" spans="1:46" x14ac:dyDescent="0.25">
      <c r="I13" s="73" t="s">
        <v>231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>
        <v>4</v>
      </c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>
        <v>8</v>
      </c>
      <c r="AK13" s="66"/>
      <c r="AL13" s="66"/>
      <c r="AM13" s="66"/>
      <c r="AN13" s="66"/>
      <c r="AO13" s="66"/>
      <c r="AP13" s="66"/>
      <c r="AQ13" s="66"/>
      <c r="AR13" s="66"/>
      <c r="AS13" s="66"/>
      <c r="AT13" s="66"/>
    </row>
    <row r="14" spans="1:46" x14ac:dyDescent="0.25">
      <c r="I14" s="73" t="s">
        <v>232</v>
      </c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>
        <v>2</v>
      </c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>
        <v>8</v>
      </c>
      <c r="AM14" s="66"/>
      <c r="AN14" s="66"/>
      <c r="AO14" s="66"/>
      <c r="AP14" s="66"/>
      <c r="AQ14" s="66"/>
      <c r="AR14" s="66"/>
      <c r="AS14" s="66"/>
      <c r="AT14" s="66"/>
    </row>
    <row r="15" spans="1:46" x14ac:dyDescent="0.25">
      <c r="I15" s="73" t="s">
        <v>234</v>
      </c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>
        <v>4</v>
      </c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>
        <v>40</v>
      </c>
    </row>
    <row r="16" spans="1:46" x14ac:dyDescent="0.25">
      <c r="I16" s="73" t="s">
        <v>235</v>
      </c>
      <c r="J16" s="66"/>
      <c r="K16" s="66">
        <v>4</v>
      </c>
      <c r="L16" s="66"/>
      <c r="M16" s="66"/>
      <c r="N16" s="66">
        <v>8</v>
      </c>
      <c r="O16" s="66"/>
      <c r="P16" s="66">
        <v>4</v>
      </c>
      <c r="Q16" s="66"/>
      <c r="R16" s="66"/>
      <c r="S16" s="66"/>
      <c r="T16" s="66"/>
      <c r="U16" s="66">
        <v>4</v>
      </c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</row>
    <row r="17" spans="9:46" x14ac:dyDescent="0.25">
      <c r="I17" s="73" t="s">
        <v>236</v>
      </c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>
        <v>4</v>
      </c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>
        <v>30</v>
      </c>
    </row>
    <row r="18" spans="9:46" x14ac:dyDescent="0.25">
      <c r="I18" s="73" t="s">
        <v>218</v>
      </c>
      <c r="J18" s="66"/>
      <c r="K18" s="66"/>
      <c r="L18" s="66">
        <v>10</v>
      </c>
      <c r="M18" s="66">
        <v>10</v>
      </c>
      <c r="N18" s="66"/>
      <c r="O18" s="66"/>
      <c r="P18" s="66"/>
      <c r="Q18" s="66"/>
      <c r="R18" s="66"/>
      <c r="S18" s="66"/>
      <c r="T18" s="66"/>
      <c r="U18" s="66">
        <v>6</v>
      </c>
      <c r="V18" s="66"/>
      <c r="W18" s="66"/>
      <c r="X18" s="66">
        <v>6</v>
      </c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</row>
    <row r="19" spans="9:46" x14ac:dyDescent="0.25">
      <c r="I19" s="73" t="s">
        <v>219</v>
      </c>
      <c r="J19" s="66"/>
      <c r="K19" s="66">
        <v>4</v>
      </c>
      <c r="L19" s="66">
        <v>4</v>
      </c>
      <c r="M19" s="66">
        <v>8</v>
      </c>
      <c r="N19" s="66"/>
      <c r="O19" s="66"/>
      <c r="P19" s="66"/>
      <c r="Q19" s="66"/>
      <c r="R19" s="66"/>
      <c r="S19" s="66"/>
      <c r="T19" s="66"/>
      <c r="U19" s="66"/>
      <c r="V19" s="66">
        <v>1</v>
      </c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</row>
    <row r="20" spans="9:46" x14ac:dyDescent="0.25">
      <c r="I20" s="73" t="s">
        <v>220</v>
      </c>
      <c r="J20" s="66"/>
      <c r="K20" s="66">
        <v>8</v>
      </c>
      <c r="L20" s="66">
        <v>8</v>
      </c>
      <c r="M20" s="66">
        <v>8</v>
      </c>
      <c r="N20" s="66"/>
      <c r="O20" s="66"/>
      <c r="P20" s="66"/>
      <c r="Q20" s="66"/>
      <c r="R20" s="66"/>
      <c r="S20" s="66"/>
      <c r="T20" s="66"/>
      <c r="U20" s="66">
        <v>2</v>
      </c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</row>
    <row r="21" spans="9:46" x14ac:dyDescent="0.25">
      <c r="I21" s="73" t="s">
        <v>221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>
        <v>3</v>
      </c>
      <c r="X21" s="66"/>
      <c r="Y21" s="66"/>
      <c r="Z21" s="66"/>
      <c r="AA21" s="66"/>
      <c r="AB21" s="66"/>
      <c r="AC21" s="66">
        <v>10</v>
      </c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>
        <v>3</v>
      </c>
      <c r="AP21" s="66"/>
      <c r="AQ21" s="66"/>
      <c r="AR21" s="66"/>
      <c r="AS21" s="66"/>
      <c r="AT21" s="66"/>
    </row>
    <row r="22" spans="9:46" x14ac:dyDescent="0.25">
      <c r="I22" s="73" t="s">
        <v>224</v>
      </c>
      <c r="J22" s="66"/>
      <c r="K22" s="66"/>
      <c r="L22" s="66"/>
      <c r="M22" s="66"/>
      <c r="N22" s="66"/>
      <c r="O22" s="66"/>
      <c r="P22" s="66"/>
      <c r="Q22" s="66"/>
      <c r="R22" s="66"/>
      <c r="S22" s="66">
        <v>25</v>
      </c>
      <c r="T22" s="66"/>
      <c r="U22" s="66"/>
      <c r="V22" s="66">
        <v>8</v>
      </c>
      <c r="W22" s="66"/>
      <c r="X22" s="66"/>
      <c r="Y22" s="66"/>
      <c r="Z22" s="66"/>
      <c r="AA22" s="66">
        <v>20</v>
      </c>
      <c r="AB22" s="66">
        <v>20</v>
      </c>
      <c r="AC22" s="66"/>
      <c r="AD22" s="66"/>
      <c r="AE22" s="66"/>
      <c r="AF22" s="66"/>
      <c r="AG22" s="66"/>
      <c r="AH22" s="66"/>
      <c r="AI22" s="66"/>
      <c r="AJ22" s="66">
        <v>10</v>
      </c>
      <c r="AK22" s="66"/>
      <c r="AL22" s="66"/>
      <c r="AM22" s="66"/>
      <c r="AN22" s="66"/>
      <c r="AO22" s="66"/>
      <c r="AP22" s="66"/>
      <c r="AQ22" s="66"/>
      <c r="AR22" s="66"/>
      <c r="AS22" s="66"/>
      <c r="AT22" s="66"/>
    </row>
    <row r="23" spans="9:46" x14ac:dyDescent="0.25">
      <c r="I23" s="73" t="s">
        <v>203</v>
      </c>
      <c r="J23" s="66"/>
      <c r="K23" s="66"/>
      <c r="L23" s="66"/>
      <c r="M23" s="66">
        <v>4</v>
      </c>
      <c r="N23" s="66"/>
      <c r="O23" s="66"/>
      <c r="P23" s="66"/>
      <c r="Q23" s="66"/>
      <c r="R23" s="66"/>
      <c r="S23" s="66"/>
      <c r="T23" s="66"/>
      <c r="U23" s="66">
        <v>2</v>
      </c>
      <c r="V23" s="66"/>
      <c r="W23" s="66"/>
      <c r="X23" s="66">
        <v>2</v>
      </c>
      <c r="Y23" s="66"/>
      <c r="Z23" s="66"/>
      <c r="AA23" s="66"/>
      <c r="AB23" s="66"/>
      <c r="AC23" s="66"/>
      <c r="AD23" s="66"/>
      <c r="AE23" s="66"/>
      <c r="AF23" s="66">
        <v>2</v>
      </c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</row>
    <row r="24" spans="9:46" x14ac:dyDescent="0.25">
      <c r="I24" s="71" t="s">
        <v>185</v>
      </c>
      <c r="J24" s="66"/>
      <c r="K24" s="66"/>
      <c r="L24" s="66"/>
      <c r="M24" s="66">
        <v>20</v>
      </c>
      <c r="N24" s="66"/>
      <c r="O24" s="66"/>
      <c r="P24" s="66"/>
      <c r="Q24" s="66"/>
      <c r="R24" s="66"/>
      <c r="S24" s="66">
        <v>20</v>
      </c>
      <c r="T24" s="66"/>
      <c r="U24" s="66"/>
      <c r="V24" s="66">
        <v>5</v>
      </c>
      <c r="W24" s="66"/>
      <c r="X24" s="66"/>
      <c r="Y24" s="66">
        <v>10</v>
      </c>
      <c r="Z24" s="66"/>
      <c r="AA24" s="66"/>
      <c r="AB24" s="66"/>
      <c r="AC24" s="66"/>
      <c r="AD24" s="66">
        <v>20</v>
      </c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</row>
    <row r="25" spans="9:46" x14ac:dyDescent="0.25">
      <c r="I25" s="71" t="s">
        <v>237</v>
      </c>
      <c r="J25" s="66"/>
      <c r="K25" s="66"/>
      <c r="L25" s="66"/>
      <c r="M25" s="66">
        <v>20</v>
      </c>
      <c r="N25" s="66"/>
      <c r="O25" s="66">
        <v>20</v>
      </c>
      <c r="P25" s="66"/>
      <c r="Q25" s="66"/>
      <c r="R25" s="66"/>
      <c r="S25" s="66">
        <v>10</v>
      </c>
      <c r="T25" s="66"/>
      <c r="U25" s="66"/>
      <c r="V25" s="66">
        <v>5</v>
      </c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</row>
    <row r="26" spans="9:46" x14ac:dyDescent="0.25">
      <c r="I26" s="71" t="s">
        <v>238</v>
      </c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>
        <v>10</v>
      </c>
      <c r="X26" s="66"/>
      <c r="Y26" s="66"/>
      <c r="Z26" s="66"/>
      <c r="AA26" s="66">
        <v>80</v>
      </c>
      <c r="AB26" s="66">
        <v>30</v>
      </c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>
        <v>20</v>
      </c>
      <c r="AO26" s="66"/>
      <c r="AP26" s="66"/>
      <c r="AQ26" s="66"/>
      <c r="AR26" s="66"/>
      <c r="AS26" s="66"/>
      <c r="AT26" s="66"/>
    </row>
    <row r="27" spans="9:46" x14ac:dyDescent="0.25">
      <c r="I27" s="72" t="s">
        <v>158</v>
      </c>
      <c r="J27" s="66"/>
      <c r="K27" s="66"/>
      <c r="L27" s="66"/>
      <c r="M27" s="66"/>
      <c r="N27" s="66">
        <v>2</v>
      </c>
      <c r="O27" s="66"/>
      <c r="P27" s="66">
        <v>1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</row>
    <row r="28" spans="9:46" x14ac:dyDescent="0.25">
      <c r="I28" s="72" t="s">
        <v>159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>
        <v>3</v>
      </c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</row>
    <row r="29" spans="9:46" x14ac:dyDescent="0.25">
      <c r="I29" s="72" t="s">
        <v>164</v>
      </c>
      <c r="J29" s="66"/>
      <c r="K29" s="66"/>
      <c r="L29" s="66"/>
      <c r="M29" s="66"/>
      <c r="N29" s="66"/>
      <c r="O29" s="66"/>
      <c r="P29" s="66"/>
      <c r="Q29" s="66"/>
      <c r="R29" s="66"/>
      <c r="S29" s="66">
        <v>10</v>
      </c>
      <c r="T29" s="66"/>
      <c r="U29" s="66"/>
      <c r="V29" s="66"/>
      <c r="W29" s="66"/>
      <c r="X29" s="66"/>
      <c r="Y29" s="66"/>
      <c r="Z29" s="66"/>
      <c r="AA29" s="66"/>
      <c r="AB29" s="66">
        <v>2</v>
      </c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</row>
    <row r="30" spans="9:46" x14ac:dyDescent="0.25">
      <c r="I30" s="72" t="s">
        <v>166</v>
      </c>
      <c r="J30" s="66"/>
      <c r="K30" s="66"/>
      <c r="L30" s="66"/>
      <c r="M30" s="66"/>
      <c r="N30" s="66">
        <v>6</v>
      </c>
      <c r="O30" s="66">
        <v>1</v>
      </c>
      <c r="P30" s="66">
        <v>3</v>
      </c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</row>
    <row r="31" spans="9:46" x14ac:dyDescent="0.25">
      <c r="I31" s="72" t="s">
        <v>167</v>
      </c>
      <c r="J31" s="66"/>
      <c r="K31" s="66"/>
      <c r="L31" s="66">
        <v>4</v>
      </c>
      <c r="M31" s="66"/>
      <c r="N31" s="66">
        <v>10</v>
      </c>
      <c r="O31" s="66">
        <v>4</v>
      </c>
      <c r="P31" s="66">
        <v>4</v>
      </c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spans="9:46" x14ac:dyDescent="0.25">
      <c r="I32" s="72" t="s">
        <v>169</v>
      </c>
      <c r="J32" s="66">
        <v>10</v>
      </c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>
        <v>5</v>
      </c>
      <c r="V32" s="66"/>
      <c r="W32" s="66"/>
      <c r="X32" s="66"/>
      <c r="Y32" s="66"/>
      <c r="Z32" s="66"/>
      <c r="AA32" s="66"/>
      <c r="AB32" s="66"/>
      <c r="AC32" s="66"/>
      <c r="AD32" s="66">
        <v>10</v>
      </c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</row>
    <row r="33" spans="9:46" x14ac:dyDescent="0.25">
      <c r="I33" s="72" t="s">
        <v>174</v>
      </c>
      <c r="J33" s="66"/>
      <c r="K33" s="66"/>
      <c r="L33" s="66"/>
      <c r="M33" s="66"/>
      <c r="N33" s="66">
        <v>6</v>
      </c>
      <c r="O33" s="66"/>
      <c r="P33" s="66"/>
      <c r="Q33" s="66"/>
      <c r="R33" s="66"/>
      <c r="S33" s="66">
        <v>1</v>
      </c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>
        <v>3</v>
      </c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</row>
    <row r="34" spans="9:46" x14ac:dyDescent="0.25">
      <c r="I34" s="72" t="s">
        <v>176</v>
      </c>
      <c r="J34" s="66">
        <v>20</v>
      </c>
      <c r="K34" s="66"/>
      <c r="L34" s="66"/>
      <c r="M34" s="66">
        <v>15</v>
      </c>
      <c r="N34" s="66"/>
      <c r="O34" s="66"/>
      <c r="P34" s="66"/>
      <c r="Q34" s="66"/>
      <c r="R34" s="66"/>
      <c r="S34" s="66">
        <v>1</v>
      </c>
      <c r="T34" s="66"/>
      <c r="U34" s="66"/>
      <c r="V34" s="66"/>
      <c r="W34" s="66"/>
      <c r="X34" s="66"/>
      <c r="Y34" s="66">
        <v>4</v>
      </c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</row>
    <row r="35" spans="9:46" x14ac:dyDescent="0.25">
      <c r="I35" s="72" t="s">
        <v>182</v>
      </c>
      <c r="J35" s="66"/>
      <c r="K35" s="66"/>
      <c r="L35" s="66"/>
      <c r="M35" s="66"/>
      <c r="N35" s="66"/>
      <c r="O35" s="66"/>
      <c r="P35" s="66"/>
      <c r="Q35" s="66"/>
      <c r="R35" s="66"/>
      <c r="S35" s="66">
        <v>10</v>
      </c>
      <c r="T35" s="66"/>
      <c r="U35" s="66"/>
      <c r="V35" s="66">
        <v>4</v>
      </c>
      <c r="W35" s="66"/>
      <c r="X35" s="66"/>
      <c r="Y35" s="66"/>
      <c r="Z35" s="66"/>
      <c r="AA35" s="66">
        <v>12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>
        <v>8</v>
      </c>
      <c r="AL35" s="66"/>
      <c r="AM35" s="66"/>
      <c r="AN35" s="66"/>
      <c r="AO35" s="66"/>
      <c r="AP35" s="66"/>
      <c r="AQ35" s="66"/>
      <c r="AR35" s="66"/>
      <c r="AS35" s="66"/>
      <c r="AT35" s="66"/>
    </row>
    <row r="36" spans="9:46" x14ac:dyDescent="0.25">
      <c r="I36" s="72" t="s">
        <v>183</v>
      </c>
      <c r="J36" s="66"/>
      <c r="K36" s="66"/>
      <c r="L36" s="66"/>
      <c r="M36" s="66">
        <v>40</v>
      </c>
      <c r="N36" s="66"/>
      <c r="O36" s="66"/>
      <c r="P36" s="66"/>
      <c r="Q36" s="66"/>
      <c r="R36" s="66"/>
      <c r="S36" s="66"/>
      <c r="T36" s="66">
        <v>8</v>
      </c>
      <c r="U36" s="66"/>
      <c r="V36" s="66">
        <v>40</v>
      </c>
      <c r="W36" s="66"/>
      <c r="X36" s="66"/>
      <c r="Y36" s="66"/>
      <c r="Z36" s="66"/>
      <c r="AA36" s="66">
        <v>40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</row>
    <row r="37" spans="9:46" x14ac:dyDescent="0.25">
      <c r="I37" s="72" t="s">
        <v>186</v>
      </c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>
        <v>10</v>
      </c>
      <c r="X37" s="66"/>
      <c r="Y37" s="66"/>
      <c r="Z37" s="66"/>
      <c r="AA37" s="66">
        <v>20</v>
      </c>
      <c r="AB37" s="66">
        <v>20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>
        <v>10</v>
      </c>
      <c r="AR37" s="66"/>
      <c r="AS37" s="66"/>
      <c r="AT37" s="66"/>
    </row>
    <row r="38" spans="9:46" x14ac:dyDescent="0.25">
      <c r="I38" s="70" t="s">
        <v>208</v>
      </c>
      <c r="J38" s="66"/>
      <c r="K38" s="66"/>
      <c r="L38" s="66"/>
      <c r="M38" s="66"/>
      <c r="N38" s="66">
        <v>8</v>
      </c>
      <c r="O38" s="66"/>
      <c r="P38" s="66"/>
      <c r="Q38" s="66"/>
      <c r="R38" s="66"/>
      <c r="S38" s="66"/>
      <c r="T38" s="66"/>
      <c r="U38" s="66"/>
      <c r="V38" s="66">
        <v>4</v>
      </c>
      <c r="W38" s="66"/>
      <c r="X38" s="66">
        <v>4</v>
      </c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</row>
    <row r="39" spans="9:46" x14ac:dyDescent="0.25">
      <c r="I39" s="70" t="s">
        <v>209</v>
      </c>
      <c r="J39" s="66"/>
      <c r="K39" s="66"/>
      <c r="L39" s="66"/>
      <c r="M39" s="66">
        <v>40</v>
      </c>
      <c r="N39" s="66"/>
      <c r="O39" s="66"/>
      <c r="P39" s="66"/>
      <c r="Q39" s="66"/>
      <c r="R39" s="66"/>
      <c r="S39" s="66"/>
      <c r="T39" s="66">
        <v>20</v>
      </c>
      <c r="U39" s="66"/>
      <c r="V39" s="66">
        <v>40</v>
      </c>
      <c r="W39" s="66"/>
      <c r="X39" s="66"/>
      <c r="Y39" s="66"/>
      <c r="Z39" s="66">
        <v>40</v>
      </c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</row>
    <row r="40" spans="9:46" x14ac:dyDescent="0.25">
      <c r="I40" s="70" t="s">
        <v>210</v>
      </c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>
        <v>20</v>
      </c>
      <c r="U40" s="66"/>
      <c r="V40" s="66"/>
      <c r="W40" s="66"/>
      <c r="X40" s="66"/>
      <c r="Y40" s="66"/>
      <c r="Z40" s="66"/>
      <c r="AA40" s="66">
        <v>40</v>
      </c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</row>
    <row r="41" spans="9:46" x14ac:dyDescent="0.25">
      <c r="I41" s="70" t="s">
        <v>211</v>
      </c>
      <c r="J41" s="66"/>
      <c r="K41" s="66"/>
      <c r="L41" s="66"/>
      <c r="M41" s="66"/>
      <c r="N41" s="66"/>
      <c r="O41" s="66"/>
      <c r="P41" s="66"/>
      <c r="Q41" s="66"/>
      <c r="R41" s="66"/>
      <c r="S41" s="66">
        <v>50</v>
      </c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>
        <v>20</v>
      </c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</row>
    <row r="42" spans="9:46" x14ac:dyDescent="0.25">
      <c r="I42" s="70" t="s">
        <v>252</v>
      </c>
      <c r="J42" s="66"/>
      <c r="K42" s="66"/>
      <c r="L42" s="66"/>
      <c r="M42" s="66"/>
      <c r="N42" s="66">
        <v>2</v>
      </c>
      <c r="O42" s="66"/>
      <c r="P42" s="66"/>
      <c r="Q42" s="66"/>
      <c r="R42" s="66"/>
      <c r="S42" s="66"/>
      <c r="T42" s="66"/>
      <c r="U42" s="66"/>
      <c r="V42" s="66">
        <v>1</v>
      </c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>
        <v>1</v>
      </c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</row>
    <row r="43" spans="9:46" x14ac:dyDescent="0.25">
      <c r="I43" s="70" t="s">
        <v>253</v>
      </c>
      <c r="J43" s="66"/>
      <c r="K43" s="66"/>
      <c r="L43" s="66"/>
      <c r="M43" s="66"/>
      <c r="N43" s="66">
        <v>5</v>
      </c>
      <c r="O43" s="66"/>
      <c r="P43" s="66"/>
      <c r="Q43" s="66"/>
      <c r="R43" s="66"/>
      <c r="S43" s="66"/>
      <c r="T43" s="66"/>
      <c r="U43" s="66"/>
      <c r="V43" s="66">
        <v>2</v>
      </c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>
        <v>2</v>
      </c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</row>
    <row r="44" spans="9:46" x14ac:dyDescent="0.25">
      <c r="I44" s="70" t="s">
        <v>254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>
        <v>10</v>
      </c>
      <c r="W44" s="66"/>
      <c r="X44" s="66"/>
      <c r="Y44" s="66"/>
      <c r="Z44" s="66"/>
      <c r="AA44" s="66">
        <v>10</v>
      </c>
      <c r="AB44" s="66"/>
      <c r="AC44" s="66"/>
      <c r="AD44" s="66"/>
      <c r="AE44" s="66"/>
      <c r="AF44" s="66"/>
      <c r="AG44" s="66"/>
      <c r="AH44" s="66"/>
      <c r="AI44" s="66">
        <v>2</v>
      </c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</row>
    <row r="45" spans="9:46" x14ac:dyDescent="0.25">
      <c r="I45" s="75" t="s">
        <v>212</v>
      </c>
      <c r="J45" s="66"/>
      <c r="K45" s="66"/>
      <c r="L45" s="66"/>
      <c r="M45" s="66"/>
      <c r="N45" s="66">
        <v>4</v>
      </c>
      <c r="O45" s="66">
        <v>2</v>
      </c>
      <c r="P45" s="66">
        <v>2</v>
      </c>
      <c r="Q45" s="66"/>
      <c r="R45" s="66"/>
      <c r="S45" s="66"/>
      <c r="T45" s="66"/>
      <c r="U45" s="66">
        <v>2</v>
      </c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</row>
    <row r="46" spans="9:46" x14ac:dyDescent="0.25">
      <c r="I46" s="75" t="s">
        <v>213</v>
      </c>
      <c r="J46" s="66"/>
      <c r="K46" s="66"/>
      <c r="L46" s="66"/>
      <c r="M46" s="66"/>
      <c r="N46" s="66"/>
      <c r="O46" s="66"/>
      <c r="P46" s="66"/>
      <c r="Q46" s="66"/>
      <c r="R46" s="66"/>
      <c r="S46" s="66">
        <v>10</v>
      </c>
      <c r="T46" s="66"/>
      <c r="U46" s="66"/>
      <c r="V46" s="66"/>
      <c r="W46" s="66">
        <v>4</v>
      </c>
      <c r="X46" s="66"/>
      <c r="Y46" s="66"/>
      <c r="Z46" s="66"/>
      <c r="AA46" s="66">
        <v>20</v>
      </c>
      <c r="AB46" s="66">
        <v>10</v>
      </c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>
        <v>40</v>
      </c>
      <c r="AS46" s="66"/>
      <c r="AT46" s="66"/>
    </row>
    <row r="47" spans="9:46" x14ac:dyDescent="0.25">
      <c r="I47" s="75" t="s">
        <v>216</v>
      </c>
      <c r="J47" s="66"/>
      <c r="K47" s="66"/>
      <c r="L47" s="66">
        <v>4</v>
      </c>
      <c r="M47" s="66"/>
      <c r="N47" s="66">
        <v>8</v>
      </c>
      <c r="O47" s="66"/>
      <c r="P47" s="66"/>
      <c r="Q47" s="66">
        <v>4</v>
      </c>
      <c r="R47" s="66"/>
      <c r="S47" s="66"/>
      <c r="T47" s="66"/>
      <c r="U47" s="66">
        <v>2</v>
      </c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</row>
    <row r="48" spans="9:46" x14ac:dyDescent="0.25">
      <c r="I48" s="75" t="s">
        <v>217</v>
      </c>
      <c r="J48" s="66"/>
      <c r="K48" s="66"/>
      <c r="L48" s="66">
        <v>12</v>
      </c>
      <c r="M48" s="66">
        <v>12</v>
      </c>
      <c r="N48" s="66"/>
      <c r="O48" s="66"/>
      <c r="P48" s="66"/>
      <c r="Q48" s="66"/>
      <c r="R48" s="66"/>
      <c r="S48" s="66"/>
      <c r="T48" s="66"/>
      <c r="U48" s="66">
        <v>6</v>
      </c>
      <c r="V48" s="66"/>
      <c r="W48" s="66"/>
      <c r="X48" s="66">
        <v>4</v>
      </c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</row>
    <row r="49" spans="9:46" x14ac:dyDescent="0.25">
      <c r="I49" s="76" t="s">
        <v>200</v>
      </c>
      <c r="J49" s="66"/>
      <c r="K49" s="66"/>
      <c r="L49" s="66"/>
      <c r="M49" s="66"/>
      <c r="N49" s="66">
        <v>3</v>
      </c>
      <c r="O49" s="66">
        <v>2</v>
      </c>
      <c r="P49" s="66"/>
      <c r="Q49" s="66"/>
      <c r="R49" s="66"/>
      <c r="S49" s="66"/>
      <c r="T49" s="66"/>
      <c r="U49" s="66">
        <v>1</v>
      </c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</row>
    <row r="50" spans="9:46" x14ac:dyDescent="0.25">
      <c r="I50" s="76" t="s">
        <v>201</v>
      </c>
      <c r="J50" s="66"/>
      <c r="K50" s="66"/>
      <c r="L50" s="66"/>
      <c r="M50" s="66">
        <v>3</v>
      </c>
      <c r="N50" s="66"/>
      <c r="O50" s="66">
        <v>4</v>
      </c>
      <c r="P50" s="66"/>
      <c r="Q50" s="66"/>
      <c r="R50" s="66"/>
      <c r="S50" s="66">
        <v>1</v>
      </c>
      <c r="T50" s="66"/>
      <c r="U50" s="66"/>
      <c r="V50" s="66">
        <v>1</v>
      </c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</row>
    <row r="51" spans="9:46" x14ac:dyDescent="0.25">
      <c r="I51" s="76" t="s">
        <v>202</v>
      </c>
      <c r="J51" s="66"/>
      <c r="K51" s="66">
        <v>1</v>
      </c>
      <c r="L51" s="66"/>
      <c r="M51" s="66"/>
      <c r="N51" s="66">
        <v>3</v>
      </c>
      <c r="O51" s="66">
        <v>2</v>
      </c>
      <c r="P51" s="66"/>
      <c r="Q51" s="66"/>
      <c r="R51" s="66"/>
      <c r="S51" s="66"/>
      <c r="T51" s="66"/>
      <c r="U51" s="66">
        <v>2</v>
      </c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</row>
    <row r="52" spans="9:46" x14ac:dyDescent="0.25">
      <c r="I52" s="76" t="s">
        <v>205</v>
      </c>
      <c r="J52" s="66"/>
      <c r="K52" s="66"/>
      <c r="L52" s="66">
        <v>4</v>
      </c>
      <c r="M52" s="66"/>
      <c r="N52" s="66">
        <v>4</v>
      </c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</row>
    <row r="53" spans="9:46" x14ac:dyDescent="0.25">
      <c r="I53" s="76" t="s">
        <v>206</v>
      </c>
      <c r="J53" s="66"/>
      <c r="K53" s="66"/>
      <c r="L53" s="66">
        <v>8</v>
      </c>
      <c r="M53" s="66">
        <v>8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</row>
    <row r="54" spans="9:46" x14ac:dyDescent="0.25">
      <c r="I54" s="76" t="s">
        <v>207</v>
      </c>
      <c r="J54" s="66"/>
      <c r="K54" s="66">
        <v>4</v>
      </c>
      <c r="L54" s="66">
        <v>4</v>
      </c>
      <c r="M54" s="66"/>
      <c r="N54" s="66">
        <v>8</v>
      </c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</row>
    <row r="55" spans="9:46" x14ac:dyDescent="0.25">
      <c r="I55" s="69" t="s">
        <v>240</v>
      </c>
      <c r="J55" s="66"/>
      <c r="K55" s="66"/>
      <c r="L55" s="66"/>
      <c r="M55" s="66"/>
      <c r="N55" s="66">
        <v>8</v>
      </c>
      <c r="O55" s="66">
        <v>8</v>
      </c>
      <c r="P55" s="66">
        <v>2</v>
      </c>
      <c r="Q55" s="66"/>
      <c r="R55" s="66"/>
      <c r="S55" s="66"/>
      <c r="T55" s="66"/>
      <c r="U55" s="66">
        <v>2</v>
      </c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</row>
    <row r="56" spans="9:46" x14ac:dyDescent="0.25">
      <c r="I56" s="69" t="s">
        <v>241</v>
      </c>
      <c r="J56" s="66"/>
      <c r="K56" s="66"/>
      <c r="L56" s="66"/>
      <c r="M56" s="66">
        <v>8</v>
      </c>
      <c r="N56" s="66"/>
      <c r="O56" s="66"/>
      <c r="P56" s="66"/>
      <c r="Q56" s="66">
        <v>6</v>
      </c>
      <c r="R56" s="66"/>
      <c r="S56" s="66"/>
      <c r="T56" s="66"/>
      <c r="U56" s="66">
        <v>12</v>
      </c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>
        <v>6</v>
      </c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</row>
    <row r="57" spans="9:46" x14ac:dyDescent="0.25">
      <c r="I57" s="69" t="s">
        <v>243</v>
      </c>
      <c r="J57" s="66"/>
      <c r="K57" s="66"/>
      <c r="L57" s="66"/>
      <c r="M57" s="66">
        <v>10</v>
      </c>
      <c r="N57" s="66"/>
      <c r="O57" s="66"/>
      <c r="P57" s="66"/>
      <c r="Q57" s="66">
        <v>8</v>
      </c>
      <c r="R57" s="66"/>
      <c r="S57" s="66">
        <v>2</v>
      </c>
      <c r="T57" s="66"/>
      <c r="U57" s="66">
        <v>10</v>
      </c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</row>
    <row r="58" spans="9:46" x14ac:dyDescent="0.25">
      <c r="I58" s="69" t="s">
        <v>244</v>
      </c>
      <c r="J58" s="66"/>
      <c r="K58" s="66"/>
      <c r="L58" s="66"/>
      <c r="M58" s="66">
        <v>9</v>
      </c>
      <c r="N58" s="66"/>
      <c r="O58" s="66"/>
      <c r="P58" s="66"/>
      <c r="Q58" s="66"/>
      <c r="R58" s="66"/>
      <c r="S58" s="66"/>
      <c r="T58" s="66"/>
      <c r="U58" s="66">
        <v>6</v>
      </c>
      <c r="V58" s="66"/>
      <c r="W58" s="66"/>
      <c r="X58" s="66">
        <v>6</v>
      </c>
      <c r="Y58" s="66">
        <v>9</v>
      </c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</row>
    <row r="59" spans="9:46" x14ac:dyDescent="0.25">
      <c r="I59" s="69" t="s">
        <v>245</v>
      </c>
      <c r="J59" s="66"/>
      <c r="K59" s="66"/>
      <c r="L59" s="66"/>
      <c r="M59" s="66"/>
      <c r="N59" s="66"/>
      <c r="O59" s="66"/>
      <c r="P59" s="66"/>
      <c r="Q59" s="66"/>
      <c r="R59" s="66"/>
      <c r="S59" s="66">
        <v>10</v>
      </c>
      <c r="T59" s="66"/>
      <c r="U59" s="66"/>
      <c r="V59" s="66">
        <v>5</v>
      </c>
      <c r="W59" s="66"/>
      <c r="X59" s="66">
        <v>5</v>
      </c>
      <c r="Y59" s="66"/>
      <c r="Z59" s="66"/>
      <c r="AA59" s="66">
        <v>20</v>
      </c>
      <c r="AB59" s="66"/>
      <c r="AC59" s="66">
        <v>10</v>
      </c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</row>
    <row r="60" spans="9:46" x14ac:dyDescent="0.25">
      <c r="I60" s="69" t="s">
        <v>246</v>
      </c>
      <c r="J60" s="66"/>
      <c r="K60" s="66"/>
      <c r="L60" s="66"/>
      <c r="M60" s="66">
        <v>15</v>
      </c>
      <c r="N60" s="66"/>
      <c r="O60" s="66"/>
      <c r="P60" s="66"/>
      <c r="Q60" s="66"/>
      <c r="R60" s="66"/>
      <c r="S60" s="66">
        <v>5</v>
      </c>
      <c r="T60" s="66"/>
      <c r="U60" s="66"/>
      <c r="V60" s="66">
        <v>5</v>
      </c>
      <c r="W60" s="66"/>
      <c r="X60" s="66">
        <v>5</v>
      </c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</row>
    <row r="61" spans="9:46" x14ac:dyDescent="0.25">
      <c r="I61" s="69" t="s">
        <v>247</v>
      </c>
      <c r="J61" s="66"/>
      <c r="K61" s="66"/>
      <c r="L61" s="66"/>
      <c r="M61" s="66">
        <v>12</v>
      </c>
      <c r="N61" s="66"/>
      <c r="O61" s="66"/>
      <c r="P61" s="66"/>
      <c r="Q61" s="66"/>
      <c r="R61" s="66"/>
      <c r="S61" s="66"/>
      <c r="T61" s="66"/>
      <c r="U61" s="66">
        <v>18</v>
      </c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>
        <v>6</v>
      </c>
      <c r="AG61" s="66">
        <v>12</v>
      </c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</row>
    <row r="62" spans="9:46" x14ac:dyDescent="0.25">
      <c r="I62" s="69" t="s">
        <v>248</v>
      </c>
      <c r="J62" s="66">
        <v>12</v>
      </c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>
        <v>3</v>
      </c>
      <c r="W62" s="66"/>
      <c r="X62" s="66">
        <v>9</v>
      </c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>
        <v>6</v>
      </c>
      <c r="AQ62" s="66"/>
      <c r="AR62" s="66"/>
      <c r="AS62" s="66"/>
      <c r="AT62" s="66"/>
    </row>
    <row r="63" spans="9:46" x14ac:dyDescent="0.25">
      <c r="I63" s="69" t="s">
        <v>250</v>
      </c>
      <c r="J63" s="66"/>
      <c r="K63" s="66"/>
      <c r="L63" s="66"/>
      <c r="M63" s="66">
        <v>12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>
        <v>6</v>
      </c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</row>
    <row r="64" spans="9:46" x14ac:dyDescent="0.25">
      <c r="I64" s="69" t="s">
        <v>251</v>
      </c>
      <c r="J64" s="66"/>
      <c r="K64" s="66"/>
      <c r="L64" s="66"/>
      <c r="M64" s="66">
        <v>20</v>
      </c>
      <c r="N64" s="66"/>
      <c r="O64" s="66"/>
      <c r="P64" s="66"/>
      <c r="Q64" s="66"/>
      <c r="R64" s="66">
        <v>20</v>
      </c>
      <c r="S64" s="66">
        <v>5</v>
      </c>
      <c r="T64" s="66">
        <v>5</v>
      </c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</row>
  </sheetData>
  <phoneticPr fontId="2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1" master=""/>
  <rangeList sheetStid="2" master=""/>
  <rangeList sheetStid="4" master=""/>
  <rangeList sheetStid="3" master=""/>
  <rangeList sheetStid="5" master=""/>
  <rangeList sheetStid="6" master=""/>
  <rangeList sheetStid="7" master=""/>
</allowEditUser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4"/>
  <pixelatorList sheetStid="3"/>
  <pixelatorList sheetStid="5"/>
  <pixelatorList sheetStid="6"/>
  <pixelatorList sheetStid="7"/>
</pixelator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4" interlineOnOff="0" interlineColor="0"/>
  <interlineItem sheetStid="3" interlineOnOff="0" interlineColor="0"/>
  <interlineItem sheetStid="5" interlineOnOff="0" interlineColor="0"/>
  <interlineItem sheetStid="6" interlineOnOff="0" interlineColor="0"/>
  <interlineItem sheetStid="7" interlineOnOff="0" interlineColor="0"/>
</sheetInterline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一些计算</vt:lpstr>
      <vt:lpstr>全建筑</vt:lpstr>
      <vt:lpstr>量化计算器</vt:lpstr>
      <vt:lpstr>1875</vt:lpstr>
      <vt:lpstr>火箭</vt:lpstr>
      <vt:lpstr>勿动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xv H</dc:creator>
  <cp:lastModifiedBy>碳钾 氢</cp:lastModifiedBy>
  <dcterms:created xsi:type="dcterms:W3CDTF">2015-06-06T02:19:00Z</dcterms:created>
  <dcterms:modified xsi:type="dcterms:W3CDTF">2024-05-15T16:42:14Z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