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josem\Downloads\"/>
    </mc:Choice>
  </mc:AlternateContent>
  <xr:revisionPtr revIDLastSave="0" documentId="13_ncr:1_{767A68B9-D63F-49F5-ADC1-CE2F11D0237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ertical" sheetId="1" r:id="rId1"/>
    <sheet name="crui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3" l="1"/>
  <c r="M15" i="3"/>
  <c r="C38" i="3" s="1"/>
  <c r="C40" i="3" s="1"/>
  <c r="G16" i="3"/>
  <c r="G17" i="3" s="1"/>
  <c r="G18" i="3" s="1"/>
  <c r="J15" i="3" s="1"/>
  <c r="C23" i="3"/>
  <c r="C35" i="1"/>
  <c r="C36" i="1"/>
  <c r="C34" i="1"/>
  <c r="E36" i="1"/>
  <c r="F36" i="1" s="1"/>
  <c r="G36" i="1" s="1"/>
  <c r="E35" i="1"/>
  <c r="F35" i="1" s="1"/>
  <c r="G35" i="1" s="1"/>
  <c r="E34" i="1"/>
  <c r="F34" i="1" s="1"/>
  <c r="G34" i="1" s="1"/>
  <c r="P21" i="1"/>
  <c r="T18" i="1"/>
  <c r="T17" i="1"/>
  <c r="P17" i="1"/>
  <c r="O15" i="3" l="1"/>
  <c r="K15" i="1"/>
  <c r="O15" i="1" s="1"/>
  <c r="G16" i="1"/>
  <c r="G17" i="1" s="1"/>
  <c r="L3" i="1"/>
  <c r="M3" i="1" s="1"/>
  <c r="C24" i="1" l="1"/>
  <c r="E24" i="1"/>
  <c r="F24" i="1" s="1"/>
  <c r="G24" i="1" s="1"/>
  <c r="C25" i="1"/>
  <c r="E25" i="1"/>
  <c r="F25" i="1" s="1"/>
  <c r="G25" i="1" s="1"/>
  <c r="C26" i="1"/>
  <c r="E26" i="1"/>
  <c r="F26" i="1" s="1"/>
  <c r="G26" i="1" s="1"/>
  <c r="Q15" i="1"/>
</calcChain>
</file>

<file path=xl/sharedStrings.xml><?xml version="1.0" encoding="utf-8"?>
<sst xmlns="http://schemas.openxmlformats.org/spreadsheetml/2006/main" count="139" uniqueCount="81">
  <si>
    <t>DADOS</t>
  </si>
  <si>
    <t>mass</t>
  </si>
  <si>
    <t>W/A</t>
  </si>
  <si>
    <t>(disk-loading)</t>
  </si>
  <si>
    <t>n blades</t>
  </si>
  <si>
    <t>S</t>
  </si>
  <si>
    <t>AR</t>
  </si>
  <si>
    <t>e</t>
  </si>
  <si>
    <t>V_a</t>
  </si>
  <si>
    <t>C_D0</t>
  </si>
  <si>
    <t>Mach_tip</t>
  </si>
  <si>
    <t>kg</t>
  </si>
  <si>
    <t>N/m^2</t>
  </si>
  <si>
    <t>m^2</t>
  </si>
  <si>
    <t>m/s</t>
  </si>
  <si>
    <t>Hover conditions</t>
  </si>
  <si>
    <t>dados</t>
  </si>
  <si>
    <t>h</t>
  </si>
  <si>
    <t>m</t>
  </si>
  <si>
    <t>rho</t>
  </si>
  <si>
    <t>kg/m^3</t>
  </si>
  <si>
    <t>a</t>
  </si>
  <si>
    <t>condição dinâmica</t>
  </si>
  <si>
    <t>Thrust</t>
  </si>
  <si>
    <t>T =</t>
  </si>
  <si>
    <t>* W</t>
  </si>
  <si>
    <t>T/rotor</t>
  </si>
  <si>
    <t>N</t>
  </si>
  <si>
    <t>NR</t>
  </si>
  <si>
    <t>n. rotors</t>
  </si>
  <si>
    <t>calculo raio pás</t>
  </si>
  <si>
    <t>r</t>
  </si>
  <si>
    <t>g</t>
  </si>
  <si>
    <t>m/s^2</t>
  </si>
  <si>
    <t>Caclulo veloc rot max</t>
  </si>
  <si>
    <t>Ele diz q so é valido para a condiçao v=0</t>
  </si>
  <si>
    <t>n_max</t>
  </si>
  <si>
    <t>rps</t>
  </si>
  <si>
    <t>Nos queremos o valor max de rotações para melhor performance</t>
  </si>
  <si>
    <t>Estimation for power necessary for thrust needed</t>
  </si>
  <si>
    <t>P(kW)</t>
  </si>
  <si>
    <t>C_T/C_P</t>
  </si>
  <si>
    <t>C_P</t>
  </si>
  <si>
    <t>T (N)</t>
  </si>
  <si>
    <t>T* (N)</t>
  </si>
  <si>
    <t>Check</t>
  </si>
  <si>
    <t>correçao para 2 blades</t>
  </si>
  <si>
    <t>rpm</t>
  </si>
  <si>
    <t>DADOS ADICIONAIS</t>
  </si>
  <si>
    <t>mean chord</t>
  </si>
  <si>
    <t>span</t>
  </si>
  <si>
    <t>CT/CP inexistente para valores de CP menores que 0,025</t>
  </si>
  <si>
    <t>V_subida</t>
  </si>
  <si>
    <t>n_max_bateria</t>
  </si>
  <si>
    <t>tensao</t>
  </si>
  <si>
    <t>rpm/V</t>
  </si>
  <si>
    <t>V</t>
  </si>
  <si>
    <t>tip_veloc</t>
  </si>
  <si>
    <t>n_rad/s</t>
  </si>
  <si>
    <t>rad/s</t>
  </si>
  <si>
    <t>Caclulo veloc rot max por limitação bateria</t>
  </si>
  <si>
    <t>Estimation for power necessary for thrust needed (limitação bateria velocidade)</t>
  </si>
  <si>
    <t>?</t>
  </si>
  <si>
    <t>efficiency for 2 blades</t>
  </si>
  <si>
    <t>W</t>
  </si>
  <si>
    <t>P</t>
  </si>
  <si>
    <t>Menor valor de C_P para minizar power</t>
  </si>
  <si>
    <t>para theta 3/4 = 30º</t>
  </si>
  <si>
    <t>new</t>
  </si>
  <si>
    <t>Maximize efficiency</t>
  </si>
  <si>
    <t>J</t>
  </si>
  <si>
    <t>Advance ratio</t>
  </si>
  <si>
    <t>D_cr</t>
  </si>
  <si>
    <t>Prop radius</t>
  </si>
  <si>
    <t>C_D_cr</t>
  </si>
  <si>
    <t>C_L_cr</t>
  </si>
  <si>
    <t>T_req</t>
  </si>
  <si>
    <t>k</t>
  </si>
  <si>
    <t>Drag estimation</t>
  </si>
  <si>
    <t>Cruise conditions</t>
  </si>
  <si>
    <t>rotors cruise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</si>
</sst>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0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144781</xdr:rowOff>
    </xdr:from>
    <xdr:to>
      <xdr:col>12</xdr:col>
      <xdr:colOff>42431</xdr:colOff>
      <xdr:row>12</xdr:row>
      <xdr:rowOff>152401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31CF0A-987E-1317-93AC-8EC4A284A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790701"/>
          <a:ext cx="2098955" cy="556260"/>
        </a:xfrm>
        <a:prstGeom prst="rect">
          <a:avLst/>
        </a:prstGeom>
      </xdr:spPr>
    </xdr:pic>
    <xdr:clientData/>
  </xdr:twoCellAnchor>
  <xdr:twoCellAnchor editAs="oneCell">
    <xdr:from>
      <xdr:col>12</xdr:col>
      <xdr:colOff>541020</xdr:colOff>
      <xdr:row>7</xdr:row>
      <xdr:rowOff>76200</xdr:rowOff>
    </xdr:from>
    <xdr:to>
      <xdr:col>16</xdr:col>
      <xdr:colOff>426720</xdr:colOff>
      <xdr:row>10</xdr:row>
      <xdr:rowOff>120787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C6DC627-08B4-757C-B713-BA43574DC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6220" y="1356360"/>
          <a:ext cx="2324100" cy="593227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19</xdr:row>
      <xdr:rowOff>0</xdr:rowOff>
    </xdr:from>
    <xdr:to>
      <xdr:col>9</xdr:col>
      <xdr:colOff>5988</xdr:colOff>
      <xdr:row>21</xdr:row>
      <xdr:rowOff>144780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5A136F-8D84-9681-E26D-5FFFC7858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1" y="3474720"/>
          <a:ext cx="1187232" cy="5105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19</xdr:row>
      <xdr:rowOff>1</xdr:rowOff>
    </xdr:from>
    <xdr:to>
      <xdr:col>11</xdr:col>
      <xdr:colOff>312420</xdr:colOff>
      <xdr:row>21</xdr:row>
      <xdr:rowOff>139865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61E622E-4528-B7AE-A008-47A525856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474721"/>
          <a:ext cx="922020" cy="505624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21</xdr:row>
      <xdr:rowOff>165982</xdr:rowOff>
    </xdr:from>
    <xdr:to>
      <xdr:col>13</xdr:col>
      <xdr:colOff>419101</xdr:colOff>
      <xdr:row>23</xdr:row>
      <xdr:rowOff>103005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387A85A-BACB-1A4E-9616-028FE59E9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8338" y="3968437"/>
          <a:ext cx="1022664" cy="299162"/>
        </a:xfrm>
        <a:prstGeom prst="rect">
          <a:avLst/>
        </a:prstGeom>
      </xdr:spPr>
    </xdr:pic>
    <xdr:clientData/>
  </xdr:twoCellAnchor>
  <xdr:twoCellAnchor editAs="oneCell">
    <xdr:from>
      <xdr:col>13</xdr:col>
      <xdr:colOff>579121</xdr:colOff>
      <xdr:row>21</xdr:row>
      <xdr:rowOff>121925</xdr:rowOff>
    </xdr:from>
    <xdr:to>
      <xdr:col>21</xdr:col>
      <xdr:colOff>121921</xdr:colOff>
      <xdr:row>35</xdr:row>
      <xdr:rowOff>164990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2FB9581-E175-350D-A3C0-0C42BD19D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91022" y="3924380"/>
          <a:ext cx="4371315" cy="2578036"/>
        </a:xfrm>
        <a:prstGeom prst="rect">
          <a:avLst/>
        </a:prstGeom>
      </xdr:spPr>
    </xdr:pic>
    <xdr:clientData/>
  </xdr:twoCellAnchor>
  <xdr:twoCellAnchor editAs="oneCell">
    <xdr:from>
      <xdr:col>12</xdr:col>
      <xdr:colOff>596019</xdr:colOff>
      <xdr:row>4</xdr:row>
      <xdr:rowOff>90534</xdr:rowOff>
    </xdr:from>
    <xdr:to>
      <xdr:col>17</xdr:col>
      <xdr:colOff>54211</xdr:colOff>
      <xdr:row>6</xdr:row>
      <xdr:rowOff>160555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0D3178E-CC24-4A0C-A9B5-316CCADD9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04356" y="814811"/>
          <a:ext cx="2476013" cy="432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10</xdr:row>
      <xdr:rowOff>0</xdr:rowOff>
    </xdr:from>
    <xdr:ext cx="1308847" cy="367681"/>
    <xdr:pic>
      <xdr:nvPicPr>
        <xdr:cNvPr id="2" name="Imagem 1">
          <a:extLst>
            <a:ext uri="{FF2B5EF4-FFF2-40B4-BE49-F238E27FC236}">
              <a16:creationId xmlns:a16="http://schemas.microsoft.com/office/drawing/2014/main" id="{4E272FE6-72A7-4998-BE52-2D2CAF505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28800"/>
          <a:ext cx="1308847" cy="367681"/>
        </a:xfrm>
        <a:prstGeom prst="rect">
          <a:avLst/>
        </a:prstGeom>
      </xdr:spPr>
    </xdr:pic>
    <xdr:clientData/>
  </xdr:oneCellAnchor>
  <xdr:oneCellAnchor>
    <xdr:from>
      <xdr:col>4</xdr:col>
      <xdr:colOff>605118</xdr:colOff>
      <xdr:row>7</xdr:row>
      <xdr:rowOff>151280</xdr:rowOff>
    </xdr:from>
    <xdr:ext cx="1459005" cy="414023"/>
    <xdr:pic>
      <xdr:nvPicPr>
        <xdr:cNvPr id="3" name="Imagem 2">
          <a:extLst>
            <a:ext uri="{FF2B5EF4-FFF2-40B4-BE49-F238E27FC236}">
              <a16:creationId xmlns:a16="http://schemas.microsoft.com/office/drawing/2014/main" id="{9AF8EAFA-5A7F-4E58-B1E2-7CBBD9F1D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3518" y="1431440"/>
          <a:ext cx="1459005" cy="414023"/>
        </a:xfrm>
        <a:prstGeom prst="rect">
          <a:avLst/>
        </a:prstGeom>
      </xdr:spPr>
    </xdr:pic>
    <xdr:clientData/>
  </xdr:oneCellAnchor>
  <xdr:oneCellAnchor>
    <xdr:from>
      <xdr:col>8</xdr:col>
      <xdr:colOff>5604</xdr:colOff>
      <xdr:row>10</xdr:row>
      <xdr:rowOff>84044</xdr:rowOff>
    </xdr:from>
    <xdr:ext cx="951380" cy="338959"/>
    <xdr:pic>
      <xdr:nvPicPr>
        <xdr:cNvPr id="4" name="Imagem 3">
          <a:extLst>
            <a:ext uri="{FF2B5EF4-FFF2-40B4-BE49-F238E27FC236}">
              <a16:creationId xmlns:a16="http://schemas.microsoft.com/office/drawing/2014/main" id="{7BA76BE0-78A2-42E3-B45B-690DFFB21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82404" y="1912844"/>
          <a:ext cx="951380" cy="338959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7</xdr:row>
      <xdr:rowOff>184897</xdr:rowOff>
    </xdr:from>
    <xdr:ext cx="2471531" cy="438581"/>
    <xdr:pic>
      <xdr:nvPicPr>
        <xdr:cNvPr id="5" name="Imagem 4">
          <a:extLst>
            <a:ext uri="{FF2B5EF4-FFF2-40B4-BE49-F238E27FC236}">
              <a16:creationId xmlns:a16="http://schemas.microsoft.com/office/drawing/2014/main" id="{468A7EED-B847-4AF4-8B0A-6F354CA22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5200" y="1465057"/>
          <a:ext cx="2471531" cy="438581"/>
        </a:xfrm>
        <a:prstGeom prst="rect">
          <a:avLst/>
        </a:prstGeom>
      </xdr:spPr>
    </xdr:pic>
    <xdr:clientData/>
  </xdr:oneCellAnchor>
  <xdr:oneCellAnchor>
    <xdr:from>
      <xdr:col>1</xdr:col>
      <xdr:colOff>22411</xdr:colOff>
      <xdr:row>18</xdr:row>
      <xdr:rowOff>140074</xdr:rowOff>
    </xdr:from>
    <xdr:ext cx="800101" cy="391193"/>
    <xdr:pic>
      <xdr:nvPicPr>
        <xdr:cNvPr id="6" name="Imagem 5">
          <a:extLst>
            <a:ext uri="{FF2B5EF4-FFF2-40B4-BE49-F238E27FC236}">
              <a16:creationId xmlns:a16="http://schemas.microsoft.com/office/drawing/2014/main" id="{EEEC3E44-D739-426A-B907-15207E9D21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0714"/>
        <a:stretch/>
      </xdr:blipFill>
      <xdr:spPr>
        <a:xfrm>
          <a:off x="632011" y="3431914"/>
          <a:ext cx="800101" cy="391193"/>
        </a:xfrm>
        <a:prstGeom prst="rect">
          <a:avLst/>
        </a:prstGeom>
      </xdr:spPr>
    </xdr:pic>
    <xdr:clientData/>
  </xdr:oneCellAnchor>
  <xdr:oneCellAnchor>
    <xdr:from>
      <xdr:col>4</xdr:col>
      <xdr:colOff>373381</xdr:colOff>
      <xdr:row>19</xdr:row>
      <xdr:rowOff>60960</xdr:rowOff>
    </xdr:from>
    <xdr:ext cx="4581692" cy="2279779"/>
    <xdr:pic>
      <xdr:nvPicPr>
        <xdr:cNvPr id="7" name="Imagem 6">
          <a:extLst>
            <a:ext uri="{FF2B5EF4-FFF2-40B4-BE49-F238E27FC236}">
              <a16:creationId xmlns:a16="http://schemas.microsoft.com/office/drawing/2014/main" id="{84AD48C9-6CE1-493C-ABFF-7E356056B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11781" y="3535680"/>
          <a:ext cx="4581692" cy="2279779"/>
        </a:xfrm>
        <a:prstGeom prst="rect">
          <a:avLst/>
        </a:prstGeom>
      </xdr:spPr>
    </xdr:pic>
    <xdr:clientData/>
  </xdr:oneCellAnchor>
  <xdr:oneCellAnchor>
    <xdr:from>
      <xdr:col>0</xdr:col>
      <xdr:colOff>588319</xdr:colOff>
      <xdr:row>31</xdr:row>
      <xdr:rowOff>8708</xdr:rowOff>
    </xdr:from>
    <xdr:ext cx="1669400" cy="836023"/>
    <xdr:pic>
      <xdr:nvPicPr>
        <xdr:cNvPr id="8" name="Imagem 7">
          <a:extLst>
            <a:ext uri="{FF2B5EF4-FFF2-40B4-BE49-F238E27FC236}">
              <a16:creationId xmlns:a16="http://schemas.microsoft.com/office/drawing/2014/main" id="{42CAD5DE-C9E6-4283-8B51-3A7787331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8319" y="5677988"/>
          <a:ext cx="1669400" cy="836023"/>
        </a:xfrm>
        <a:prstGeom prst="rect">
          <a:avLst/>
        </a:prstGeom>
      </xdr:spPr>
    </xdr:pic>
    <xdr:clientData/>
  </xdr:oneCellAnchor>
  <xdr:oneCellAnchor>
    <xdr:from>
      <xdr:col>6</xdr:col>
      <xdr:colOff>1</xdr:colOff>
      <xdr:row>37</xdr:row>
      <xdr:rowOff>1</xdr:rowOff>
    </xdr:from>
    <xdr:ext cx="883920" cy="610420"/>
    <xdr:pic>
      <xdr:nvPicPr>
        <xdr:cNvPr id="9" name="Imagem 8">
          <a:extLst>
            <a:ext uri="{FF2B5EF4-FFF2-40B4-BE49-F238E27FC236}">
              <a16:creationId xmlns:a16="http://schemas.microsoft.com/office/drawing/2014/main" id="{EE1F7F44-E559-4DEB-90CB-E4854ED14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57601" y="6766561"/>
          <a:ext cx="883920" cy="610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8"/>
  <sheetViews>
    <sheetView zoomScale="101" zoomScaleNormal="101" workbookViewId="0">
      <selection activeCell="C34" sqref="C34"/>
    </sheetView>
  </sheetViews>
  <sheetFormatPr defaultColWidth="8.77734375" defaultRowHeight="14.4" x14ac:dyDescent="0.3"/>
  <cols>
    <col min="1" max="1" width="18.109375" customWidth="1"/>
    <col min="9" max="9" width="16.44140625" customWidth="1"/>
    <col min="10" max="10" width="11.77734375" customWidth="1"/>
  </cols>
  <sheetData>
    <row r="2" spans="1:18" x14ac:dyDescent="0.3">
      <c r="B2" s="2" t="s">
        <v>0</v>
      </c>
      <c r="E2" t="s">
        <v>32</v>
      </c>
      <c r="F2">
        <v>9.81</v>
      </c>
      <c r="G2" t="s">
        <v>33</v>
      </c>
      <c r="I2" s="3" t="s">
        <v>48</v>
      </c>
      <c r="J2" t="s">
        <v>49</v>
      </c>
      <c r="K2" t="s">
        <v>6</v>
      </c>
      <c r="L2" t="s">
        <v>50</v>
      </c>
      <c r="M2" t="s">
        <v>5</v>
      </c>
    </row>
    <row r="3" spans="1:18" x14ac:dyDescent="0.3">
      <c r="B3" t="s">
        <v>1</v>
      </c>
      <c r="C3">
        <v>7.57</v>
      </c>
      <c r="D3" t="s">
        <v>11</v>
      </c>
      <c r="J3">
        <v>0.28000000000000003</v>
      </c>
      <c r="K3">
        <v>8</v>
      </c>
      <c r="L3">
        <f>K3*J3</f>
        <v>2.2400000000000002</v>
      </c>
      <c r="M3">
        <f>L3^2/K3</f>
        <v>0.62720000000000009</v>
      </c>
    </row>
    <row r="4" spans="1:18" x14ac:dyDescent="0.3">
      <c r="A4" t="s">
        <v>3</v>
      </c>
      <c r="B4" t="s">
        <v>2</v>
      </c>
      <c r="C4">
        <v>268.8</v>
      </c>
      <c r="D4" t="s">
        <v>12</v>
      </c>
    </row>
    <row r="5" spans="1:18" x14ac:dyDescent="0.3">
      <c r="B5" t="s">
        <v>4</v>
      </c>
      <c r="C5">
        <v>2</v>
      </c>
    </row>
    <row r="6" spans="1:18" x14ac:dyDescent="0.3">
      <c r="B6" t="s">
        <v>5</v>
      </c>
      <c r="C6">
        <v>0.62719999999999998</v>
      </c>
      <c r="D6" t="s">
        <v>13</v>
      </c>
    </row>
    <row r="7" spans="1:18" x14ac:dyDescent="0.3">
      <c r="B7" t="s">
        <v>6</v>
      </c>
      <c r="C7">
        <v>8</v>
      </c>
    </row>
    <row r="8" spans="1:18" x14ac:dyDescent="0.3">
      <c r="B8" t="s">
        <v>7</v>
      </c>
      <c r="C8">
        <v>0.85</v>
      </c>
    </row>
    <row r="9" spans="1:18" x14ac:dyDescent="0.3">
      <c r="B9" t="s">
        <v>8</v>
      </c>
      <c r="C9">
        <v>25</v>
      </c>
      <c r="D9" t="s">
        <v>14</v>
      </c>
    </row>
    <row r="10" spans="1:18" x14ac:dyDescent="0.3">
      <c r="B10" t="s">
        <v>9</v>
      </c>
      <c r="C10">
        <v>0.03</v>
      </c>
    </row>
    <row r="11" spans="1:18" x14ac:dyDescent="0.3">
      <c r="B11" t="s">
        <v>10</v>
      </c>
      <c r="C11">
        <v>0.5</v>
      </c>
    </row>
    <row r="12" spans="1:18" x14ac:dyDescent="0.3">
      <c r="A12" t="s">
        <v>29</v>
      </c>
      <c r="B12" t="s">
        <v>28</v>
      </c>
      <c r="C12">
        <v>4</v>
      </c>
      <c r="N12" t="s">
        <v>38</v>
      </c>
    </row>
    <row r="13" spans="1:18" x14ac:dyDescent="0.3">
      <c r="B13" t="s">
        <v>52</v>
      </c>
      <c r="C13">
        <v>0</v>
      </c>
      <c r="D13" t="s">
        <v>14</v>
      </c>
      <c r="N13" t="s">
        <v>35</v>
      </c>
    </row>
    <row r="14" spans="1:18" x14ac:dyDescent="0.3">
      <c r="B14" s="6" t="s">
        <v>15</v>
      </c>
      <c r="C14" s="6"/>
      <c r="F14" s="6" t="s">
        <v>22</v>
      </c>
      <c r="G14" s="6"/>
      <c r="J14" s="6" t="s">
        <v>30</v>
      </c>
      <c r="K14" s="6"/>
      <c r="N14" s="6" t="s">
        <v>34</v>
      </c>
      <c r="O14" s="6"/>
    </row>
    <row r="15" spans="1:18" x14ac:dyDescent="0.3">
      <c r="B15" t="s">
        <v>16</v>
      </c>
      <c r="F15" t="s">
        <v>24</v>
      </c>
      <c r="G15">
        <v>1.7</v>
      </c>
      <c r="H15" t="s">
        <v>25</v>
      </c>
      <c r="J15" t="s">
        <v>31</v>
      </c>
      <c r="K15">
        <f>SQRT(C3*F2/C12/PI()/C16)</f>
        <v>0.19848691508012481</v>
      </c>
      <c r="L15" t="s">
        <v>18</v>
      </c>
      <c r="N15" t="s">
        <v>36</v>
      </c>
      <c r="O15">
        <f>SQRT((C11*C18)^2-C13^2)/PI()/2/K15</f>
        <v>137.51572857707839</v>
      </c>
      <c r="P15" t="s">
        <v>37</v>
      </c>
      <c r="Q15">
        <f>O15*60</f>
        <v>8250.9437146247037</v>
      </c>
      <c r="R15" t="s">
        <v>47</v>
      </c>
    </row>
    <row r="16" spans="1:18" x14ac:dyDescent="0.3">
      <c r="B16" t="s">
        <v>17</v>
      </c>
      <c r="C16">
        <v>150</v>
      </c>
      <c r="D16" t="s">
        <v>18</v>
      </c>
      <c r="F16" t="s">
        <v>23</v>
      </c>
      <c r="G16">
        <f>G15*F2*C3</f>
        <v>126.24489</v>
      </c>
      <c r="H16" t="s">
        <v>27</v>
      </c>
      <c r="N16" s="6" t="s">
        <v>60</v>
      </c>
      <c r="O16" s="6"/>
      <c r="P16" s="6"/>
      <c r="Q16" s="6"/>
      <c r="R16" s="6"/>
    </row>
    <row r="17" spans="2:21" x14ac:dyDescent="0.3">
      <c r="B17" t="s">
        <v>19</v>
      </c>
      <c r="C17">
        <v>1.2</v>
      </c>
      <c r="D17" t="s">
        <v>20</v>
      </c>
      <c r="F17" t="s">
        <v>26</v>
      </c>
      <c r="G17">
        <f>G16/C12</f>
        <v>31.5612225</v>
      </c>
      <c r="H17" t="s">
        <v>27</v>
      </c>
      <c r="N17" t="s">
        <v>53</v>
      </c>
      <c r="P17">
        <f>O18*O19</f>
        <v>13616</v>
      </c>
      <c r="Q17" t="s">
        <v>47</v>
      </c>
      <c r="S17" t="s">
        <v>58</v>
      </c>
      <c r="T17">
        <f>P17/60*2*PI()</f>
        <v>1425.8641857092875</v>
      </c>
      <c r="U17" t="s">
        <v>59</v>
      </c>
    </row>
    <row r="18" spans="2:21" x14ac:dyDescent="0.3">
      <c r="B18" t="s">
        <v>21</v>
      </c>
      <c r="C18">
        <v>343</v>
      </c>
      <c r="D18" t="s">
        <v>14</v>
      </c>
      <c r="N18" t="s">
        <v>54</v>
      </c>
      <c r="O18">
        <v>14.8</v>
      </c>
      <c r="P18" t="s">
        <v>56</v>
      </c>
      <c r="S18" t="s">
        <v>57</v>
      </c>
      <c r="T18">
        <f>T17*K15</f>
        <v>283.01538354467067</v>
      </c>
      <c r="U18" t="s">
        <v>14</v>
      </c>
    </row>
    <row r="19" spans="2:21" x14ac:dyDescent="0.3">
      <c r="N19" t="s">
        <v>55</v>
      </c>
      <c r="O19">
        <v>920</v>
      </c>
    </row>
    <row r="21" spans="2:21" x14ac:dyDescent="0.3">
      <c r="B21" t="s">
        <v>39</v>
      </c>
      <c r="N21" t="s">
        <v>53</v>
      </c>
      <c r="P21">
        <f>P17/60</f>
        <v>226.93333333333334</v>
      </c>
      <c r="Q21" t="s">
        <v>37</v>
      </c>
    </row>
    <row r="22" spans="2:21" x14ac:dyDescent="0.3">
      <c r="F22" t="s">
        <v>46</v>
      </c>
    </row>
    <row r="23" spans="2:21" x14ac:dyDescent="0.3">
      <c r="B23" s="1" t="s">
        <v>40</v>
      </c>
      <c r="C23" s="1" t="s">
        <v>42</v>
      </c>
      <c r="D23" s="1" t="s">
        <v>41</v>
      </c>
      <c r="E23" s="1" t="s">
        <v>43</v>
      </c>
      <c r="F23" s="1" t="s">
        <v>44</v>
      </c>
      <c r="G23" s="1" t="s">
        <v>45</v>
      </c>
    </row>
    <row r="24" spans="2:21" x14ac:dyDescent="0.3">
      <c r="B24" s="5">
        <v>1</v>
      </c>
      <c r="C24" s="5">
        <f t="shared" ref="C24:C26" si="0">B24*1000/$C$17/$O$15^3/($K$15*2)^5</f>
        <v>3.2505155184543E-2</v>
      </c>
      <c r="D24" s="4">
        <v>3</v>
      </c>
      <c r="E24" s="4">
        <f t="shared" ref="E24:E26" si="1">B24*1000/$O$15/2/$K$15*D24</f>
        <v>54.954973532182969</v>
      </c>
      <c r="F24" s="4">
        <f t="shared" ref="F24:F26" si="2">E24*0.95</f>
        <v>52.20722485557382</v>
      </c>
      <c r="G24" s="5" t="str">
        <f>IF($G$17&lt;F24,"Sim","Não")</f>
        <v>Sim</v>
      </c>
    </row>
    <row r="25" spans="2:21" x14ac:dyDescent="0.3">
      <c r="B25" s="5">
        <v>0.5</v>
      </c>
      <c r="C25" s="5">
        <f t="shared" si="0"/>
        <v>1.62525775922715E-2</v>
      </c>
      <c r="D25" s="5">
        <v>2.8</v>
      </c>
      <c r="E25" s="5">
        <f t="shared" si="1"/>
        <v>25.645654315018717</v>
      </c>
      <c r="F25" s="5">
        <f t="shared" si="2"/>
        <v>24.363371599267779</v>
      </c>
      <c r="G25" s="5" t="str">
        <f>IF($G$17&lt;F25,"Sim","Não")</f>
        <v>Não</v>
      </c>
    </row>
    <row r="26" spans="2:21" x14ac:dyDescent="0.3">
      <c r="B26" s="5">
        <v>0.7</v>
      </c>
      <c r="C26" s="5">
        <f t="shared" si="0"/>
        <v>2.2753608629180102E-2</v>
      </c>
      <c r="D26" s="5">
        <v>2.8</v>
      </c>
      <c r="E26" s="5">
        <f t="shared" si="1"/>
        <v>35.9039160410262</v>
      </c>
      <c r="F26" s="5">
        <f t="shared" si="2"/>
        <v>34.10872023897489</v>
      </c>
      <c r="G26" s="5" t="str">
        <f>IF($G$17&lt;F26,"Sim","Não")</f>
        <v>Sim</v>
      </c>
    </row>
    <row r="28" spans="2:21" x14ac:dyDescent="0.3">
      <c r="D28" t="s">
        <v>51</v>
      </c>
    </row>
    <row r="31" spans="2:21" x14ac:dyDescent="0.3">
      <c r="B31" t="s">
        <v>61</v>
      </c>
    </row>
    <row r="32" spans="2:21" x14ac:dyDescent="0.3">
      <c r="F32" t="s">
        <v>46</v>
      </c>
    </row>
    <row r="33" spans="2:7" x14ac:dyDescent="0.3">
      <c r="B33" s="1" t="s">
        <v>40</v>
      </c>
      <c r="C33" s="1" t="s">
        <v>42</v>
      </c>
      <c r="D33" s="1" t="s">
        <v>41</v>
      </c>
      <c r="E33" s="1" t="s">
        <v>43</v>
      </c>
      <c r="F33" s="1" t="s">
        <v>44</v>
      </c>
      <c r="G33" s="1" t="s">
        <v>45</v>
      </c>
    </row>
    <row r="34" spans="2:7" x14ac:dyDescent="0.3">
      <c r="B34" s="5">
        <v>1</v>
      </c>
      <c r="C34" s="5">
        <f>B34*1000/$C$17/$P$21^3/($K$15*2)^5</f>
        <v>7.2329337809409998E-3</v>
      </c>
      <c r="D34" s="4" t="s">
        <v>62</v>
      </c>
      <c r="E34" s="4" t="e">
        <f t="shared" ref="E34:E36" si="3">B34*1000/$O$15/2/$K$15*D34</f>
        <v>#VALUE!</v>
      </c>
      <c r="F34" s="4" t="e">
        <f t="shared" ref="F34:F36" si="4">E34*0.95</f>
        <v>#VALUE!</v>
      </c>
      <c r="G34" s="5" t="e">
        <f>IF($G$17&lt;F34,"Sim","Não")</f>
        <v>#VALUE!</v>
      </c>
    </row>
    <row r="35" spans="2:7" x14ac:dyDescent="0.3">
      <c r="B35" s="5">
        <v>0.5</v>
      </c>
      <c r="C35" s="5">
        <f t="shared" ref="C35:C36" si="5">B35*1000/$C$17/$P$21^3/($K$15*2)^5</f>
        <v>3.6164668904704999E-3</v>
      </c>
      <c r="D35" s="5" t="s">
        <v>62</v>
      </c>
      <c r="E35" s="5" t="e">
        <f t="shared" si="3"/>
        <v>#VALUE!</v>
      </c>
      <c r="F35" s="5" t="e">
        <f t="shared" si="4"/>
        <v>#VALUE!</v>
      </c>
      <c r="G35" s="5" t="e">
        <f>IF($G$17&lt;F35,"Sim","Não")</f>
        <v>#VALUE!</v>
      </c>
    </row>
    <row r="36" spans="2:7" x14ac:dyDescent="0.3">
      <c r="B36" s="5">
        <v>0.7</v>
      </c>
      <c r="C36" s="5">
        <f t="shared" si="5"/>
        <v>5.0630536466587002E-3</v>
      </c>
      <c r="D36" s="5" t="s">
        <v>62</v>
      </c>
      <c r="E36" s="5" t="e">
        <f t="shared" si="3"/>
        <v>#VALUE!</v>
      </c>
      <c r="F36" s="5" t="e">
        <f t="shared" si="4"/>
        <v>#VALUE!</v>
      </c>
      <c r="G36" s="5" t="e">
        <f>IF($G$17&lt;F36,"Sim","Não")</f>
        <v>#VALUE!</v>
      </c>
    </row>
    <row r="38" spans="2:7" x14ac:dyDescent="0.3">
      <c r="D38" t="s">
        <v>51</v>
      </c>
    </row>
  </sheetData>
  <mergeCells count="5">
    <mergeCell ref="B14:C14"/>
    <mergeCell ref="F14:G14"/>
    <mergeCell ref="J14:K14"/>
    <mergeCell ref="N14:O14"/>
    <mergeCell ref="N16:R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84D-6CB2-4689-94B0-BC292C8ED359}">
  <dimension ref="A2:P40"/>
  <sheetViews>
    <sheetView tabSelected="1" zoomScale="175" zoomScaleNormal="175" workbookViewId="0">
      <selection activeCell="F45" sqref="F45"/>
    </sheetView>
  </sheetViews>
  <sheetFormatPr defaultRowHeight="14.4" x14ac:dyDescent="0.3"/>
  <sheetData>
    <row r="2" spans="1:16" x14ac:dyDescent="0.3">
      <c r="B2" s="2" t="s">
        <v>0</v>
      </c>
      <c r="E2" t="s">
        <v>32</v>
      </c>
      <c r="F2">
        <v>9.81</v>
      </c>
      <c r="G2" t="s">
        <v>33</v>
      </c>
    </row>
    <row r="3" spans="1:16" x14ac:dyDescent="0.3">
      <c r="B3" t="s">
        <v>1</v>
      </c>
      <c r="C3">
        <v>2000</v>
      </c>
      <c r="D3" t="s">
        <v>11</v>
      </c>
    </row>
    <row r="4" spans="1:16" x14ac:dyDescent="0.3">
      <c r="A4" t="s">
        <v>3</v>
      </c>
      <c r="B4" t="s">
        <v>2</v>
      </c>
      <c r="C4">
        <v>500</v>
      </c>
      <c r="D4" t="s">
        <v>12</v>
      </c>
    </row>
    <row r="5" spans="1:16" x14ac:dyDescent="0.3">
      <c r="B5" t="s">
        <v>4</v>
      </c>
      <c r="C5">
        <v>2</v>
      </c>
    </row>
    <row r="6" spans="1:16" x14ac:dyDescent="0.3">
      <c r="B6" t="s">
        <v>5</v>
      </c>
      <c r="C6">
        <v>15</v>
      </c>
      <c r="D6" t="s">
        <v>13</v>
      </c>
    </row>
    <row r="7" spans="1:16" x14ac:dyDescent="0.3">
      <c r="B7" t="s">
        <v>6</v>
      </c>
      <c r="C7">
        <v>8</v>
      </c>
    </row>
    <row r="8" spans="1:16" x14ac:dyDescent="0.3">
      <c r="B8" t="s">
        <v>7</v>
      </c>
      <c r="C8">
        <v>0.8</v>
      </c>
    </row>
    <row r="9" spans="1:16" x14ac:dyDescent="0.3">
      <c r="B9" t="s">
        <v>8</v>
      </c>
      <c r="C9">
        <v>65</v>
      </c>
      <c r="D9" t="s">
        <v>14</v>
      </c>
    </row>
    <row r="10" spans="1:16" x14ac:dyDescent="0.3">
      <c r="B10" t="s">
        <v>9</v>
      </c>
      <c r="C10">
        <v>0.04</v>
      </c>
    </row>
    <row r="11" spans="1:16" x14ac:dyDescent="0.3">
      <c r="B11" t="s">
        <v>10</v>
      </c>
      <c r="C11">
        <v>0.5</v>
      </c>
    </row>
    <row r="12" spans="1:16" x14ac:dyDescent="0.3">
      <c r="A12" t="s">
        <v>80</v>
      </c>
      <c r="B12" t="s">
        <v>28</v>
      </c>
      <c r="C12">
        <v>4</v>
      </c>
    </row>
    <row r="14" spans="1:16" x14ac:dyDescent="0.3">
      <c r="B14" s="6" t="s">
        <v>79</v>
      </c>
      <c r="C14" s="6"/>
      <c r="F14" s="6" t="s">
        <v>78</v>
      </c>
      <c r="G14" s="6"/>
      <c r="I14" s="6" t="s">
        <v>78</v>
      </c>
      <c r="J14" s="6"/>
      <c r="L14" s="6" t="s">
        <v>34</v>
      </c>
      <c r="M14" s="6"/>
    </row>
    <row r="15" spans="1:16" x14ac:dyDescent="0.3">
      <c r="B15" t="s">
        <v>16</v>
      </c>
      <c r="F15" t="s">
        <v>77</v>
      </c>
      <c r="G15">
        <f>1/PI()/C7/C8</f>
        <v>4.973591971621729E-2</v>
      </c>
      <c r="I15" t="s">
        <v>76</v>
      </c>
      <c r="J15">
        <f>G18/C12</f>
        <v>488.1310775759473</v>
      </c>
      <c r="K15" t="s">
        <v>27</v>
      </c>
      <c r="L15" t="s">
        <v>36</v>
      </c>
      <c r="M15">
        <f>SQRT((C11*C18)^2-C9^2)/PI()/2/J18</f>
        <v>13.973806433765567</v>
      </c>
      <c r="N15" t="s">
        <v>37</v>
      </c>
      <c r="O15">
        <f>M15*60</f>
        <v>838.42838602593406</v>
      </c>
      <c r="P15" t="s">
        <v>47</v>
      </c>
    </row>
    <row r="16" spans="1:16" x14ac:dyDescent="0.3">
      <c r="B16" t="s">
        <v>17</v>
      </c>
      <c r="C16">
        <v>1000</v>
      </c>
      <c r="D16" t="s">
        <v>18</v>
      </c>
      <c r="F16" t="s">
        <v>75</v>
      </c>
      <c r="G16">
        <f>C3*F2/0.5/C17/C9^2/C6</f>
        <v>0.55698931095780657</v>
      </c>
    </row>
    <row r="17" spans="2:11" x14ac:dyDescent="0.3">
      <c r="B17" t="s">
        <v>19</v>
      </c>
      <c r="C17">
        <v>1.11164</v>
      </c>
      <c r="D17" t="s">
        <v>20</v>
      </c>
      <c r="F17" t="s">
        <v>74</v>
      </c>
      <c r="G17">
        <f>C10+G15*G16^2</f>
        <v>5.5429927126629669E-2</v>
      </c>
      <c r="I17" s="6" t="s">
        <v>73</v>
      </c>
      <c r="J17" s="6"/>
    </row>
    <row r="18" spans="2:11" x14ac:dyDescent="0.3">
      <c r="B18" t="s">
        <v>21</v>
      </c>
      <c r="C18">
        <v>336.43400000000003</v>
      </c>
      <c r="D18" t="s">
        <v>14</v>
      </c>
      <c r="F18" t="s">
        <v>72</v>
      </c>
      <c r="G18">
        <f>0.5*C17*C9^2*C6*G17</f>
        <v>1952.5243103037892</v>
      </c>
      <c r="H18" t="s">
        <v>27</v>
      </c>
      <c r="I18" t="s">
        <v>31</v>
      </c>
      <c r="J18">
        <v>1.7670999999999999</v>
      </c>
      <c r="K18" t="s">
        <v>18</v>
      </c>
    </row>
    <row r="22" spans="2:11" x14ac:dyDescent="0.3">
      <c r="B22" s="6" t="s">
        <v>71</v>
      </c>
      <c r="C22" s="6"/>
    </row>
    <row r="23" spans="2:11" x14ac:dyDescent="0.3">
      <c r="B23" t="s">
        <v>70</v>
      </c>
      <c r="C23">
        <f>C9/M15/2/J18</f>
        <v>1.3161564335983236</v>
      </c>
    </row>
    <row r="25" spans="2:11" x14ac:dyDescent="0.3">
      <c r="B25" s="6" t="s">
        <v>69</v>
      </c>
      <c r="C25" s="6"/>
    </row>
    <row r="26" spans="2:11" x14ac:dyDescent="0.3">
      <c r="B26" t="s">
        <v>68</v>
      </c>
      <c r="C26">
        <v>0.9</v>
      </c>
    </row>
    <row r="28" spans="2:11" x14ac:dyDescent="0.3">
      <c r="B28" t="s">
        <v>67</v>
      </c>
    </row>
    <row r="29" spans="2:11" x14ac:dyDescent="0.3">
      <c r="B29" t="s">
        <v>42</v>
      </c>
      <c r="C29">
        <v>0.11</v>
      </c>
    </row>
    <row r="30" spans="2:11" x14ac:dyDescent="0.3">
      <c r="B30" t="s">
        <v>42</v>
      </c>
      <c r="C30">
        <v>0.09</v>
      </c>
    </row>
    <row r="37" spans="1:5" x14ac:dyDescent="0.3">
      <c r="B37" s="6" t="s">
        <v>66</v>
      </c>
      <c r="C37" s="6"/>
      <c r="D37" s="6"/>
      <c r="E37" s="6"/>
    </row>
    <row r="38" spans="1:5" x14ac:dyDescent="0.3">
      <c r="B38" t="s">
        <v>65</v>
      </c>
      <c r="C38">
        <f>C30*C17*M15^3*(2*J18)^5</f>
        <v>150524.24479233561</v>
      </c>
      <c r="D38" t="s">
        <v>64</v>
      </c>
    </row>
    <row r="39" spans="1:5" x14ac:dyDescent="0.3">
      <c r="A39" t="s">
        <v>63</v>
      </c>
      <c r="C39">
        <v>1.03</v>
      </c>
    </row>
    <row r="40" spans="1:5" x14ac:dyDescent="0.3">
      <c r="B40" t="s">
        <v>23</v>
      </c>
      <c r="C40">
        <f>C38*C39*0.9/C9</f>
        <v>2146.7073064999249</v>
      </c>
      <c r="D40" t="s">
        <v>27</v>
      </c>
    </row>
  </sheetData>
  <mergeCells count="8">
    <mergeCell ref="I14:J14"/>
    <mergeCell ref="L14:M14"/>
    <mergeCell ref="I17:J17"/>
    <mergeCell ref="B22:C22"/>
    <mergeCell ref="B25:C25"/>
    <mergeCell ref="B37:E37"/>
    <mergeCell ref="B14:C14"/>
    <mergeCell ref="F14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vertical</vt:lpstr>
      <vt:lpstr>cruise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Bento</dc:creator>
  <cp:lastModifiedBy>José Bento</cp:lastModifiedBy>
  <dcterms:created xsi:type="dcterms:W3CDTF">2015-06-05T18:17:20Z</dcterms:created>
  <dcterms:modified xsi:type="dcterms:W3CDTF">2022-05-21T10:02:43Z</dcterms:modified>
</cp:coreProperties>
</file>