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4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https://qubstudentcloud.sharepoint.com/sites/CSC-1031-2231-SPR-MODULE-Group4/Shared Documents/Group 4/"/>
    </mc:Choice>
  </mc:AlternateContent>
  <xr:revisionPtr revIDLastSave="600" documentId="13_ncr:1_{C6E41922-6095-4CBD-B686-3A606638BC1C}" xr6:coauthVersionLast="47" xr6:coauthVersionMax="47" xr10:uidLastSave="{AC02F90A-E331-436A-9781-E6494C4F771E}"/>
  <bookViews>
    <workbookView xWindow="13140" yWindow="3390" windowWidth="38700" windowHeight="15435" tabRatio="620" firstSheet="3" activeTab="3" xr2:uid="{00000000-000D-0000-FFFF-FFFF00000000}"/>
  </bookViews>
  <sheets>
    <sheet name="Sprint" sheetId="7" r:id="rId1"/>
    <sheet name="Analysis" sheetId="8" r:id="rId2"/>
    <sheet name="Capacity" sheetId="6" r:id="rId3"/>
    <sheet name="Team Roster" sheetId="5" r:id="rId4"/>
    <sheet name="Project Specific Reports" sheetId="9" r:id="rId5"/>
  </sheets>
  <definedNames>
    <definedName name="_xlnm._FilterDatabase" localSheetId="0" hidden="1">Sprint!$C$3:$CE$19</definedName>
    <definedName name="Burndown" localSheetId="1">Sprint!$J$4:$CD$20</definedName>
    <definedName name="Burndown">Sprint!$J$4:$CD$20</definedName>
    <definedName name="BurndownColumns" localSheetId="1">Analysis!$E$44</definedName>
    <definedName name="BurndownColumns">Analysis!$E$44</definedName>
    <definedName name="DailyScrumDateModifier" localSheetId="1">Analysis!$E$41</definedName>
    <definedName name="DailyScrumDateModifier">Analysis!$E$41</definedName>
    <definedName name="Deliverable">'Project Specific Reports'!$A$9:$A$12</definedName>
    <definedName name="HoursLeftColumn" localSheetId="1">Analysis!$E$46</definedName>
    <definedName name="HoursLeftColumn">Analysis!$E$46</definedName>
    <definedName name="HoursSpentColumn" localSheetId="1">Analysis!$E$45</definedName>
    <definedName name="HoursSpentColumn">Analysis!$E$45</definedName>
    <definedName name="LastRow">Sprint!#REF!</definedName>
    <definedName name="LeftColumn" localSheetId="1">Analysis!$E$46</definedName>
    <definedName name="LeftColumn">Analysis!$E$46</definedName>
    <definedName name="Members" localSheetId="1">OFFSET('Team Roster'!$D$8,0,0,COUNTA('Team Roster'!$D:$D)-1,1)</definedName>
    <definedName name="Members" localSheetId="0">OFFSET('Team Roster'!$D$8,0,0,COUNTA('Team Roster'!$D:$D)-1,1)</definedName>
    <definedName name="Members">OFFSET('Team Roster'!$D$8,0,0,COUNTA('Team Roster'!$D:$D)-1,1)</definedName>
    <definedName name="_xlnm.Print_Area" localSheetId="2">Capacity!$A$4:$AB$33</definedName>
    <definedName name="SkipWeekends" localSheetId="1">Analysis!$E$40</definedName>
    <definedName name="SkipWeekends">Analysis!$E$40</definedName>
    <definedName name="SpentColumn" localSheetId="1">Analysis!$E$45</definedName>
    <definedName name="SpentColumn">Analysis!$E$45</definedName>
    <definedName name="SprintDates" localSheetId="1">Sprint!$J$1:$CD$1</definedName>
    <definedName name="SprintDates">Sprint!$J$1:$CD$1</definedName>
    <definedName name="SprintStart">Capacity!$E$3</definedName>
    <definedName name="Start_Date">Capacity!$E$3</definedName>
    <definedName name="StatusColumn" localSheetId="1">Analysis!$E$47</definedName>
    <definedName name="StatusColumn">Analysis!$E$47</definedName>
    <definedName name="StatusTypes" localSheetId="1">Analysis!$A$50:$A$50</definedName>
    <definedName name="StatusTypes">Analysis!$A$50:$A$50</definedName>
    <definedName name="TotalEffort" localSheetId="1">Sprint!$CE$4:$CE$20</definedName>
    <definedName name="TotalEffort">Sprint!$CE$4:$CE$20</definedName>
    <definedName name="Worktype">'Project Specific Reports'!$A$2:$A$5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7" l="1"/>
  <c r="L16" i="7"/>
  <c r="N16" i="7"/>
  <c r="O16" i="7"/>
  <c r="Q16" i="7"/>
  <c r="R16" i="7"/>
  <c r="T16" i="7"/>
  <c r="U16" i="7"/>
  <c r="W16" i="7"/>
  <c r="X16" i="7"/>
  <c r="Z16" i="7"/>
  <c r="AA16" i="7"/>
  <c r="AC16" i="7"/>
  <c r="AD16" i="7"/>
  <c r="AF16" i="7"/>
  <c r="AG16" i="7"/>
  <c r="AI16" i="7"/>
  <c r="AJ16" i="7"/>
  <c r="AL16" i="7"/>
  <c r="AM16" i="7"/>
  <c r="AO16" i="7"/>
  <c r="AP16" i="7"/>
  <c r="AR16" i="7"/>
  <c r="AS16" i="7"/>
  <c r="AU16" i="7"/>
  <c r="AV16" i="7"/>
  <c r="AX16" i="7"/>
  <c r="AY16" i="7"/>
  <c r="BA16" i="7"/>
  <c r="BB16" i="7"/>
  <c r="BD16" i="7"/>
  <c r="BE16" i="7"/>
  <c r="BG16" i="7"/>
  <c r="BH16" i="7"/>
  <c r="BJ16" i="7"/>
  <c r="BK16" i="7"/>
  <c r="BM16" i="7"/>
  <c r="BN16" i="7"/>
  <c r="BP16" i="7"/>
  <c r="BQ16" i="7"/>
  <c r="BS16" i="7"/>
  <c r="BT16" i="7"/>
  <c r="BV16" i="7"/>
  <c r="BW16" i="7"/>
  <c r="BY16" i="7"/>
  <c r="BZ16" i="7"/>
  <c r="CB16" i="7"/>
  <c r="CC16" i="7"/>
  <c r="CE16" i="7"/>
  <c r="K17" i="7"/>
  <c r="L17" i="7"/>
  <c r="N17" i="7"/>
  <c r="O17" i="7"/>
  <c r="Q17" i="7"/>
  <c r="R17" i="7"/>
  <c r="T17" i="7"/>
  <c r="U17" i="7"/>
  <c r="W17" i="7"/>
  <c r="X17" i="7"/>
  <c r="Z17" i="7"/>
  <c r="AA17" i="7"/>
  <c r="AC17" i="7"/>
  <c r="AD17" i="7"/>
  <c r="AF17" i="7"/>
  <c r="AG17" i="7"/>
  <c r="AI17" i="7"/>
  <c r="AJ17" i="7"/>
  <c r="AL17" i="7"/>
  <c r="AM17" i="7"/>
  <c r="AO17" i="7"/>
  <c r="AP17" i="7"/>
  <c r="AR17" i="7"/>
  <c r="AS17" i="7"/>
  <c r="AU17" i="7"/>
  <c r="AV17" i="7"/>
  <c r="AX17" i="7"/>
  <c r="AY17" i="7"/>
  <c r="BA17" i="7"/>
  <c r="BB17" i="7"/>
  <c r="BD17" i="7"/>
  <c r="BE17" i="7"/>
  <c r="BG17" i="7"/>
  <c r="BH17" i="7"/>
  <c r="BJ17" i="7"/>
  <c r="BK17" i="7"/>
  <c r="BM17" i="7"/>
  <c r="BN17" i="7"/>
  <c r="BP17" i="7"/>
  <c r="BQ17" i="7"/>
  <c r="BS17" i="7"/>
  <c r="BT17" i="7"/>
  <c r="BV17" i="7"/>
  <c r="BW17" i="7"/>
  <c r="BY17" i="7"/>
  <c r="BZ17" i="7"/>
  <c r="CB17" i="7"/>
  <c r="CC17" i="7"/>
  <c r="CE17" i="7"/>
  <c r="K18" i="7"/>
  <c r="L18" i="7"/>
  <c r="N18" i="7"/>
  <c r="O18" i="7"/>
  <c r="Q18" i="7"/>
  <c r="R18" i="7"/>
  <c r="T18" i="7"/>
  <c r="U18" i="7"/>
  <c r="W18" i="7"/>
  <c r="X18" i="7"/>
  <c r="Z18" i="7"/>
  <c r="AA18" i="7"/>
  <c r="AC18" i="7"/>
  <c r="AD18" i="7"/>
  <c r="AF18" i="7"/>
  <c r="AG18" i="7"/>
  <c r="AI18" i="7"/>
  <c r="AJ18" i="7"/>
  <c r="AL18" i="7"/>
  <c r="AM18" i="7"/>
  <c r="AO18" i="7"/>
  <c r="AP18" i="7"/>
  <c r="AR18" i="7"/>
  <c r="AS18" i="7"/>
  <c r="AU18" i="7"/>
  <c r="AV18" i="7"/>
  <c r="AX18" i="7"/>
  <c r="AY18" i="7"/>
  <c r="BA18" i="7"/>
  <c r="BB18" i="7"/>
  <c r="BD18" i="7"/>
  <c r="BE18" i="7"/>
  <c r="BG18" i="7"/>
  <c r="BH18" i="7"/>
  <c r="BJ18" i="7"/>
  <c r="BK18" i="7"/>
  <c r="BM18" i="7"/>
  <c r="BN18" i="7"/>
  <c r="BP18" i="7"/>
  <c r="BQ18" i="7"/>
  <c r="BS18" i="7"/>
  <c r="BT18" i="7"/>
  <c r="BV18" i="7"/>
  <c r="BW18" i="7"/>
  <c r="BY18" i="7"/>
  <c r="BZ18" i="7"/>
  <c r="CB18" i="7"/>
  <c r="CC18" i="7"/>
  <c r="CE18" i="7"/>
  <c r="K19" i="7"/>
  <c r="L19" i="7"/>
  <c r="N19" i="7"/>
  <c r="O19" i="7"/>
  <c r="Q19" i="7"/>
  <c r="R19" i="7"/>
  <c r="T19" i="7"/>
  <c r="U19" i="7"/>
  <c r="W19" i="7"/>
  <c r="X19" i="7"/>
  <c r="Z19" i="7"/>
  <c r="AA19" i="7"/>
  <c r="AC19" i="7"/>
  <c r="AD19" i="7"/>
  <c r="AF19" i="7"/>
  <c r="AG19" i="7"/>
  <c r="AI19" i="7"/>
  <c r="AJ19" i="7"/>
  <c r="AL19" i="7"/>
  <c r="AM19" i="7"/>
  <c r="AO19" i="7"/>
  <c r="AP19" i="7"/>
  <c r="AR19" i="7"/>
  <c r="AS19" i="7"/>
  <c r="AU19" i="7"/>
  <c r="AV19" i="7"/>
  <c r="AX19" i="7"/>
  <c r="AY19" i="7"/>
  <c r="BA19" i="7"/>
  <c r="BB19" i="7"/>
  <c r="BD19" i="7"/>
  <c r="BE19" i="7"/>
  <c r="BG19" i="7"/>
  <c r="BH19" i="7"/>
  <c r="BJ19" i="7"/>
  <c r="BK19" i="7"/>
  <c r="BM19" i="7"/>
  <c r="BN19" i="7"/>
  <c r="BP19" i="7"/>
  <c r="BQ19" i="7"/>
  <c r="BS19" i="7"/>
  <c r="BT19" i="7"/>
  <c r="BV19" i="7"/>
  <c r="BW19" i="7"/>
  <c r="BY19" i="7"/>
  <c r="BZ19" i="7"/>
  <c r="CB19" i="7"/>
  <c r="CC19" i="7"/>
  <c r="CE19" i="7"/>
  <c r="BA15" i="7"/>
  <c r="BD15" i="7" s="1"/>
  <c r="BG15" i="7" s="1"/>
  <c r="BJ15" i="7" s="1"/>
  <c r="BM15" i="7" s="1"/>
  <c r="BP15" i="7" s="1"/>
  <c r="BS15" i="7" s="1"/>
  <c r="BV15" i="7" s="1"/>
  <c r="BY15" i="7" s="1"/>
  <c r="CB15" i="7" s="1"/>
  <c r="K15" i="7"/>
  <c r="BA14" i="7"/>
  <c r="BD14" i="7" s="1"/>
  <c r="BG14" i="7" s="1"/>
  <c r="BJ14" i="7" s="1"/>
  <c r="BM14" i="7" s="1"/>
  <c r="BP14" i="7" s="1"/>
  <c r="BS14" i="7" s="1"/>
  <c r="BV14" i="7" s="1"/>
  <c r="BY14" i="7" s="1"/>
  <c r="CB14" i="7" s="1"/>
  <c r="BA13" i="7"/>
  <c r="BD13" i="7" s="1"/>
  <c r="BG13" i="7" s="1"/>
  <c r="BJ13" i="7" s="1"/>
  <c r="BM13" i="7" s="1"/>
  <c r="BP13" i="7" s="1"/>
  <c r="BS13" i="7" s="1"/>
  <c r="BV13" i="7" s="1"/>
  <c r="BY13" i="7" s="1"/>
  <c r="CB13" i="7" s="1"/>
  <c r="K13" i="7"/>
  <c r="BA12" i="7"/>
  <c r="BD12" i="7" s="1"/>
  <c r="BG12" i="7" s="1"/>
  <c r="BJ12" i="7" s="1"/>
  <c r="BM12" i="7" s="1"/>
  <c r="BP12" i="7" s="1"/>
  <c r="BS12" i="7" s="1"/>
  <c r="BV12" i="7" s="1"/>
  <c r="BY12" i="7" s="1"/>
  <c r="CB12" i="7" s="1"/>
  <c r="K12" i="7"/>
  <c r="BA11" i="7"/>
  <c r="BD11" i="7" s="1"/>
  <c r="BG11" i="7" s="1"/>
  <c r="BJ11" i="7" s="1"/>
  <c r="BM11" i="7" s="1"/>
  <c r="BP11" i="7" s="1"/>
  <c r="BS11" i="7" s="1"/>
  <c r="BV11" i="7" s="1"/>
  <c r="BY11" i="7" s="1"/>
  <c r="CB11" i="7" s="1"/>
  <c r="K11" i="7"/>
  <c r="BA10" i="7"/>
  <c r="BD10" i="7" s="1"/>
  <c r="BG10" i="7" s="1"/>
  <c r="BJ10" i="7" s="1"/>
  <c r="BM10" i="7" s="1"/>
  <c r="BP10" i="7" s="1"/>
  <c r="BS10" i="7" s="1"/>
  <c r="BV10" i="7" s="1"/>
  <c r="BY10" i="7" s="1"/>
  <c r="CB10" i="7" s="1"/>
  <c r="K10" i="7"/>
  <c r="BA9" i="7"/>
  <c r="BD9" i="7" s="1"/>
  <c r="BG9" i="7" s="1"/>
  <c r="BJ9" i="7" s="1"/>
  <c r="BM9" i="7" s="1"/>
  <c r="BP9" i="7" s="1"/>
  <c r="BS9" i="7" s="1"/>
  <c r="BV9" i="7" s="1"/>
  <c r="BY9" i="7" s="1"/>
  <c r="CB9" i="7" s="1"/>
  <c r="K9" i="7"/>
  <c r="BA8" i="7"/>
  <c r="BD8" i="7" s="1"/>
  <c r="BG8" i="7" s="1"/>
  <c r="BJ8" i="7" s="1"/>
  <c r="BM8" i="7" s="1"/>
  <c r="BP8" i="7" s="1"/>
  <c r="BS8" i="7" s="1"/>
  <c r="BV8" i="7" s="1"/>
  <c r="BY8" i="7" s="1"/>
  <c r="CB8" i="7" s="1"/>
  <c r="BA7" i="7"/>
  <c r="BD7" i="7" s="1"/>
  <c r="BG7" i="7" s="1"/>
  <c r="BJ7" i="7" s="1"/>
  <c r="BM7" i="7" s="1"/>
  <c r="BP7" i="7" s="1"/>
  <c r="BS7" i="7" s="1"/>
  <c r="BV7" i="7" s="1"/>
  <c r="BY7" i="7" s="1"/>
  <c r="CB7" i="7" s="1"/>
  <c r="BA6" i="7"/>
  <c r="BD6" i="7" s="1"/>
  <c r="BG6" i="7" s="1"/>
  <c r="BJ6" i="7" s="1"/>
  <c r="BM6" i="7" s="1"/>
  <c r="BP6" i="7" s="1"/>
  <c r="BS6" i="7" s="1"/>
  <c r="BV6" i="7" s="1"/>
  <c r="BY6" i="7" s="1"/>
  <c r="CB6" i="7" s="1"/>
  <c r="K6" i="7"/>
  <c r="BA5" i="7"/>
  <c r="BD5" i="7" s="1"/>
  <c r="BG5" i="7" s="1"/>
  <c r="BJ5" i="7" s="1"/>
  <c r="BM5" i="7" s="1"/>
  <c r="BP5" i="7" s="1"/>
  <c r="BS5" i="7" s="1"/>
  <c r="BV5" i="7" s="1"/>
  <c r="BY5" i="7" s="1"/>
  <c r="CB5" i="7" s="1"/>
  <c r="K5" i="7"/>
  <c r="BA4" i="7"/>
  <c r="BD4" i="7" s="1"/>
  <c r="BG4" i="7" s="1"/>
  <c r="BJ4" i="7" s="1"/>
  <c r="BM4" i="7" s="1"/>
  <c r="BP4" i="7" s="1"/>
  <c r="BS4" i="7" s="1"/>
  <c r="BV4" i="7" s="1"/>
  <c r="BY4" i="7" s="1"/>
  <c r="CB4" i="7" s="1"/>
  <c r="K4" i="7"/>
  <c r="E2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N4" i="7" l="1"/>
  <c r="Q4" i="7" s="1"/>
  <c r="T4" i="7" s="1"/>
  <c r="W4" i="7" s="1"/>
  <c r="Z4" i="7" s="1"/>
  <c r="AC4" i="7" s="1"/>
  <c r="AF4" i="7" s="1"/>
  <c r="AI4" i="7" s="1"/>
  <c r="AL4" i="7" s="1"/>
  <c r="AO4" i="7" s="1"/>
  <c r="AR4" i="7" s="1"/>
  <c r="AU4" i="7" s="1"/>
  <c r="AX4" i="7" s="1"/>
  <c r="L4" i="7"/>
  <c r="N5" i="7"/>
  <c r="Q5" i="7" s="1"/>
  <c r="T5" i="7" s="1"/>
  <c r="W5" i="7" s="1"/>
  <c r="Z5" i="7" s="1"/>
  <c r="AC5" i="7" s="1"/>
  <c r="AF5" i="7" s="1"/>
  <c r="AI5" i="7" s="1"/>
  <c r="AL5" i="7" s="1"/>
  <c r="AO5" i="7" s="1"/>
  <c r="AR5" i="7" s="1"/>
  <c r="AU5" i="7" s="1"/>
  <c r="AX5" i="7" s="1"/>
  <c r="L5" i="7"/>
  <c r="N6" i="7"/>
  <c r="Q6" i="7" s="1"/>
  <c r="T6" i="7" s="1"/>
  <c r="W6" i="7" s="1"/>
  <c r="Z6" i="7" s="1"/>
  <c r="AC6" i="7" s="1"/>
  <c r="AF6" i="7" s="1"/>
  <c r="AI6" i="7" s="1"/>
  <c r="AL6" i="7" s="1"/>
  <c r="AO6" i="7" s="1"/>
  <c r="AR6" i="7" s="1"/>
  <c r="AU6" i="7" s="1"/>
  <c r="AX6" i="7" s="1"/>
  <c r="L6" i="7"/>
  <c r="N7" i="7"/>
  <c r="Q7" i="7" s="1"/>
  <c r="T7" i="7" s="1"/>
  <c r="W7" i="7" s="1"/>
  <c r="Z7" i="7" s="1"/>
  <c r="AC7" i="7" s="1"/>
  <c r="AF7" i="7" s="1"/>
  <c r="AI7" i="7" s="1"/>
  <c r="AL7" i="7" s="1"/>
  <c r="AO7" i="7" s="1"/>
  <c r="AR7" i="7" s="1"/>
  <c r="AU7" i="7" s="1"/>
  <c r="AX7" i="7" s="1"/>
  <c r="L7" i="7"/>
  <c r="N8" i="7"/>
  <c r="Q8" i="7" s="1"/>
  <c r="T8" i="7" s="1"/>
  <c r="W8" i="7" s="1"/>
  <c r="Z8" i="7" s="1"/>
  <c r="AC8" i="7" s="1"/>
  <c r="AF8" i="7" s="1"/>
  <c r="AI8" i="7" s="1"/>
  <c r="AL8" i="7" s="1"/>
  <c r="AO8" i="7" s="1"/>
  <c r="AR8" i="7" s="1"/>
  <c r="AU8" i="7" s="1"/>
  <c r="AX8" i="7" s="1"/>
  <c r="L8" i="7"/>
  <c r="N9" i="7"/>
  <c r="Q9" i="7" s="1"/>
  <c r="T9" i="7" s="1"/>
  <c r="W9" i="7" s="1"/>
  <c r="Z9" i="7" s="1"/>
  <c r="AC9" i="7" s="1"/>
  <c r="AF9" i="7" s="1"/>
  <c r="AI9" i="7" s="1"/>
  <c r="AL9" i="7" s="1"/>
  <c r="AO9" i="7" s="1"/>
  <c r="AR9" i="7" s="1"/>
  <c r="AU9" i="7" s="1"/>
  <c r="AX9" i="7" s="1"/>
  <c r="L9" i="7"/>
  <c r="N10" i="7"/>
  <c r="Q10" i="7" s="1"/>
  <c r="T10" i="7" s="1"/>
  <c r="W10" i="7" s="1"/>
  <c r="Z10" i="7" s="1"/>
  <c r="AC10" i="7" s="1"/>
  <c r="AF10" i="7" s="1"/>
  <c r="AI10" i="7" s="1"/>
  <c r="AL10" i="7" s="1"/>
  <c r="AO10" i="7" s="1"/>
  <c r="AR10" i="7" s="1"/>
  <c r="AU10" i="7" s="1"/>
  <c r="AX10" i="7" s="1"/>
  <c r="L10" i="7"/>
  <c r="N11" i="7"/>
  <c r="Q11" i="7" s="1"/>
  <c r="T11" i="7" s="1"/>
  <c r="W11" i="7" s="1"/>
  <c r="Z11" i="7" s="1"/>
  <c r="AC11" i="7" s="1"/>
  <c r="AF11" i="7" s="1"/>
  <c r="AI11" i="7" s="1"/>
  <c r="AL11" i="7" s="1"/>
  <c r="AO11" i="7" s="1"/>
  <c r="AR11" i="7" s="1"/>
  <c r="AU11" i="7" s="1"/>
  <c r="AX11" i="7" s="1"/>
  <c r="L11" i="7"/>
  <c r="N12" i="7"/>
  <c r="Q12" i="7" s="1"/>
  <c r="T12" i="7" s="1"/>
  <c r="W12" i="7" s="1"/>
  <c r="Z12" i="7" s="1"/>
  <c r="AC12" i="7" s="1"/>
  <c r="AF12" i="7" s="1"/>
  <c r="AI12" i="7" s="1"/>
  <c r="AL12" i="7" s="1"/>
  <c r="AO12" i="7" s="1"/>
  <c r="AR12" i="7" s="1"/>
  <c r="AU12" i="7" s="1"/>
  <c r="AX12" i="7" s="1"/>
  <c r="L12" i="7"/>
  <c r="N13" i="7"/>
  <c r="Q13" i="7" s="1"/>
  <c r="T13" i="7" s="1"/>
  <c r="W13" i="7" s="1"/>
  <c r="Z13" i="7" s="1"/>
  <c r="AC13" i="7" s="1"/>
  <c r="AF13" i="7" s="1"/>
  <c r="AI13" i="7" s="1"/>
  <c r="AL13" i="7" s="1"/>
  <c r="AO13" i="7" s="1"/>
  <c r="AR13" i="7" s="1"/>
  <c r="AU13" i="7" s="1"/>
  <c r="AX13" i="7" s="1"/>
  <c r="L13" i="7"/>
  <c r="Q14" i="7"/>
  <c r="T14" i="7" s="1"/>
  <c r="W14" i="7" s="1"/>
  <c r="Z14" i="7" s="1"/>
  <c r="AC14" i="7" s="1"/>
  <c r="AF14" i="7" s="1"/>
  <c r="AI14" i="7" s="1"/>
  <c r="AL14" i="7" s="1"/>
  <c r="AO14" i="7" s="1"/>
  <c r="AR14" i="7" s="1"/>
  <c r="AU14" i="7" s="1"/>
  <c r="AX14" i="7" s="1"/>
  <c r="L14" i="7"/>
  <c r="N15" i="7"/>
  <c r="Q15" i="7" s="1"/>
  <c r="T15" i="7" s="1"/>
  <c r="W15" i="7" s="1"/>
  <c r="Z15" i="7" s="1"/>
  <c r="AC15" i="7" s="1"/>
  <c r="AF15" i="7" s="1"/>
  <c r="AI15" i="7" s="1"/>
  <c r="AL15" i="7" s="1"/>
  <c r="AO15" i="7" s="1"/>
  <c r="AR15" i="7" s="1"/>
  <c r="AU15" i="7" s="1"/>
  <c r="AX15" i="7" s="1"/>
  <c r="L15" i="7"/>
  <c r="O15" i="7" l="1"/>
  <c r="O14" i="7"/>
  <c r="O13" i="7"/>
  <c r="O12" i="7"/>
  <c r="O11" i="7"/>
  <c r="O10" i="7"/>
  <c r="O9" i="7"/>
  <c r="O8" i="7"/>
  <c r="O7" i="7"/>
  <c r="O6" i="7"/>
  <c r="O5" i="7"/>
  <c r="O4" i="7"/>
  <c r="G11" i="6"/>
  <c r="G10" i="6"/>
  <c r="G9" i="6"/>
  <c r="G12" i="6"/>
  <c r="R4" i="7" l="1"/>
  <c r="R5" i="7"/>
  <c r="R6" i="7"/>
  <c r="R7" i="7"/>
  <c r="R8" i="7"/>
  <c r="R9" i="7"/>
  <c r="R10" i="7"/>
  <c r="R11" i="7"/>
  <c r="R12" i="7"/>
  <c r="R13" i="7"/>
  <c r="R14" i="7"/>
  <c r="R15" i="7"/>
  <c r="U15" i="7" l="1"/>
  <c r="U14" i="7"/>
  <c r="U13" i="7"/>
  <c r="U12" i="7"/>
  <c r="U11" i="7"/>
  <c r="U10" i="7"/>
  <c r="U9" i="7"/>
  <c r="U8" i="7"/>
  <c r="U7" i="7"/>
  <c r="U6" i="7"/>
  <c r="U5" i="7"/>
  <c r="U4" i="7"/>
  <c r="X4" i="7" l="1"/>
  <c r="X5" i="7"/>
  <c r="X6" i="7"/>
  <c r="X7" i="7"/>
  <c r="X8" i="7"/>
  <c r="X9" i="7"/>
  <c r="X10" i="7"/>
  <c r="X11" i="7"/>
  <c r="X12" i="7"/>
  <c r="X13" i="7"/>
  <c r="X14" i="7"/>
  <c r="X15" i="7"/>
  <c r="AA15" i="7" l="1"/>
  <c r="AA14" i="7"/>
  <c r="AA13" i="7"/>
  <c r="AA12" i="7"/>
  <c r="AA11" i="7"/>
  <c r="AA10" i="7"/>
  <c r="AA9" i="7"/>
  <c r="AA8" i="7"/>
  <c r="AA7" i="7"/>
  <c r="AA6" i="7"/>
  <c r="AA5" i="7"/>
  <c r="AA4" i="7"/>
  <c r="AD4" i="7" l="1"/>
  <c r="AD5" i="7"/>
  <c r="AD6" i="7"/>
  <c r="AD7" i="7"/>
  <c r="AD8" i="7"/>
  <c r="AD9" i="7"/>
  <c r="AD10" i="7"/>
  <c r="AD11" i="7"/>
  <c r="AD12" i="7"/>
  <c r="AD13" i="7"/>
  <c r="AD14" i="7"/>
  <c r="AD15" i="7"/>
  <c r="AG15" i="7" l="1"/>
  <c r="AG14" i="7"/>
  <c r="AG13" i="7"/>
  <c r="AG12" i="7"/>
  <c r="AG11" i="7"/>
  <c r="AG10" i="7"/>
  <c r="AG9" i="7"/>
  <c r="AG8" i="7"/>
  <c r="AG7" i="7"/>
  <c r="AG6" i="7"/>
  <c r="AG5" i="7"/>
  <c r="AG4" i="7"/>
  <c r="AJ4" i="7" l="1"/>
  <c r="AJ5" i="7"/>
  <c r="AJ6" i="7"/>
  <c r="AJ7" i="7"/>
  <c r="AJ8" i="7"/>
  <c r="AJ9" i="7"/>
  <c r="AJ10" i="7"/>
  <c r="AJ11" i="7"/>
  <c r="AJ12" i="7"/>
  <c r="AJ13" i="7"/>
  <c r="AJ14" i="7"/>
  <c r="AJ15" i="7"/>
  <c r="AM15" i="7" l="1"/>
  <c r="AM14" i="7"/>
  <c r="AM13" i="7"/>
  <c r="AM12" i="7"/>
  <c r="AM11" i="7"/>
  <c r="AM10" i="7"/>
  <c r="AM9" i="7"/>
  <c r="AM8" i="7"/>
  <c r="AM7" i="7"/>
  <c r="AM6" i="7"/>
  <c r="AM5" i="7"/>
  <c r="AM4" i="7"/>
  <c r="B12" i="9"/>
  <c r="B11" i="9"/>
  <c r="B10" i="9"/>
  <c r="B9" i="9"/>
  <c r="B2" i="9"/>
  <c r="B5" i="9"/>
  <c r="B4" i="9"/>
  <c r="B3" i="9"/>
  <c r="AP4" i="7" l="1"/>
  <c r="AP5" i="7"/>
  <c r="AP6" i="7"/>
  <c r="AP7" i="7"/>
  <c r="AP8" i="7"/>
  <c r="AP9" i="7"/>
  <c r="AP10" i="7"/>
  <c r="AP11" i="7"/>
  <c r="AP12" i="7"/>
  <c r="AP13" i="7"/>
  <c r="AP14" i="7"/>
  <c r="AP15" i="7"/>
  <c r="B13" i="9"/>
  <c r="B6" i="9"/>
  <c r="G1" i="7"/>
  <c r="D2" i="6"/>
  <c r="D3" i="6"/>
  <c r="I6" i="6" s="1"/>
  <c r="J1" i="7"/>
  <c r="M1" i="7" s="1"/>
  <c r="O21" i="7"/>
  <c r="R21" i="7" s="1"/>
  <c r="U21" i="7" s="1"/>
  <c r="X21" i="7" s="1"/>
  <c r="AA21" i="7" s="1"/>
  <c r="AD21" i="7" s="1"/>
  <c r="AG21" i="7" s="1"/>
  <c r="AJ21" i="7" s="1"/>
  <c r="AM21" i="7" s="1"/>
  <c r="AP21" i="7" s="1"/>
  <c r="AS21" i="7" s="1"/>
  <c r="AV21" i="7" s="1"/>
  <c r="AY21" i="7" s="1"/>
  <c r="Y25" i="7"/>
  <c r="AB25" i="7"/>
  <c r="AE25" i="7"/>
  <c r="AH25" i="7"/>
  <c r="AK25" i="7"/>
  <c r="AN25" i="7"/>
  <c r="AQ25" i="7"/>
  <c r="AT25" i="7"/>
  <c r="AW25" i="7"/>
  <c r="J25" i="7"/>
  <c r="A19" i="8"/>
  <c r="CE20" i="7"/>
  <c r="I25" i="7"/>
  <c r="M25" i="7"/>
  <c r="P25" i="7"/>
  <c r="S25" i="7"/>
  <c r="V25" i="7"/>
  <c r="AZ25" i="7"/>
  <c r="BC25" i="7"/>
  <c r="BF25" i="7"/>
  <c r="BI25" i="7"/>
  <c r="BL25" i="7"/>
  <c r="BO25" i="7"/>
  <c r="BR25" i="7"/>
  <c r="BU25" i="7"/>
  <c r="BX25" i="7"/>
  <c r="CA25" i="7"/>
  <c r="BB21" i="7"/>
  <c r="BE21" i="7" s="1"/>
  <c r="BH21" i="7" s="1"/>
  <c r="BK21" i="7" s="1"/>
  <c r="BN21" i="7" s="1"/>
  <c r="BQ21" i="7" s="1"/>
  <c r="BT21" i="7" s="1"/>
  <c r="BW21" i="7" s="1"/>
  <c r="BZ21" i="7" s="1"/>
  <c r="CC21" i="7" s="1"/>
  <c r="AZ1" i="7"/>
  <c r="BC1" i="7" s="1"/>
  <c r="BF1" i="7" s="1"/>
  <c r="BI1" i="7" s="1"/>
  <c r="BL1" i="7" s="1"/>
  <c r="BO1" i="7" s="1"/>
  <c r="BR1" i="7" s="1"/>
  <c r="BU1" i="7" s="1"/>
  <c r="BX1" i="7" s="1"/>
  <c r="CA1" i="7" s="1"/>
  <c r="AS15" i="7" l="1"/>
  <c r="AS14" i="7"/>
  <c r="AS13" i="7"/>
  <c r="AS12" i="7"/>
  <c r="AS11" i="7"/>
  <c r="AS10" i="7"/>
  <c r="AS9" i="7"/>
  <c r="AS8" i="7"/>
  <c r="AS7" i="7"/>
  <c r="AS6" i="7"/>
  <c r="AS5" i="7"/>
  <c r="AS4" i="7"/>
  <c r="C12" i="9"/>
  <c r="C11" i="9"/>
  <c r="C10" i="9"/>
  <c r="C9" i="9"/>
  <c r="BA25" i="7"/>
  <c r="BD25" i="7"/>
  <c r="G8" i="6"/>
  <c r="BG25" i="7"/>
  <c r="K25" i="7"/>
  <c r="P6" i="6"/>
  <c r="I25" i="6"/>
  <c r="I22" i="6"/>
  <c r="I21" i="6"/>
  <c r="I19" i="6"/>
  <c r="I17" i="6"/>
  <c r="I16" i="6"/>
  <c r="I9" i="6"/>
  <c r="I10" i="6"/>
  <c r="I12" i="6"/>
  <c r="I15" i="6"/>
  <c r="J6" i="6"/>
  <c r="I23" i="6"/>
  <c r="I24" i="6"/>
  <c r="I20" i="6"/>
  <c r="I8" i="6"/>
  <c r="I18" i="6"/>
  <c r="I13" i="6"/>
  <c r="I11" i="6"/>
  <c r="I14" i="6"/>
  <c r="E20" i="8"/>
  <c r="E36" i="8" s="1"/>
  <c r="P1" i="7"/>
  <c r="F20" i="8"/>
  <c r="F23" i="8" s="1"/>
  <c r="C8" i="6"/>
  <c r="AV4" i="7" l="1"/>
  <c r="AV5" i="7"/>
  <c r="AV6" i="7"/>
  <c r="AV7" i="7"/>
  <c r="AV8" i="7"/>
  <c r="AV9" i="7"/>
  <c r="AV10" i="7"/>
  <c r="AV11" i="7"/>
  <c r="AV12" i="7"/>
  <c r="AV13" i="7"/>
  <c r="AV14" i="7"/>
  <c r="AV15" i="7"/>
  <c r="C13" i="9"/>
  <c r="N25" i="7"/>
  <c r="BJ25" i="7"/>
  <c r="E24" i="8"/>
  <c r="E22" i="8"/>
  <c r="E31" i="8"/>
  <c r="E37" i="8"/>
  <c r="E35" i="8"/>
  <c r="P22" i="6"/>
  <c r="P24" i="6"/>
  <c r="P20" i="6"/>
  <c r="P14" i="6"/>
  <c r="P12" i="6"/>
  <c r="P15" i="6"/>
  <c r="P9" i="6"/>
  <c r="P18" i="6"/>
  <c r="Q6" i="6"/>
  <c r="P25" i="6"/>
  <c r="P21" i="6"/>
  <c r="P23" i="6"/>
  <c r="P19" i="6"/>
  <c r="P10" i="6"/>
  <c r="P11" i="6"/>
  <c r="P8" i="6"/>
  <c r="P16" i="6"/>
  <c r="P13" i="6"/>
  <c r="P17" i="6"/>
  <c r="J13" i="6"/>
  <c r="J15" i="6"/>
  <c r="J10" i="6"/>
  <c r="J11" i="6"/>
  <c r="J18" i="6"/>
  <c r="J23" i="6"/>
  <c r="J22" i="6"/>
  <c r="J24" i="6"/>
  <c r="J19" i="6"/>
  <c r="J16" i="6"/>
  <c r="J17" i="6"/>
  <c r="J14" i="6"/>
  <c r="J12" i="6"/>
  <c r="J8" i="6"/>
  <c r="J9" i="6"/>
  <c r="K6" i="6"/>
  <c r="J25" i="6"/>
  <c r="J21" i="6"/>
  <c r="J20" i="6"/>
  <c r="S1" i="7"/>
  <c r="G20" i="8"/>
  <c r="F22" i="8"/>
  <c r="AY15" i="7" l="1"/>
  <c r="AY14" i="7"/>
  <c r="AY13" i="7"/>
  <c r="AY12" i="7"/>
  <c r="AY11" i="7"/>
  <c r="AY10" i="7"/>
  <c r="AY9" i="7"/>
  <c r="AY8" i="7"/>
  <c r="AY7" i="7"/>
  <c r="AY6" i="7"/>
  <c r="AY5" i="7"/>
  <c r="AY4" i="7"/>
  <c r="F36" i="8"/>
  <c r="Q25" i="7"/>
  <c r="F31" i="8"/>
  <c r="W25" i="7"/>
  <c r="T25" i="7"/>
  <c r="F37" i="8"/>
  <c r="F35" i="8"/>
  <c r="F24" i="8"/>
  <c r="F27" i="8" s="1"/>
  <c r="F28" i="8" s="1"/>
  <c r="BM25" i="7"/>
  <c r="Z25" i="7"/>
  <c r="Q18" i="6"/>
  <c r="R6" i="6"/>
  <c r="Q25" i="6"/>
  <c r="Q22" i="6"/>
  <c r="Q21" i="6"/>
  <c r="Q19" i="6"/>
  <c r="Q9" i="6"/>
  <c r="Q12" i="6"/>
  <c r="Q15" i="6"/>
  <c r="Q10" i="6"/>
  <c r="Q17" i="6"/>
  <c r="Q23" i="6"/>
  <c r="Q24" i="6"/>
  <c r="Q20" i="6"/>
  <c r="Q8" i="6"/>
  <c r="Q13" i="6"/>
  <c r="Q11" i="6"/>
  <c r="Q14" i="6"/>
  <c r="Q16" i="6"/>
  <c r="K8" i="6"/>
  <c r="K16" i="6"/>
  <c r="K15" i="6"/>
  <c r="K9" i="6"/>
  <c r="K12" i="6"/>
  <c r="K25" i="6"/>
  <c r="K20" i="6"/>
  <c r="K23" i="6"/>
  <c r="K19" i="6"/>
  <c r="K17" i="6"/>
  <c r="K18" i="6"/>
  <c r="K11" i="6"/>
  <c r="K13" i="6"/>
  <c r="K14" i="6"/>
  <c r="K10" i="6"/>
  <c r="K24" i="6"/>
  <c r="K22" i="6"/>
  <c r="L6" i="6"/>
  <c r="K21" i="6"/>
  <c r="V1" i="7"/>
  <c r="H20" i="8"/>
  <c r="G22" i="8"/>
  <c r="G23" i="8"/>
  <c r="G24" i="8" s="1"/>
  <c r="E25" i="8"/>
  <c r="E27" i="8"/>
  <c r="E28" i="8" s="1"/>
  <c r="CE4" i="7" l="1"/>
  <c r="CC4" i="7"/>
  <c r="BZ4" i="7"/>
  <c r="BW4" i="7"/>
  <c r="BT4" i="7"/>
  <c r="BQ4" i="7"/>
  <c r="BN4" i="7"/>
  <c r="BK4" i="7"/>
  <c r="BH4" i="7"/>
  <c r="BE4" i="7"/>
  <c r="BB4" i="7"/>
  <c r="CE5" i="7"/>
  <c r="CC5" i="7"/>
  <c r="BZ5" i="7"/>
  <c r="BW5" i="7"/>
  <c r="BT5" i="7"/>
  <c r="BQ5" i="7"/>
  <c r="BN5" i="7"/>
  <c r="BK5" i="7"/>
  <c r="BH5" i="7"/>
  <c r="BE5" i="7"/>
  <c r="BB5" i="7"/>
  <c r="CE6" i="7"/>
  <c r="CC6" i="7"/>
  <c r="BZ6" i="7"/>
  <c r="BW6" i="7"/>
  <c r="BT6" i="7"/>
  <c r="BQ6" i="7"/>
  <c r="BN6" i="7"/>
  <c r="BK6" i="7"/>
  <c r="BH6" i="7"/>
  <c r="BE6" i="7"/>
  <c r="BB6" i="7"/>
  <c r="CE7" i="7"/>
  <c r="CC7" i="7"/>
  <c r="BZ7" i="7"/>
  <c r="BW7" i="7"/>
  <c r="BT7" i="7"/>
  <c r="BQ7" i="7"/>
  <c r="BN7" i="7"/>
  <c r="BK7" i="7"/>
  <c r="BH7" i="7"/>
  <c r="BE7" i="7"/>
  <c r="BB7" i="7"/>
  <c r="CE8" i="7"/>
  <c r="CC8" i="7"/>
  <c r="BZ8" i="7"/>
  <c r="BW8" i="7"/>
  <c r="BT8" i="7"/>
  <c r="BQ8" i="7"/>
  <c r="BN8" i="7"/>
  <c r="BK8" i="7"/>
  <c r="BH8" i="7"/>
  <c r="BE8" i="7"/>
  <c r="BB8" i="7"/>
  <c r="CE9" i="7"/>
  <c r="CC9" i="7"/>
  <c r="BZ9" i="7"/>
  <c r="BW9" i="7"/>
  <c r="BT9" i="7"/>
  <c r="BQ9" i="7"/>
  <c r="BN9" i="7"/>
  <c r="BK9" i="7"/>
  <c r="BH9" i="7"/>
  <c r="BE9" i="7"/>
  <c r="BB9" i="7"/>
  <c r="CE10" i="7"/>
  <c r="CC10" i="7"/>
  <c r="BZ10" i="7"/>
  <c r="BW10" i="7"/>
  <c r="BT10" i="7"/>
  <c r="BQ10" i="7"/>
  <c r="BN10" i="7"/>
  <c r="BK10" i="7"/>
  <c r="BH10" i="7"/>
  <c r="BE10" i="7"/>
  <c r="BB10" i="7"/>
  <c r="CE11" i="7"/>
  <c r="CC11" i="7"/>
  <c r="BZ11" i="7"/>
  <c r="BW11" i="7"/>
  <c r="BT11" i="7"/>
  <c r="BQ11" i="7"/>
  <c r="BN11" i="7"/>
  <c r="BK11" i="7"/>
  <c r="BH11" i="7"/>
  <c r="BE11" i="7"/>
  <c r="BB11" i="7"/>
  <c r="CE12" i="7"/>
  <c r="CC12" i="7"/>
  <c r="BZ12" i="7"/>
  <c r="BW12" i="7"/>
  <c r="BT12" i="7"/>
  <c r="BQ12" i="7"/>
  <c r="BN12" i="7"/>
  <c r="BK12" i="7"/>
  <c r="BH12" i="7"/>
  <c r="BE12" i="7"/>
  <c r="BB12" i="7"/>
  <c r="CE13" i="7"/>
  <c r="CC13" i="7"/>
  <c r="BZ13" i="7"/>
  <c r="BW13" i="7"/>
  <c r="BT13" i="7"/>
  <c r="BQ13" i="7"/>
  <c r="BN13" i="7"/>
  <c r="BK13" i="7"/>
  <c r="BH13" i="7"/>
  <c r="BE13" i="7"/>
  <c r="BB13" i="7"/>
  <c r="CE14" i="7"/>
  <c r="CC14" i="7"/>
  <c r="BZ14" i="7"/>
  <c r="BW14" i="7"/>
  <c r="BT14" i="7"/>
  <c r="BQ14" i="7"/>
  <c r="BN14" i="7"/>
  <c r="BK14" i="7"/>
  <c r="BH14" i="7"/>
  <c r="BE14" i="7"/>
  <c r="BB14" i="7"/>
  <c r="CE15" i="7"/>
  <c r="CC15" i="7"/>
  <c r="BZ15" i="7"/>
  <c r="BW15" i="7"/>
  <c r="BT15" i="7"/>
  <c r="BQ15" i="7"/>
  <c r="BN15" i="7"/>
  <c r="BK15" i="7"/>
  <c r="BH15" i="7"/>
  <c r="BE15" i="7"/>
  <c r="BB15" i="7"/>
  <c r="F25" i="8"/>
  <c r="G36" i="8"/>
  <c r="G37" i="8"/>
  <c r="G35" i="8"/>
  <c r="G31" i="8"/>
  <c r="BP25" i="7"/>
  <c r="G25" i="8"/>
  <c r="AC25" i="7"/>
  <c r="R22" i="6"/>
  <c r="R24" i="6"/>
  <c r="R20" i="6"/>
  <c r="R15" i="6"/>
  <c r="R10" i="6"/>
  <c r="R13" i="6"/>
  <c r="R12" i="6"/>
  <c r="R18" i="6"/>
  <c r="S6" i="6"/>
  <c r="R25" i="6"/>
  <c r="R21" i="6"/>
  <c r="R23" i="6"/>
  <c r="R19" i="6"/>
  <c r="R11" i="6"/>
  <c r="R16" i="6"/>
  <c r="R17" i="6"/>
  <c r="R9" i="6"/>
  <c r="R14" i="6"/>
  <c r="R8" i="6"/>
  <c r="L18" i="6"/>
  <c r="L16" i="6"/>
  <c r="L12" i="6"/>
  <c r="L13" i="6"/>
  <c r="L11" i="6"/>
  <c r="L9" i="6"/>
  <c r="M6" i="6"/>
  <c r="L22" i="6"/>
  <c r="L24" i="6"/>
  <c r="L20" i="6"/>
  <c r="L8" i="6"/>
  <c r="L15" i="6"/>
  <c r="L14" i="6"/>
  <c r="L10" i="6"/>
  <c r="L17" i="6"/>
  <c r="L25" i="6"/>
  <c r="L21" i="6"/>
  <c r="L23" i="6"/>
  <c r="L19" i="6"/>
  <c r="Y1" i="7"/>
  <c r="I20" i="8"/>
  <c r="G27" i="8"/>
  <c r="G28" i="8" s="1"/>
  <c r="H23" i="8"/>
  <c r="H24" i="8" s="1"/>
  <c r="H27" i="8" s="1"/>
  <c r="H22" i="8"/>
  <c r="H25" i="8" l="1"/>
  <c r="H37" i="8"/>
  <c r="H36" i="8"/>
  <c r="H31" i="8"/>
  <c r="H35" i="8"/>
  <c r="H28" i="8"/>
  <c r="BS25" i="7"/>
  <c r="AF25" i="7"/>
  <c r="M18" i="6"/>
  <c r="M17" i="6"/>
  <c r="M8" i="6"/>
  <c r="M11" i="6"/>
  <c r="M9" i="6"/>
  <c r="M24" i="6"/>
  <c r="M25" i="6"/>
  <c r="M23" i="6"/>
  <c r="N6" i="6"/>
  <c r="O6" i="6" s="1"/>
  <c r="M10" i="6"/>
  <c r="M14" i="6"/>
  <c r="M15" i="6"/>
  <c r="M13" i="6"/>
  <c r="M12" i="6"/>
  <c r="M16" i="6"/>
  <c r="M21" i="6"/>
  <c r="M20" i="6"/>
  <c r="M22" i="6"/>
  <c r="M19" i="6"/>
  <c r="S18" i="6"/>
  <c r="T6" i="6"/>
  <c r="S25" i="6"/>
  <c r="S24" i="6"/>
  <c r="S21" i="6"/>
  <c r="S19" i="6"/>
  <c r="S10" i="6"/>
  <c r="S8" i="6"/>
  <c r="S17" i="6"/>
  <c r="S13" i="6"/>
  <c r="S15" i="6"/>
  <c r="S16" i="6"/>
  <c r="S22" i="6"/>
  <c r="S23" i="6"/>
  <c r="S20" i="6"/>
  <c r="S9" i="6"/>
  <c r="S12" i="6"/>
  <c r="S11" i="6"/>
  <c r="S14" i="6"/>
  <c r="AB1" i="7"/>
  <c r="J20" i="8"/>
  <c r="I37" i="8"/>
  <c r="I23" i="8"/>
  <c r="I24" i="8" s="1"/>
  <c r="I27" i="8" s="1"/>
  <c r="I22" i="8"/>
  <c r="I31" i="8"/>
  <c r="I35" i="8" l="1"/>
  <c r="I36" i="8"/>
  <c r="I28" i="8"/>
  <c r="J36" i="8"/>
  <c r="BV25" i="7"/>
  <c r="AI25" i="7"/>
  <c r="T23" i="6"/>
  <c r="W23" i="6" s="1"/>
  <c r="T21" i="6"/>
  <c r="W21" i="6" s="1"/>
  <c r="T20" i="6"/>
  <c r="W20" i="6" s="1"/>
  <c r="U6" i="6"/>
  <c r="V6" i="6" s="1"/>
  <c r="T16" i="6"/>
  <c r="W16" i="6" s="1"/>
  <c r="T11" i="6"/>
  <c r="T8" i="6"/>
  <c r="T13" i="6"/>
  <c r="W13" i="6" s="1"/>
  <c r="T17" i="6"/>
  <c r="W17" i="6" s="1"/>
  <c r="T18" i="6"/>
  <c r="W18" i="6" s="1"/>
  <c r="T25" i="6"/>
  <c r="W25" i="6" s="1"/>
  <c r="T22" i="6"/>
  <c r="W22" i="6" s="1"/>
  <c r="T24" i="6"/>
  <c r="W24" i="6" s="1"/>
  <c r="T19" i="6"/>
  <c r="W19" i="6" s="1"/>
  <c r="T14" i="6"/>
  <c r="W14" i="6" s="1"/>
  <c r="T12" i="6"/>
  <c r="T15" i="6"/>
  <c r="W15" i="6" s="1"/>
  <c r="T9" i="6"/>
  <c r="AE1" i="7"/>
  <c r="K20" i="8"/>
  <c r="J22" i="8"/>
  <c r="J31" i="8"/>
  <c r="J23" i="8"/>
  <c r="J24" i="8" s="1"/>
  <c r="J35" i="8"/>
  <c r="I25" i="8"/>
  <c r="J37" i="8" l="1"/>
  <c r="CB25" i="7"/>
  <c r="BY25" i="7"/>
  <c r="J27" i="8"/>
  <c r="J28" i="8" s="1"/>
  <c r="J25" i="8"/>
  <c r="AL25" i="7"/>
  <c r="C9" i="6"/>
  <c r="C10" i="6" s="1"/>
  <c r="AH1" i="7"/>
  <c r="L20" i="8"/>
  <c r="K22" i="8"/>
  <c r="K23" i="8"/>
  <c r="K24" i="8" s="1"/>
  <c r="K36" i="8" l="1"/>
  <c r="K35" i="8"/>
  <c r="K37" i="8"/>
  <c r="K31" i="8"/>
  <c r="AO25" i="7"/>
  <c r="K27" i="8"/>
  <c r="K28" i="8" s="1"/>
  <c r="K25" i="8"/>
  <c r="AK1" i="7"/>
  <c r="M20" i="8"/>
  <c r="L22" i="8"/>
  <c r="L31" i="8"/>
  <c r="L37" i="8"/>
  <c r="L35" i="8"/>
  <c r="L23" i="8"/>
  <c r="L24" i="8" s="1"/>
  <c r="L27" i="8" s="1"/>
  <c r="L28" i="8" s="1"/>
  <c r="L36" i="8"/>
  <c r="AR25" i="7" l="1"/>
  <c r="L25" i="8"/>
  <c r="N20" i="8"/>
  <c r="AN1" i="7"/>
  <c r="M23" i="8"/>
  <c r="M24" i="8" s="1"/>
  <c r="M27" i="8" s="1"/>
  <c r="M37" i="8"/>
  <c r="M31" i="8"/>
  <c r="M22" i="8"/>
  <c r="M35" i="8"/>
  <c r="M36" i="8"/>
  <c r="M28" i="8" l="1"/>
  <c r="AU25" i="7"/>
  <c r="N31" i="8"/>
  <c r="N35" i="8"/>
  <c r="N23" i="8"/>
  <c r="N24" i="8" s="1"/>
  <c r="N27" i="8" s="1"/>
  <c r="N37" i="8"/>
  <c r="N36" i="8"/>
  <c r="N22" i="8"/>
  <c r="M25" i="8"/>
  <c r="AQ1" i="7"/>
  <c r="O20" i="8"/>
  <c r="B18" i="9" l="1"/>
  <c r="B17" i="9"/>
  <c r="B19" i="9"/>
  <c r="B20" i="9"/>
  <c r="B16" i="9"/>
  <c r="N28" i="8"/>
  <c r="AX25" i="7"/>
  <c r="AT1" i="7"/>
  <c r="P20" i="8"/>
  <c r="O23" i="8"/>
  <c r="O24" i="8" s="1"/>
  <c r="O27" i="8" s="1"/>
  <c r="O31" i="8"/>
  <c r="O36" i="8"/>
  <c r="O22" i="8"/>
  <c r="O37" i="8"/>
  <c r="O35" i="8"/>
  <c r="N25" i="8"/>
  <c r="B21" i="9" l="1"/>
  <c r="C16" i="9" s="1"/>
  <c r="O28" i="8"/>
  <c r="O25" i="8"/>
  <c r="O33" i="8"/>
  <c r="O32" i="8" s="1"/>
  <c r="AW1" i="7"/>
  <c r="R20" i="8" s="1"/>
  <c r="Q20" i="8"/>
  <c r="P22" i="8"/>
  <c r="P37" i="8"/>
  <c r="P31" i="8"/>
  <c r="P23" i="8"/>
  <c r="P24" i="8" s="1"/>
  <c r="P27" i="8" s="1"/>
  <c r="P36" i="8"/>
  <c r="P35" i="8"/>
  <c r="P33" i="8"/>
  <c r="C17" i="9" l="1"/>
  <c r="C18" i="9"/>
  <c r="C20" i="9"/>
  <c r="C19" i="9"/>
  <c r="P28" i="8"/>
  <c r="O29" i="8"/>
  <c r="I33" i="8"/>
  <c r="I29" i="8" s="1"/>
  <c r="J33" i="8"/>
  <c r="K33" i="8"/>
  <c r="M33" i="8"/>
  <c r="N33" i="8"/>
  <c r="L33" i="8"/>
  <c r="G33" i="8"/>
  <c r="G32" i="8" s="1"/>
  <c r="H33" i="8"/>
  <c r="E33" i="8"/>
  <c r="F33" i="8"/>
  <c r="BB25" i="7"/>
  <c r="R23" i="8"/>
  <c r="R31" i="8"/>
  <c r="R35" i="8"/>
  <c r="R33" i="8"/>
  <c r="R22" i="8"/>
  <c r="R37" i="8"/>
  <c r="R36" i="8"/>
  <c r="P25" i="8"/>
  <c r="P29" i="8" s="1"/>
  <c r="Q23" i="8"/>
  <c r="Q35" i="8"/>
  <c r="Q36" i="8"/>
  <c r="Q22" i="8"/>
  <c r="Q31" i="8"/>
  <c r="Q37" i="8"/>
  <c r="Q33" i="8"/>
  <c r="P32" i="8"/>
  <c r="R24" i="8" l="1"/>
  <c r="I32" i="8"/>
  <c r="C21" i="9"/>
  <c r="N32" i="8"/>
  <c r="N29" i="8"/>
  <c r="K32" i="8"/>
  <c r="K29" i="8"/>
  <c r="L32" i="8"/>
  <c r="L29" i="8"/>
  <c r="M32" i="8"/>
  <c r="M29" i="8"/>
  <c r="J32" i="8"/>
  <c r="J29" i="8"/>
  <c r="G29" i="8"/>
  <c r="H29" i="8"/>
  <c r="H32" i="8"/>
  <c r="E29" i="8"/>
  <c r="E32" i="8"/>
  <c r="F29" i="8"/>
  <c r="F32" i="8"/>
  <c r="Q24" i="8"/>
  <c r="BE25" i="7"/>
  <c r="R25" i="8"/>
  <c r="R29" i="8" s="1"/>
  <c r="R27" i="8"/>
  <c r="R28" i="8" s="1"/>
  <c r="R32" i="8"/>
  <c r="Q27" i="8" l="1"/>
  <c r="Q28" i="8" s="1"/>
  <c r="Q25" i="8"/>
  <c r="Q29" i="8" s="1"/>
  <c r="Q32" i="8"/>
  <c r="BH25" i="7"/>
  <c r="BK25" i="7" l="1"/>
  <c r="BN25" i="7" l="1"/>
  <c r="BQ25" i="7" l="1"/>
  <c r="BT25" i="7" l="1"/>
  <c r="BW25" i="7" l="1"/>
  <c r="BZ25" i="7" l="1"/>
  <c r="CC25" i="7"/>
  <c r="C5" i="9"/>
  <c r="C4" i="9"/>
  <c r="C3" i="9"/>
  <c r="C2" i="9"/>
  <c r="C6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tc={04DF1D69-2C0D-4778-8C27-FF0632AA4089}</author>
  </authors>
  <commentList>
    <comment ref="AQ19" authorId="0" shapeId="0" xr:uid="{04DF1D69-2C0D-4778-8C27-FF0632AA4089}">
      <text>
        <t>[Threaded comment]
Your version of Excel allows you to read this threaded comment; however, any edits to it will get removed if the file is opened in a newer version of Excel. Learn more: https://go.microsoft.com/fwlink/?linkid=870924
Comment:
    Sadly peter's work bugged and had to be reverted; so he had to restart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Mitch Lacey</author>
    <author>James Waletzky</author>
  </authors>
  <commentList>
    <comment ref="I2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Mitch Lacey:</t>
        </r>
        <r>
          <rPr>
            <sz val="9"/>
            <color indexed="81"/>
            <rFont val="Tahoma"/>
            <family val="2"/>
          </rPr>
          <t xml:space="preserve">
Rocky in class this day</t>
        </r>
      </text>
    </comment>
    <comment ref="E41" authorId="1" shapeId="0" xr:uid="{00000000-0006-0000-0100-000002000000}">
      <text>
        <r>
          <rPr>
            <sz val="8"/>
            <color indexed="81"/>
            <rFont val="Tahoma"/>
            <family val="2"/>
          </rPr>
          <t>Negative number to go back from today's date; positive number to go forward from today's date.</t>
        </r>
      </text>
    </comment>
  </commentList>
</comments>
</file>

<file path=xl/sharedStrings.xml><?xml version="1.0" encoding="utf-8"?>
<sst xmlns="http://schemas.openxmlformats.org/spreadsheetml/2006/main" count="315" uniqueCount="151">
  <si>
    <t>Start Date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</si>
  <si>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</si>
  <si>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</si>
  <si>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</si>
  <si>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</si>
  <si>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</si>
  <si>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</si>
  <si>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</si>
  <si>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</si>
  <si>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</si>
  <si>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</si>
  <si>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</si>
  <si>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</si>
  <si>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</si>
  <si>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</si>
  <si>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</si>
  <si>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</si>
  <si>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</si>
  <si>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</si>
  <si>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</si>
  <si>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</si>
  <si>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</si>
  <si>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</si>
  <si>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</si>
  <si>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</si>
  <si>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Worktype</t>
  </si>
  <si>
    <t>Deliverable Area</t>
  </si>
  <si>
    <t>Product Backlog Item or Group</t>
  </si>
  <si>
    <t>Work item
ID</t>
  </si>
  <si>
    <t>Sprint Work item Description</t>
  </si>
  <si>
    <t>Driver</t>
  </si>
  <si>
    <t>Status</t>
  </si>
  <si>
    <t>Pri</t>
  </si>
  <si>
    <t>Initial</t>
  </si>
  <si>
    <t>Spent</t>
  </si>
  <si>
    <t>Left</t>
  </si>
  <si>
    <t>Total Effort</t>
  </si>
  <si>
    <t>Story / Feature</t>
  </si>
  <si>
    <t>Coding</t>
  </si>
  <si>
    <t>Product Backlog</t>
  </si>
  <si>
    <t>user story 1 - plot owner logged in (sprint 1)</t>
  </si>
  <si>
    <t>agreeran01@qub.ac.uk</t>
  </si>
  <si>
    <t>complete</t>
  </si>
  <si>
    <t>user story 2 - admin passwords (sprint 1)</t>
  </si>
  <si>
    <t>phepden01@qub.ac.uk</t>
  </si>
  <si>
    <t>user story 3 - selecting veg to plant (sprint 1)</t>
  </si>
  <si>
    <t>user story 4 - view details on the growth of the crop(sprint 1)</t>
  </si>
  <si>
    <t>scameronleckey02@qub.ac.uk</t>
  </si>
  <si>
    <t>user story 5 - view details on the crops' water level (sprint 1)</t>
  </si>
  <si>
    <t>user story 6 - track when crops are watered (sprint 1)</t>
  </si>
  <si>
    <t>hdennis02@qub.ac.uk</t>
  </si>
  <si>
    <t>user story 8 - admin overview of plots (sprint 1)</t>
  </si>
  <si>
    <t>user story 9 - view user details (sprint 1)</t>
  </si>
  <si>
    <t>Precondition / Debt</t>
  </si>
  <si>
    <t>coding the plot owner class</t>
  </si>
  <si>
    <t>coding the admin class</t>
  </si>
  <si>
    <t>lmccall09@qub.ac.uk</t>
  </si>
  <si>
    <t>Complete</t>
  </si>
  <si>
    <t>coding tbe crop class</t>
  </si>
  <si>
    <t>organise file structiure and method to add and remove</t>
  </si>
  <si>
    <t>coding plot class</t>
  </si>
  <si>
    <t>organising classes for file access and finishing touches</t>
  </si>
  <si>
    <t>writing tests for classes</t>
  </si>
  <si>
    <t>Pending</t>
  </si>
  <si>
    <t>Day</t>
  </si>
  <si>
    <t>Time Spent Mask</t>
  </si>
  <si>
    <t>Time Left Mask</t>
  </si>
  <si>
    <t>Status Mask</t>
  </si>
  <si>
    <t>56A</t>
  </si>
  <si>
    <t>Totals</t>
  </si>
  <si>
    <t>Date</t>
  </si>
  <si>
    <t>Total Hours Remaining</t>
  </si>
  <si>
    <t>Hours Worked Today</t>
  </si>
  <si>
    <t>Total Hours Worked To Date</t>
  </si>
  <si>
    <t>Total Worked &amp; Remaining Hours</t>
  </si>
  <si>
    <t>Average Hours Worked Per Day</t>
  </si>
  <si>
    <t>Estimated Completion Date (Burndown)</t>
  </si>
  <si>
    <t>Estimated Completion Date (Task Completion)</t>
  </si>
  <si>
    <t>Task Hours Pending</t>
  </si>
  <si>
    <t>Task Hours In Progress</t>
  </si>
  <si>
    <t>Task Hours Complete</t>
  </si>
  <si>
    <t>Count of Workitems Pending</t>
  </si>
  <si>
    <t>Count of Workitems In Progress</t>
  </si>
  <si>
    <t>Count of Workitems Complete</t>
  </si>
  <si>
    <t>Workbook Settings</t>
  </si>
  <si>
    <t>Comments</t>
  </si>
  <si>
    <t>SkipWeekends</t>
  </si>
  <si>
    <t xml:space="preserve">(0=30 calendar days; 1=30 working days). Set to 1 to have dates skip over weekends (30 working day sprint, &gt;30 calendar day sprint). Do not switch after Sprint has started or data will be stored under wrong days </t>
  </si>
  <si>
    <t>DailyScrumDateModifier</t>
  </si>
  <si>
    <t>Number of days added to or subtracted from today's date to ensure the highlighted date column in the sprint worksheet corresponds to the day of the current daily Scrum meeting</t>
  </si>
  <si>
    <t>Workbook-Wide Constants</t>
  </si>
  <si>
    <t>BurndownColumns</t>
  </si>
  <si>
    <t>HoursSpentColumn</t>
  </si>
  <si>
    <t>HoursLeftColumn</t>
  </si>
  <si>
    <t>StatusColumn</t>
  </si>
  <si>
    <t>Current Date</t>
  </si>
  <si>
    <t>Sprint Start Date</t>
  </si>
  <si>
    <t>Sprint Tracking Statistics</t>
  </si>
  <si>
    <t>Productive Hours =</t>
  </si>
  <si>
    <t>Sprint Days =</t>
  </si>
  <si>
    <t>Scrum Team</t>
  </si>
  <si>
    <t>%age of time on Project</t>
  </si>
  <si>
    <t>Assigned Hours</t>
  </si>
  <si>
    <t>M</t>
  </si>
  <si>
    <t>T</t>
  </si>
  <si>
    <t>W</t>
  </si>
  <si>
    <t>F</t>
  </si>
  <si>
    <t>S</t>
  </si>
  <si>
    <t>Available Hours</t>
  </si>
  <si>
    <t>Total Remaining Hours:</t>
  </si>
  <si>
    <t>Total Capacity in Hours:</t>
  </si>
  <si>
    <t>Variance in Hours:</t>
  </si>
  <si>
    <t>v</t>
  </si>
  <si>
    <t>=</t>
  </si>
  <si>
    <t>Vacation &amp; Public Holiday</t>
  </si>
  <si>
    <t>h</t>
  </si>
  <si>
    <t>OOF (Sick, Biz Travel etc.)</t>
  </si>
  <si>
    <t>Sprint Vision:</t>
  </si>
  <si>
    <t>To make the foundation of our community gardening centre</t>
  </si>
  <si>
    <t>Sprint Team</t>
  </si>
  <si>
    <t>Name</t>
  </si>
  <si>
    <t>Alias</t>
  </si>
  <si>
    <t>Primary Phone</t>
  </si>
  <si>
    <t>Mobile Phone</t>
  </si>
  <si>
    <t>Alternate Email</t>
  </si>
  <si>
    <t>Instant Messaging</t>
  </si>
  <si>
    <t>.</t>
  </si>
  <si>
    <t>Simon Leckey</t>
  </si>
  <si>
    <t>Phone</t>
  </si>
  <si>
    <t>simonleckey@outlook.com</t>
  </si>
  <si>
    <t>IM Information</t>
  </si>
  <si>
    <t>Adam Greeran</t>
  </si>
  <si>
    <t>a.greeran11@gmail.com</t>
  </si>
  <si>
    <t>Hannah Dennis</t>
  </si>
  <si>
    <t>Hannahaedennis@gmail.com</t>
  </si>
  <si>
    <t>Peter Hepden</t>
  </si>
  <si>
    <t>Peterhepden@outlook.com</t>
  </si>
  <si>
    <t>Luke Mccall</t>
  </si>
  <si>
    <t>luke.mccall03@gmail.com</t>
  </si>
  <si>
    <t>Work Type Breakdown</t>
  </si>
  <si>
    <t>Tax</t>
  </si>
  <si>
    <t>Spike</t>
  </si>
  <si>
    <t>Total</t>
  </si>
  <si>
    <t>Functional Breakdown</t>
  </si>
  <si>
    <t>Documentation</t>
  </si>
  <si>
    <t>Testing</t>
  </si>
  <si>
    <t>Project Mgt</t>
  </si>
  <si>
    <t>Work Item Status</t>
  </si>
  <si>
    <t>In Progress</t>
  </si>
  <si>
    <t>Postponed</t>
  </si>
  <si>
    <t>Cancelled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</si>
</sst>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409]d\-mmm\-yy;@"/>
    <numFmt numFmtId="165" formatCode="0.0"/>
    <numFmt numFmtId="166" formatCode="0_);[Red]\(0\)"/>
    <numFmt numFmtId="167" formatCode="dd"/>
    <numFmt numFmtId="168" formatCode="ddd"/>
    <numFmt numFmtId="169" formatCode="[$-F800]dddd\,\ mmmm\ dd\,\ yyyy"/>
  </numFmts>
  <fonts count="50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8"/>
      <name val="Tahoma"/>
      <family val="2"/>
    </font>
    <font>
      <sz val="8"/>
      <color indexed="9"/>
      <name val="Tahoma"/>
      <family val="2"/>
    </font>
    <font>
      <u/>
      <sz val="10"/>
      <color indexed="15"/>
      <name val="Tahoma"/>
      <family val="2"/>
    </font>
    <font>
      <sz val="6"/>
      <color indexed="9"/>
      <name val="Tahoma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sz val="6"/>
      <name val="Tahoma"/>
      <family val="2"/>
    </font>
    <font>
      <sz val="8"/>
      <color indexed="22"/>
      <name val="Tahoma"/>
      <family val="2"/>
    </font>
    <font>
      <b/>
      <sz val="8"/>
      <color indexed="9"/>
      <name val="Tahoma"/>
      <family val="2"/>
    </font>
    <font>
      <sz val="8"/>
      <color indexed="23"/>
      <name val="Tahoma"/>
      <family val="2"/>
    </font>
    <font>
      <b/>
      <sz val="8"/>
      <color indexed="23"/>
      <name val="Tahoma"/>
      <family val="2"/>
    </font>
    <font>
      <sz val="10"/>
      <color indexed="9"/>
      <name val="Tahoma"/>
      <family val="2"/>
    </font>
    <font>
      <b/>
      <sz val="8"/>
      <name val="Tahoma"/>
      <family val="2"/>
    </font>
    <font>
      <sz val="10"/>
      <color indexed="8"/>
      <name val="Tahoma"/>
      <family val="2"/>
    </font>
    <font>
      <b/>
      <sz val="12"/>
      <color indexed="9"/>
      <name val="Tahoma"/>
      <family val="2"/>
    </font>
    <font>
      <b/>
      <sz val="10"/>
      <name val="Tahoma"/>
      <family val="2"/>
    </font>
    <font>
      <sz val="10"/>
      <color indexed="22"/>
      <name val="Tahoma"/>
      <family val="2"/>
    </font>
    <font>
      <sz val="6"/>
      <color indexed="22"/>
      <name val="Tahoma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indexed="9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  <font>
      <u/>
      <sz val="8"/>
      <color indexed="12"/>
      <name val="Arial"/>
      <family val="2"/>
    </font>
    <font>
      <sz val="8"/>
      <color rgb="FF000000"/>
      <name val="Tahoma"/>
      <charset val="1"/>
    </font>
    <font>
      <sz val="8"/>
      <name val="Arial"/>
    </font>
    <font>
      <sz val="8"/>
      <name val="Tahoma"/>
    </font>
  </fonts>
  <fills count="31">
    <fill>
      <patternFill patternType="none"/>
    </fill>
    <fill>
      <patternFill patternType="gray125"/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45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solid">
        <fgColor indexed="8"/>
      </patternFill>
    </fill>
    <fill>
      <patternFill patternType="solid">
        <fgColor indexed="9"/>
      </patternFill>
    </fill>
    <fill>
      <patternFill patternType="solid">
        <fgColor indexed="9"/>
        <bgColor indexed="22"/>
      </patternFill>
    </fill>
    <fill>
      <patternFill patternType="solid">
        <fgColor indexed="8"/>
        <bgColor indexed="22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22"/>
      </patternFill>
    </fill>
    <fill>
      <patternFill patternType="lightGray">
        <fgColor indexed="9"/>
        <bgColor indexed="22"/>
      </patternFill>
    </fill>
    <fill>
      <patternFill patternType="lightGray">
        <fgColor indexed="9"/>
        <bgColor indexed="9"/>
      </patternFill>
    </fill>
    <fill>
      <patternFill patternType="solid">
        <fgColor indexed="44"/>
      </patternFill>
    </fill>
    <fill>
      <patternFill patternType="solid">
        <fgColor indexed="43"/>
      </patternFill>
    </fill>
  </fills>
  <borders count="6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12"/>
      </left>
      <right style="thin">
        <color indexed="23"/>
      </right>
      <top style="thick">
        <color indexed="12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ck">
        <color indexed="12"/>
      </top>
      <bottom style="double">
        <color indexed="8"/>
      </bottom>
      <diagonal/>
    </border>
    <border>
      <left/>
      <right style="thin">
        <color indexed="23"/>
      </right>
      <top style="thick">
        <color indexed="12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ck">
        <color indexed="12"/>
      </top>
      <bottom style="double">
        <color indexed="64"/>
      </bottom>
      <diagonal/>
    </border>
    <border>
      <left/>
      <right style="thick">
        <color indexed="12"/>
      </right>
      <top style="thick">
        <color indexed="12"/>
      </top>
      <bottom style="double">
        <color indexed="64"/>
      </bottom>
      <diagonal/>
    </border>
    <border>
      <left style="thick">
        <color indexed="12"/>
      </left>
      <right style="thin">
        <color indexed="23"/>
      </right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2"/>
      </left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ck">
        <color indexed="12"/>
      </left>
      <right style="thin">
        <color indexed="23"/>
      </right>
      <top/>
      <bottom style="thick">
        <color indexed="12"/>
      </bottom>
      <diagonal/>
    </border>
    <border>
      <left/>
      <right style="thin">
        <color indexed="23"/>
      </right>
      <top/>
      <bottom style="thick">
        <color indexed="12"/>
      </bottom>
      <diagonal/>
    </border>
    <border>
      <left style="thin">
        <color indexed="23"/>
      </left>
      <right style="thin">
        <color indexed="23"/>
      </right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6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8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5" fillId="7" borderId="0" applyNumberFormat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2" borderId="0" applyNumberFormat="0" applyBorder="0" applyAlignment="0" applyProtection="0"/>
    <xf numFmtId="0" fontId="6" fillId="6" borderId="0" applyNumberFormat="0" applyBorder="0" applyAlignment="0" applyProtection="0"/>
    <xf numFmtId="0" fontId="6" fillId="13" borderId="0" applyNumberFormat="0" applyBorder="0" applyAlignment="0" applyProtection="0"/>
    <xf numFmtId="0" fontId="5" fillId="13" borderId="0" applyNumberFormat="0" applyBorder="0" applyAlignment="0" applyProtection="0"/>
    <xf numFmtId="0" fontId="7" fillId="14" borderId="0" applyNumberFormat="0" applyBorder="0" applyAlignment="0" applyProtection="0"/>
    <xf numFmtId="0" fontId="8" fillId="15" borderId="1" applyNumberFormat="0" applyAlignment="0" applyProtection="0"/>
    <xf numFmtId="0" fontId="9" fillId="8" borderId="2" applyNumberFormat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1" fillId="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5" fillId="13" borderId="1" applyNumberFormat="0" applyAlignment="0" applyProtection="0"/>
    <xf numFmtId="0" fontId="16" fillId="0" borderId="6" applyNumberFormat="0" applyFill="0" applyAlignment="0" applyProtection="0"/>
    <xf numFmtId="0" fontId="17" fillId="19" borderId="0" applyNumberFormat="0" applyBorder="0" applyAlignment="0" applyProtection="0"/>
    <xf numFmtId="0" fontId="4" fillId="6" borderId="7" applyNumberFormat="0" applyFont="0" applyAlignment="0" applyProtection="0"/>
    <xf numFmtId="0" fontId="18" fillId="15" borderId="8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6" fillId="0" borderId="0"/>
  </cellStyleXfs>
  <cellXfs count="199">
    <xf numFmtId="0" fontId="0" fillId="0" borderId="0" xfId="0"/>
    <xf numFmtId="0" fontId="22" fillId="20" borderId="0" xfId="0" applyFont="1" applyFill="1"/>
    <xf numFmtId="0" fontId="23" fillId="20" borderId="0" xfId="36" applyFont="1" applyFill="1" applyAlignment="1" applyProtection="1"/>
    <xf numFmtId="0" fontId="24" fillId="20" borderId="0" xfId="0" applyFont="1" applyFill="1" applyAlignment="1">
      <alignment horizontal="right"/>
    </xf>
    <xf numFmtId="164" fontId="24" fillId="20" borderId="0" xfId="0" applyNumberFormat="1" applyFont="1" applyFill="1"/>
    <xf numFmtId="164" fontId="25" fillId="20" borderId="0" xfId="0" applyNumberFormat="1" applyFont="1" applyFill="1" applyAlignment="1">
      <alignment horizontal="center" vertical="center"/>
    </xf>
    <xf numFmtId="0" fontId="25" fillId="0" borderId="0" xfId="0" applyFont="1"/>
    <xf numFmtId="0" fontId="26" fillId="20" borderId="0" xfId="36" applyFont="1" applyFill="1" applyAlignment="1" applyProtection="1"/>
    <xf numFmtId="0" fontId="24" fillId="20" borderId="0" xfId="0" applyFont="1" applyFill="1"/>
    <xf numFmtId="164" fontId="27" fillId="20" borderId="0" xfId="0" applyNumberFormat="1" applyFont="1" applyFill="1"/>
    <xf numFmtId="164" fontId="22" fillId="20" borderId="0" xfId="0" applyNumberFormat="1" applyFont="1" applyFill="1" applyAlignment="1">
      <alignment horizontal="center" vertical="center"/>
    </xf>
    <xf numFmtId="0" fontId="22" fillId="20" borderId="0" xfId="0" applyFont="1" applyFill="1" applyAlignment="1">
      <alignment horizontal="left" wrapText="1"/>
    </xf>
    <xf numFmtId="0" fontId="22" fillId="20" borderId="0" xfId="0" applyFont="1" applyFill="1" applyAlignment="1">
      <alignment vertical="top" textRotation="180"/>
    </xf>
    <xf numFmtId="49" fontId="22" fillId="20" borderId="0" xfId="0" applyNumberFormat="1" applyFont="1" applyFill="1" applyAlignment="1">
      <alignment horizontal="left" vertical="top" textRotation="180"/>
    </xf>
    <xf numFmtId="0" fontId="22" fillId="20" borderId="0" xfId="0" applyFont="1" applyFill="1" applyAlignment="1">
      <alignment horizontal="left" vertical="top" textRotation="180"/>
    </xf>
    <xf numFmtId="49" fontId="22" fillId="20" borderId="0" xfId="0" applyNumberFormat="1" applyFont="1" applyFill="1" applyAlignment="1">
      <alignment vertical="top" textRotation="180" wrapText="1"/>
    </xf>
    <xf numFmtId="49" fontId="21" fillId="0" borderId="10" xfId="0" applyNumberFormat="1" applyFont="1" applyBorder="1" applyAlignment="1">
      <alignment horizontal="left" indent="1"/>
    </xf>
    <xf numFmtId="0" fontId="21" fillId="0" borderId="11" xfId="0" applyFont="1" applyBorder="1" applyAlignment="1">
      <alignment horizontal="left" indent="1"/>
    </xf>
    <xf numFmtId="0" fontId="21" fillId="21" borderId="12" xfId="0" applyFont="1" applyFill="1" applyBorder="1" applyAlignment="1">
      <alignment horizontal="center"/>
    </xf>
    <xf numFmtId="49" fontId="24" fillId="0" borderId="0" xfId="0" applyNumberFormat="1" applyFont="1"/>
    <xf numFmtId="165" fontId="21" fillId="0" borderId="0" xfId="0" applyNumberFormat="1" applyFont="1"/>
    <xf numFmtId="1" fontId="21" fillId="0" borderId="13" xfId="0" applyNumberFormat="1" applyFont="1" applyBorder="1"/>
    <xf numFmtId="0" fontId="21" fillId="22" borderId="0" xfId="0" applyFont="1" applyFill="1"/>
    <xf numFmtId="49" fontId="22" fillId="0" borderId="0" xfId="0" applyNumberFormat="1" applyFont="1" applyAlignment="1">
      <alignment shrinkToFit="1"/>
    </xf>
    <xf numFmtId="0" fontId="28" fillId="23" borderId="0" xfId="0" applyFont="1" applyFill="1"/>
    <xf numFmtId="1" fontId="29" fillId="20" borderId="0" xfId="0" applyNumberFormat="1" applyFont="1" applyFill="1"/>
    <xf numFmtId="0" fontId="21" fillId="20" borderId="0" xfId="0" applyFont="1" applyFill="1"/>
    <xf numFmtId="0" fontId="21" fillId="23" borderId="0" xfId="0" applyFont="1" applyFill="1"/>
    <xf numFmtId="1" fontId="22" fillId="20" borderId="0" xfId="0" applyNumberFormat="1" applyFont="1" applyFill="1"/>
    <xf numFmtId="0" fontId="22" fillId="23" borderId="0" xfId="0" applyFont="1" applyFill="1" applyAlignment="1">
      <alignment horizontal="left"/>
    </xf>
    <xf numFmtId="9" fontId="21" fillId="20" borderId="0" xfId="0" applyNumberFormat="1" applyFont="1" applyFill="1"/>
    <xf numFmtId="0" fontId="30" fillId="20" borderId="0" xfId="0" applyFont="1" applyFill="1"/>
    <xf numFmtId="9" fontId="22" fillId="20" borderId="0" xfId="0" applyNumberFormat="1" applyFont="1" applyFill="1"/>
    <xf numFmtId="0" fontId="31" fillId="20" borderId="0" xfId="0" applyFont="1" applyFill="1"/>
    <xf numFmtId="0" fontId="30" fillId="23" borderId="0" xfId="0" applyFont="1" applyFill="1"/>
    <xf numFmtId="14" fontId="30" fillId="20" borderId="0" xfId="0" applyNumberFormat="1" applyFont="1" applyFill="1"/>
    <xf numFmtId="1" fontId="21" fillId="20" borderId="0" xfId="0" applyNumberFormat="1" applyFont="1" applyFill="1"/>
    <xf numFmtId="0" fontId="32" fillId="20" borderId="0" xfId="0" applyFont="1" applyFill="1"/>
    <xf numFmtId="0" fontId="25" fillId="21" borderId="0" xfId="0" applyFont="1" applyFill="1"/>
    <xf numFmtId="0" fontId="21" fillId="21" borderId="0" xfId="0" applyFont="1" applyFill="1"/>
    <xf numFmtId="0" fontId="33" fillId="21" borderId="14" xfId="0" applyFont="1" applyFill="1" applyBorder="1"/>
    <xf numFmtId="0" fontId="21" fillId="21" borderId="15" xfId="0" applyFont="1" applyFill="1" applyBorder="1"/>
    <xf numFmtId="0" fontId="25" fillId="21" borderId="15" xfId="0" applyFont="1" applyFill="1" applyBorder="1"/>
    <xf numFmtId="169" fontId="25" fillId="24" borderId="16" xfId="0" applyNumberFormat="1" applyFont="1" applyFill="1" applyBorder="1"/>
    <xf numFmtId="0" fontId="33" fillId="21" borderId="17" xfId="0" applyFont="1" applyFill="1" applyBorder="1"/>
    <xf numFmtId="0" fontId="21" fillId="21" borderId="18" xfId="0" applyFont="1" applyFill="1" applyBorder="1"/>
    <xf numFmtId="169" fontId="25" fillId="21" borderId="18" xfId="0" applyNumberFormat="1" applyFont="1" applyFill="1" applyBorder="1"/>
    <xf numFmtId="169" fontId="25" fillId="21" borderId="19" xfId="0" applyNumberFormat="1" applyFont="1" applyFill="1" applyBorder="1"/>
    <xf numFmtId="14" fontId="25" fillId="21" borderId="0" xfId="0" applyNumberFormat="1" applyFont="1" applyFill="1"/>
    <xf numFmtId="0" fontId="34" fillId="21" borderId="0" xfId="0" applyFont="1" applyFill="1" applyAlignment="1">
      <alignment horizontal="center"/>
    </xf>
    <xf numFmtId="0" fontId="35" fillId="21" borderId="20" xfId="0" applyFont="1" applyFill="1" applyBorder="1" applyAlignment="1">
      <alignment horizontal="center"/>
    </xf>
    <xf numFmtId="0" fontId="25" fillId="21" borderId="21" xfId="0" applyFont="1" applyFill="1" applyBorder="1"/>
    <xf numFmtId="0" fontId="32" fillId="21" borderId="21" xfId="0" applyFont="1" applyFill="1" applyBorder="1"/>
    <xf numFmtId="0" fontId="32" fillId="21" borderId="20" xfId="0" applyFont="1" applyFill="1" applyBorder="1"/>
    <xf numFmtId="0" fontId="32" fillId="21" borderId="22" xfId="0" applyFont="1" applyFill="1" applyBorder="1"/>
    <xf numFmtId="49" fontId="36" fillId="21" borderId="23" xfId="0" applyNumberFormat="1" applyFont="1" applyFill="1" applyBorder="1" applyAlignment="1">
      <alignment horizontal="left" vertical="top" wrapText="1"/>
    </xf>
    <xf numFmtId="0" fontId="25" fillId="21" borderId="0" xfId="0" applyFont="1" applyFill="1" applyAlignment="1">
      <alignment horizontal="center" vertical="top" wrapText="1"/>
    </xf>
    <xf numFmtId="0" fontId="21" fillId="21" borderId="0" xfId="0" applyFont="1" applyFill="1" applyAlignment="1">
      <alignment vertical="top" wrapText="1"/>
    </xf>
    <xf numFmtId="0" fontId="36" fillId="21" borderId="0" xfId="0" applyFont="1" applyFill="1" applyAlignment="1">
      <alignment wrapText="1"/>
    </xf>
    <xf numFmtId="0" fontId="25" fillId="21" borderId="0" xfId="0" applyFont="1" applyFill="1" applyAlignment="1">
      <alignment wrapText="1"/>
    </xf>
    <xf numFmtId="165" fontId="36" fillId="21" borderId="24" xfId="0" applyNumberFormat="1" applyFont="1" applyFill="1" applyBorder="1" applyAlignment="1">
      <alignment horizontal="center" wrapText="1"/>
    </xf>
    <xf numFmtId="16" fontId="25" fillId="0" borderId="25" xfId="0" applyNumberFormat="1" applyFont="1" applyBorder="1" applyAlignment="1">
      <alignment horizontal="center"/>
    </xf>
    <xf numFmtId="167" fontId="25" fillId="25" borderId="26" xfId="0" applyNumberFormat="1" applyFont="1" applyFill="1" applyBorder="1" applyAlignment="1">
      <alignment horizontal="center"/>
    </xf>
    <xf numFmtId="167" fontId="25" fillId="26" borderId="26" xfId="0" applyNumberFormat="1" applyFont="1" applyFill="1" applyBorder="1" applyAlignment="1">
      <alignment horizontal="center"/>
    </xf>
    <xf numFmtId="16" fontId="25" fillId="25" borderId="25" xfId="0" applyNumberFormat="1" applyFont="1" applyFill="1" applyBorder="1" applyAlignment="1">
      <alignment horizontal="center"/>
    </xf>
    <xf numFmtId="49" fontId="25" fillId="21" borderId="23" xfId="0" applyNumberFormat="1" applyFont="1" applyFill="1" applyBorder="1" applyAlignment="1">
      <alignment horizontal="left" vertical="top" wrapText="1"/>
    </xf>
    <xf numFmtId="0" fontId="25" fillId="21" borderId="0" xfId="0" applyFont="1" applyFill="1" applyAlignment="1">
      <alignment vertical="top" wrapText="1"/>
    </xf>
    <xf numFmtId="0" fontId="33" fillId="21" borderId="0" xfId="0" applyFont="1" applyFill="1" applyAlignment="1">
      <alignment horizontal="center" wrapText="1"/>
    </xf>
    <xf numFmtId="0" fontId="33" fillId="21" borderId="24" xfId="0" applyFont="1" applyFill="1" applyBorder="1" applyAlignment="1">
      <alignment horizontal="center" wrapText="1"/>
    </xf>
    <xf numFmtId="0" fontId="25" fillId="0" borderId="27" xfId="0" applyFont="1" applyBorder="1" applyAlignment="1">
      <alignment horizontal="center"/>
    </xf>
    <xf numFmtId="0" fontId="25" fillId="0" borderId="28" xfId="0" applyFont="1" applyBorder="1" applyAlignment="1">
      <alignment horizontal="center"/>
    </xf>
    <xf numFmtId="0" fontId="25" fillId="26" borderId="28" xfId="0" applyFont="1" applyFill="1" applyBorder="1" applyAlignment="1">
      <alignment horizontal="center"/>
    </xf>
    <xf numFmtId="0" fontId="25" fillId="26" borderId="29" xfId="0" applyFont="1" applyFill="1" applyBorder="1" applyAlignment="1">
      <alignment horizontal="center"/>
    </xf>
    <xf numFmtId="49" fontId="36" fillId="21" borderId="30" xfId="0" applyNumberFormat="1" applyFont="1" applyFill="1" applyBorder="1" applyAlignment="1">
      <alignment horizontal="left" vertical="top" wrapText="1"/>
    </xf>
    <xf numFmtId="166" fontId="25" fillId="21" borderId="11" xfId="0" applyNumberFormat="1" applyFont="1" applyFill="1" applyBorder="1" applyAlignment="1">
      <alignment horizontal="center" vertical="top" wrapText="1"/>
    </xf>
    <xf numFmtId="1" fontId="21" fillId="21" borderId="0" xfId="0" applyNumberFormat="1" applyFont="1" applyFill="1" applyAlignment="1">
      <alignment horizontal="left" vertical="top" wrapText="1"/>
    </xf>
    <xf numFmtId="9" fontId="25" fillId="21" borderId="31" xfId="0" applyNumberFormat="1" applyFont="1" applyFill="1" applyBorder="1" applyAlignment="1">
      <alignment horizontal="center"/>
    </xf>
    <xf numFmtId="165" fontId="25" fillId="21" borderId="31" xfId="0" applyNumberFormat="1" applyFont="1" applyFill="1" applyBorder="1" applyAlignment="1">
      <alignment horizontal="center"/>
    </xf>
    <xf numFmtId="165" fontId="25" fillId="21" borderId="32" xfId="0" applyNumberFormat="1" applyFont="1" applyFill="1" applyBorder="1"/>
    <xf numFmtId="0" fontId="25" fillId="27" borderId="33" xfId="0" applyFont="1" applyFill="1" applyBorder="1" applyAlignment="1">
      <alignment horizontal="center"/>
    </xf>
    <xf numFmtId="0" fontId="25" fillId="27" borderId="16" xfId="0" applyFont="1" applyFill="1" applyBorder="1" applyAlignment="1">
      <alignment horizontal="center"/>
    </xf>
    <xf numFmtId="49" fontId="25" fillId="21" borderId="30" xfId="0" applyNumberFormat="1" applyFont="1" applyFill="1" applyBorder="1" applyAlignment="1">
      <alignment horizontal="left" vertical="top" wrapText="1"/>
    </xf>
    <xf numFmtId="9" fontId="21" fillId="21" borderId="0" xfId="0" applyNumberFormat="1" applyFont="1" applyFill="1" applyAlignment="1">
      <alignment horizontal="left" vertical="top" wrapText="1"/>
    </xf>
    <xf numFmtId="9" fontId="25" fillId="21" borderId="12" xfId="0" applyNumberFormat="1" applyFont="1" applyFill="1" applyBorder="1" applyAlignment="1">
      <alignment horizontal="center"/>
    </xf>
    <xf numFmtId="0" fontId="25" fillId="21" borderId="30" xfId="0" applyFont="1" applyFill="1" applyBorder="1" applyAlignment="1">
      <alignment horizontal="center"/>
    </xf>
    <xf numFmtId="0" fontId="25" fillId="21" borderId="11" xfId="0" applyFont="1" applyFill="1" applyBorder="1" applyAlignment="1">
      <alignment horizontal="center"/>
    </xf>
    <xf numFmtId="0" fontId="25" fillId="27" borderId="34" xfId="0" applyFont="1" applyFill="1" applyBorder="1" applyAlignment="1">
      <alignment horizontal="center"/>
    </xf>
    <xf numFmtId="0" fontId="25" fillId="27" borderId="35" xfId="0" applyFont="1" applyFill="1" applyBorder="1" applyAlignment="1">
      <alignment horizontal="center"/>
    </xf>
    <xf numFmtId="49" fontId="25" fillId="26" borderId="30" xfId="0" applyNumberFormat="1" applyFont="1" applyFill="1" applyBorder="1" applyAlignment="1">
      <alignment horizontal="left" vertical="top" wrapText="1"/>
    </xf>
    <xf numFmtId="166" fontId="25" fillId="26" borderId="11" xfId="0" applyNumberFormat="1" applyFont="1" applyFill="1" applyBorder="1" applyAlignment="1">
      <alignment horizontal="center" vertical="top" wrapText="1"/>
    </xf>
    <xf numFmtId="0" fontId="25" fillId="21" borderId="23" xfId="0" applyFont="1" applyFill="1" applyBorder="1"/>
    <xf numFmtId="166" fontId="21" fillId="21" borderId="0" xfId="0" applyNumberFormat="1" applyFont="1" applyFill="1" applyAlignment="1">
      <alignment horizontal="left" vertical="top" wrapText="1"/>
    </xf>
    <xf numFmtId="0" fontId="25" fillId="21" borderId="32" xfId="0" applyFont="1" applyFill="1" applyBorder="1"/>
    <xf numFmtId="166" fontId="25" fillId="21" borderId="0" xfId="0" applyNumberFormat="1" applyFont="1" applyFill="1" applyAlignment="1">
      <alignment horizontal="left" vertical="top" wrapText="1"/>
    </xf>
    <xf numFmtId="0" fontId="25" fillId="21" borderId="12" xfId="0" applyFont="1" applyFill="1" applyBorder="1" applyAlignment="1">
      <alignment horizontal="center"/>
    </xf>
    <xf numFmtId="0" fontId="21" fillId="21" borderId="36" xfId="0" applyFont="1" applyFill="1" applyBorder="1" applyAlignment="1">
      <alignment horizontal="center"/>
    </xf>
    <xf numFmtId="0" fontId="25" fillId="21" borderId="36" xfId="0" applyFont="1" applyFill="1" applyBorder="1" applyAlignment="1">
      <alignment horizontal="center"/>
    </xf>
    <xf numFmtId="0" fontId="25" fillId="21" borderId="37" xfId="0" applyFont="1" applyFill="1" applyBorder="1" applyAlignment="1">
      <alignment horizontal="center"/>
    </xf>
    <xf numFmtId="0" fontId="25" fillId="21" borderId="38" xfId="0" applyFont="1" applyFill="1" applyBorder="1" applyAlignment="1">
      <alignment horizontal="center"/>
    </xf>
    <xf numFmtId="0" fontId="25" fillId="27" borderId="39" xfId="0" applyFont="1" applyFill="1" applyBorder="1" applyAlignment="1">
      <alignment horizontal="center"/>
    </xf>
    <xf numFmtId="0" fontId="25" fillId="27" borderId="19" xfId="0" applyFont="1" applyFill="1" applyBorder="1" applyAlignment="1">
      <alignment horizontal="center"/>
    </xf>
    <xf numFmtId="0" fontId="25" fillId="21" borderId="0" xfId="0" applyFont="1" applyFill="1" applyAlignment="1">
      <alignment horizontal="center"/>
    </xf>
    <xf numFmtId="1" fontId="25" fillId="21" borderId="24" xfId="0" applyNumberFormat="1" applyFont="1" applyFill="1" applyBorder="1" applyAlignment="1">
      <alignment wrapText="1"/>
    </xf>
    <xf numFmtId="0" fontId="25" fillId="28" borderId="25" xfId="0" applyFont="1" applyFill="1" applyBorder="1"/>
    <xf numFmtId="0" fontId="25" fillId="28" borderId="26" xfId="0" applyFont="1" applyFill="1" applyBorder="1"/>
    <xf numFmtId="0" fontId="25" fillId="28" borderId="0" xfId="0" applyFont="1" applyFill="1"/>
    <xf numFmtId="0" fontId="36" fillId="28" borderId="0" xfId="0" applyFont="1" applyFill="1" applyAlignment="1">
      <alignment horizontal="center"/>
    </xf>
    <xf numFmtId="0" fontId="36" fillId="28" borderId="24" xfId="0" applyFont="1" applyFill="1" applyBorder="1" applyAlignment="1">
      <alignment horizontal="center"/>
    </xf>
    <xf numFmtId="0" fontId="21" fillId="21" borderId="40" xfId="0" applyFont="1" applyFill="1" applyBorder="1"/>
    <xf numFmtId="0" fontId="21" fillId="21" borderId="41" xfId="0" applyFont="1" applyFill="1" applyBorder="1"/>
    <xf numFmtId="0" fontId="25" fillId="21" borderId="41" xfId="0" applyFont="1" applyFill="1" applyBorder="1"/>
    <xf numFmtId="0" fontId="25" fillId="21" borderId="42" xfId="0" applyFont="1" applyFill="1" applyBorder="1"/>
    <xf numFmtId="0" fontId="25" fillId="21" borderId="40" xfId="0" applyFont="1" applyFill="1" applyBorder="1"/>
    <xf numFmtId="0" fontId="25" fillId="28" borderId="41" xfId="0" applyFont="1" applyFill="1" applyBorder="1"/>
    <xf numFmtId="0" fontId="25" fillId="29" borderId="0" xfId="0" applyFont="1" applyFill="1" applyAlignment="1">
      <alignment horizontal="center"/>
    </xf>
    <xf numFmtId="16" fontId="21" fillId="21" borderId="0" xfId="0" applyNumberFormat="1" applyFont="1" applyFill="1"/>
    <xf numFmtId="168" fontId="25" fillId="21" borderId="0" xfId="0" applyNumberFormat="1" applyFont="1" applyFill="1"/>
    <xf numFmtId="16" fontId="25" fillId="21" borderId="0" xfId="0" applyNumberFormat="1" applyFont="1" applyFill="1"/>
    <xf numFmtId="0" fontId="25" fillId="21" borderId="0" xfId="0" quotePrefix="1" applyFont="1" applyFill="1" applyAlignment="1">
      <alignment horizontal="left"/>
    </xf>
    <xf numFmtId="14" fontId="21" fillId="21" borderId="0" xfId="0" applyNumberFormat="1" applyFont="1" applyFill="1"/>
    <xf numFmtId="0" fontId="33" fillId="21" borderId="0" xfId="0" applyFont="1" applyFill="1"/>
    <xf numFmtId="0" fontId="33" fillId="30" borderId="43" xfId="0" applyFont="1" applyFill="1" applyBorder="1" applyAlignment="1">
      <alignment horizontal="center"/>
    </xf>
    <xf numFmtId="0" fontId="33" fillId="30" borderId="44" xfId="0" applyFont="1" applyFill="1" applyBorder="1" applyAlignment="1">
      <alignment horizontal="left"/>
    </xf>
    <xf numFmtId="0" fontId="33" fillId="30" borderId="45" xfId="0" applyFont="1" applyFill="1" applyBorder="1" applyAlignment="1">
      <alignment horizontal="center"/>
    </xf>
    <xf numFmtId="0" fontId="33" fillId="30" borderId="46" xfId="0" applyFont="1" applyFill="1" applyBorder="1" applyAlignment="1">
      <alignment horizontal="center"/>
    </xf>
    <xf numFmtId="0" fontId="33" fillId="30" borderId="47" xfId="0" applyFont="1" applyFill="1" applyBorder="1" applyAlignment="1">
      <alignment horizontal="center"/>
    </xf>
    <xf numFmtId="0" fontId="33" fillId="30" borderId="48" xfId="0" applyFont="1" applyFill="1" applyBorder="1" applyAlignment="1">
      <alignment horizontal="center"/>
    </xf>
    <xf numFmtId="0" fontId="33" fillId="30" borderId="49" xfId="0" applyFont="1" applyFill="1" applyBorder="1" applyAlignment="1">
      <alignment horizontal="left"/>
    </xf>
    <xf numFmtId="0" fontId="33" fillId="30" borderId="49" xfId="0" applyFont="1" applyFill="1" applyBorder="1" applyAlignment="1">
      <alignment horizontal="center"/>
    </xf>
    <xf numFmtId="0" fontId="33" fillId="30" borderId="50" xfId="0" applyFont="1" applyFill="1" applyBorder="1" applyAlignment="1">
      <alignment horizontal="center"/>
    </xf>
    <xf numFmtId="0" fontId="33" fillId="30" borderId="51" xfId="0" applyFont="1" applyFill="1" applyBorder="1" applyAlignment="1">
      <alignment horizontal="center"/>
    </xf>
    <xf numFmtId="0" fontId="21" fillId="30" borderId="52" xfId="0" applyFont="1" applyFill="1" applyBorder="1" applyAlignment="1">
      <alignment horizontal="left"/>
    </xf>
    <xf numFmtId="0" fontId="21" fillId="30" borderId="53" xfId="0" applyFont="1" applyFill="1" applyBorder="1" applyAlignment="1">
      <alignment horizontal="left"/>
    </xf>
    <xf numFmtId="0" fontId="21" fillId="30" borderId="54" xfId="0" applyFont="1" applyFill="1" applyBorder="1" applyAlignment="1">
      <alignment horizontal="left"/>
    </xf>
    <xf numFmtId="0" fontId="21" fillId="0" borderId="55" xfId="0" applyFont="1" applyBorder="1"/>
    <xf numFmtId="0" fontId="21" fillId="0" borderId="56" xfId="0" applyFont="1" applyBorder="1" applyAlignment="1">
      <alignment horizontal="left" vertical="top"/>
    </xf>
    <xf numFmtId="0" fontId="21" fillId="0" borderId="57" xfId="0" applyFont="1" applyBorder="1" applyAlignment="1">
      <alignment horizontal="left"/>
    </xf>
    <xf numFmtId="0" fontId="21" fillId="0" borderId="57" xfId="36" applyFont="1" applyFill="1" applyBorder="1" applyAlignment="1" applyProtection="1">
      <alignment horizontal="left" wrapText="1"/>
    </xf>
    <xf numFmtId="0" fontId="21" fillId="0" borderId="58" xfId="0" applyFont="1" applyBorder="1" applyAlignment="1">
      <alignment horizontal="left"/>
    </xf>
    <xf numFmtId="169" fontId="25" fillId="21" borderId="0" xfId="0" applyNumberFormat="1" applyFont="1" applyFill="1"/>
    <xf numFmtId="0" fontId="26" fillId="0" borderId="0" xfId="36" applyFont="1" applyAlignment="1" applyProtection="1"/>
    <xf numFmtId="0" fontId="21" fillId="0" borderId="0" xfId="0" applyFont="1"/>
    <xf numFmtId="0" fontId="33" fillId="0" borderId="0" xfId="0" applyFont="1"/>
    <xf numFmtId="164" fontId="28" fillId="20" borderId="0" xfId="0" applyNumberFormat="1" applyFont="1" applyFill="1" applyAlignment="1">
      <alignment horizontal="center" vertical="center"/>
    </xf>
    <xf numFmtId="49" fontId="28" fillId="20" borderId="0" xfId="0" applyNumberFormat="1" applyFont="1" applyFill="1" applyAlignment="1">
      <alignment horizontal="left" vertical="top" textRotation="180"/>
    </xf>
    <xf numFmtId="0" fontId="28" fillId="20" borderId="0" xfId="0" applyFont="1" applyFill="1" applyAlignment="1">
      <alignment horizontal="left" vertical="top" textRotation="180"/>
    </xf>
    <xf numFmtId="0" fontId="28" fillId="20" borderId="0" xfId="0" applyFont="1" applyFill="1"/>
    <xf numFmtId="0" fontId="38" fillId="20" borderId="0" xfId="0" applyFont="1" applyFill="1"/>
    <xf numFmtId="0" fontId="37" fillId="0" borderId="0" xfId="0" applyFont="1"/>
    <xf numFmtId="0" fontId="39" fillId="0" borderId="0" xfId="0" applyFont="1"/>
    <xf numFmtId="9" fontId="40" fillId="0" borderId="0" xfId="0" applyNumberFormat="1" applyFont="1"/>
    <xf numFmtId="0" fontId="40" fillId="0" borderId="0" xfId="0" applyFont="1"/>
    <xf numFmtId="164" fontId="40" fillId="0" borderId="0" xfId="0" applyNumberFormat="1" applyFont="1"/>
    <xf numFmtId="0" fontId="41" fillId="0" borderId="0" xfId="0" applyFont="1"/>
    <xf numFmtId="165" fontId="40" fillId="0" borderId="0" xfId="0" applyNumberFormat="1" applyFont="1"/>
    <xf numFmtId="1" fontId="40" fillId="0" borderId="0" xfId="0" applyNumberFormat="1" applyFont="1"/>
    <xf numFmtId="0" fontId="42" fillId="0" borderId="0" xfId="0" applyFont="1"/>
    <xf numFmtId="0" fontId="10" fillId="0" borderId="0" xfId="45" applyFont="1"/>
    <xf numFmtId="0" fontId="6" fillId="0" borderId="0" xfId="45"/>
    <xf numFmtId="0" fontId="6" fillId="0" borderId="0" xfId="45" applyAlignment="1">
      <alignment horizontal="left"/>
    </xf>
    <xf numFmtId="0" fontId="6" fillId="0" borderId="0" xfId="45" applyAlignment="1">
      <alignment horizontal="center"/>
    </xf>
    <xf numFmtId="0" fontId="10" fillId="0" borderId="0" xfId="45" applyFont="1" applyAlignment="1">
      <alignment horizontal="left"/>
    </xf>
    <xf numFmtId="49" fontId="21" fillId="0" borderId="11" xfId="0" applyNumberFormat="1" applyFont="1" applyBorder="1" applyAlignment="1">
      <alignment horizontal="left"/>
    </xf>
    <xf numFmtId="0" fontId="10" fillId="0" borderId="0" xfId="45" applyFont="1" applyAlignment="1">
      <alignment horizontal="center"/>
    </xf>
    <xf numFmtId="9" fontId="0" fillId="0" borderId="0" xfId="0" applyNumberFormat="1"/>
    <xf numFmtId="0" fontId="45" fillId="0" borderId="0" xfId="0" applyFont="1" applyAlignment="1">
      <alignment horizontal="center"/>
    </xf>
    <xf numFmtId="9" fontId="45" fillId="0" borderId="0" xfId="0" applyNumberFormat="1" applyFont="1"/>
    <xf numFmtId="9" fontId="45" fillId="0" borderId="0" xfId="0" applyNumberFormat="1" applyFont="1" applyAlignment="1">
      <alignment horizontal="center"/>
    </xf>
    <xf numFmtId="0" fontId="1" fillId="30" borderId="53" xfId="36" applyFill="1" applyBorder="1" applyAlignment="1" applyProtection="1">
      <alignment horizontal="left"/>
    </xf>
    <xf numFmtId="0" fontId="46" fillId="30" borderId="53" xfId="36" applyFont="1" applyFill="1" applyBorder="1" applyAlignment="1" applyProtection="1">
      <alignment horizontal="left"/>
    </xf>
    <xf numFmtId="0" fontId="1" fillId="21" borderId="31" xfId="36" applyFill="1" applyBorder="1" applyAlignment="1" applyProtection="1">
      <alignment horizontal="center"/>
    </xf>
    <xf numFmtId="0" fontId="1" fillId="21" borderId="12" xfId="36" applyFill="1" applyBorder="1" applyAlignment="1" applyProtection="1">
      <alignment horizontal="center"/>
    </xf>
    <xf numFmtId="0" fontId="47" fillId="0" borderId="0" xfId="0" applyFont="1"/>
    <xf numFmtId="0" fontId="21" fillId="0" borderId="63" xfId="0" applyFont="1" applyBorder="1" applyAlignment="1">
      <alignment horizontal="left" indent="1"/>
    </xf>
    <xf numFmtId="49" fontId="21" fillId="0" borderId="64" xfId="0" applyNumberFormat="1" applyFont="1" applyBorder="1" applyAlignment="1">
      <alignment horizontal="left"/>
    </xf>
    <xf numFmtId="0" fontId="47" fillId="0" borderId="65" xfId="0" applyFont="1" applyBorder="1"/>
    <xf numFmtId="49" fontId="21" fillId="0" borderId="65" xfId="0" applyNumberFormat="1" applyFont="1" applyBorder="1" applyAlignment="1">
      <alignment horizontal="left"/>
    </xf>
    <xf numFmtId="0" fontId="48" fillId="0" borderId="65" xfId="0" applyFont="1" applyBorder="1"/>
    <xf numFmtId="0" fontId="49" fillId="0" borderId="0" xfId="0" applyFont="1"/>
    <xf numFmtId="0" fontId="1" fillId="21" borderId="61" xfId="36" applyFill="1" applyBorder="1" applyAlignment="1" applyProtection="1">
      <alignment horizontal="center"/>
    </xf>
    <xf numFmtId="14" fontId="25" fillId="0" borderId="0" xfId="0" applyNumberFormat="1" applyFont="1"/>
    <xf numFmtId="1" fontId="21" fillId="22" borderId="0" xfId="0" applyNumberFormat="1" applyFont="1" applyFill="1"/>
    <xf numFmtId="0" fontId="22" fillId="23" borderId="0" xfId="0" applyFont="1" applyFill="1" applyAlignment="1">
      <alignment horizontal="right"/>
    </xf>
    <xf numFmtId="164" fontId="24" fillId="20" borderId="0" xfId="0" applyNumberFormat="1" applyFont="1" applyFill="1" applyAlignment="1">
      <alignment horizontal="center" vertical="center"/>
    </xf>
    <xf numFmtId="0" fontId="28" fillId="23" borderId="0" xfId="0" applyFont="1" applyFill="1" applyAlignment="1">
      <alignment horizontal="right"/>
    </xf>
    <xf numFmtId="0" fontId="35" fillId="20" borderId="20" xfId="0" applyFont="1" applyFill="1" applyBorder="1" applyAlignment="1">
      <alignment horizontal="center"/>
    </xf>
    <xf numFmtId="0" fontId="35" fillId="20" borderId="21" xfId="0" applyFont="1" applyFill="1" applyBorder="1" applyAlignment="1">
      <alignment horizontal="center"/>
    </xf>
    <xf numFmtId="0" fontId="35" fillId="20" borderId="22" xfId="0" applyFont="1" applyFill="1" applyBorder="1" applyAlignment="1">
      <alignment horizontal="center"/>
    </xf>
    <xf numFmtId="16" fontId="36" fillId="21" borderId="25" xfId="0" applyNumberFormat="1" applyFont="1" applyFill="1" applyBorder="1" applyAlignment="1">
      <alignment horizontal="center"/>
    </xf>
    <xf numFmtId="16" fontId="36" fillId="21" borderId="26" xfId="0" applyNumberFormat="1" applyFont="1" applyFill="1" applyBorder="1" applyAlignment="1">
      <alignment horizontal="center"/>
    </xf>
    <xf numFmtId="16" fontId="36" fillId="21" borderId="62" xfId="0" applyNumberFormat="1" applyFont="1" applyFill="1" applyBorder="1" applyAlignment="1">
      <alignment horizontal="center"/>
    </xf>
    <xf numFmtId="0" fontId="36" fillId="28" borderId="59" xfId="0" applyFont="1" applyFill="1" applyBorder="1" applyAlignment="1">
      <alignment horizontal="center"/>
    </xf>
    <xf numFmtId="0" fontId="36" fillId="28" borderId="60" xfId="0" applyFont="1" applyFill="1" applyBorder="1" applyAlignment="1">
      <alignment horizontal="center"/>
    </xf>
    <xf numFmtId="0" fontId="36" fillId="28" borderId="61" xfId="0" applyFont="1" applyFill="1" applyBorder="1" applyAlignment="1">
      <alignment horizontal="center"/>
    </xf>
    <xf numFmtId="0" fontId="25" fillId="21" borderId="27" xfId="0" applyFont="1" applyFill="1" applyBorder="1" applyAlignment="1">
      <alignment horizontal="center"/>
    </xf>
    <xf numFmtId="0" fontId="25" fillId="21" borderId="28" xfId="0" applyFont="1" applyFill="1" applyBorder="1" applyAlignment="1">
      <alignment horizontal="center"/>
    </xf>
    <xf numFmtId="0" fontId="25" fillId="21" borderId="29" xfId="0" applyFont="1" applyFill="1" applyBorder="1" applyAlignment="1">
      <alignment horizontal="center"/>
    </xf>
    <xf numFmtId="0" fontId="37" fillId="0" borderId="0" xfId="0" applyFont="1" applyAlignment="1"/>
    <xf numFmtId="0" fontId="25" fillId="0" borderId="0" xfId="0" applyFont="1" applyAlignment="1"/>
  </cellXfs>
  <cellStyles count="46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Emphasis 1" xfId="28" xr:uid="{00000000-0005-0000-0000-00001B000000}"/>
    <cellStyle name="Emphasis 2" xfId="29" xr:uid="{00000000-0005-0000-0000-00001C000000}"/>
    <cellStyle name="Emphasis 3" xfId="30" xr:uid="{00000000-0005-0000-0000-00001D000000}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rmal 2" xfId="45" xr:uid="{00000000-0005-0000-0000-000028000000}"/>
    <cellStyle name="Note" xfId="40" builtinId="10" customBuiltin="1"/>
    <cellStyle name="Output" xfId="41" builtinId="21" customBuiltin="1"/>
    <cellStyle name="Sheet Title" xfId="42" xr:uid="{00000000-0005-0000-0000-00002B000000}"/>
    <cellStyle name="Total" xfId="43" builtinId="25" customBuiltin="1"/>
    <cellStyle name="Warning Text" xfId="44" builtinId="11" customBuiltin="1"/>
  </cellStyles>
  <dxfs count="52"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7"/>
        </patternFill>
      </fill>
    </dxf>
    <dxf>
      <fill>
        <patternFill patternType="solid">
          <fgColor indexed="64"/>
          <bgColor indexed="5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7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4"/>
          <bgColor indexed="57"/>
        </patternFill>
      </fill>
    </dxf>
    <dxf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47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47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47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5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43"/>
        </patternFill>
      </fill>
    </dxf>
    <dxf>
      <fill>
        <patternFill patternType="gray0625">
          <fgColor indexed="64"/>
          <bgColor indexed="65"/>
        </patternFill>
      </fill>
    </dxf>
    <dxf>
      <fill>
        <patternFill patternType="solid">
          <fgColor indexed="64"/>
          <bgColor indexed="54"/>
        </patternFill>
      </fill>
    </dxf>
    <dxf>
      <fill>
        <patternFill patternType="solid">
          <fgColor indexed="64"/>
          <bgColor indexed="44"/>
        </patternFill>
      </fill>
    </dxf>
    <dxf>
      <fill>
        <patternFill patternType="solid">
          <fgColor indexed="64"/>
          <bgColor indexed="10"/>
        </patternFill>
      </fill>
    </dxf>
    <dxf>
      <font>
        <condense val="0"/>
        <extend val="0"/>
        <color auto="1"/>
      </font>
      <fill>
        <patternFill patternType="solid">
          <fgColor indexed="64"/>
          <bgColor indexed="42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ont>
        <condense val="0"/>
        <extend val="0"/>
        <color auto="1"/>
      </font>
      <fill>
        <patternFill patternType="solid">
          <fgColor indexed="22"/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64"/>
          <bgColor indexed="43"/>
        </patternFill>
      </fill>
    </dxf>
    <dxf>
      <font>
        <condense val="0"/>
        <extend val="0"/>
        <color auto="1"/>
      </font>
      <fill>
        <patternFill patternType="solid">
          <fgColor indexed="64"/>
          <bgColor indexed="42"/>
        </patternFill>
      </fill>
    </dxf>
    <dxf>
      <fill>
        <patternFill patternType="solid">
          <fgColor indexed="64"/>
          <bgColor indexed="43"/>
        </patternFill>
      </fill>
    </dxf>
    <dxf>
      <fill>
        <patternFill patternType="solid">
          <fgColor indexed="64"/>
          <bgColor indexed="42"/>
        </patternFill>
      </fill>
    </dxf>
    <dxf>
      <font>
        <condense val="0"/>
        <extend val="0"/>
        <color auto="1"/>
      </font>
      <fill>
        <patternFill patternType="solid">
          <fgColor indexed="64"/>
          <bgColor indexed="42"/>
        </patternFill>
      </fill>
    </dxf>
    <dxf>
      <font>
        <condense val="0"/>
        <extend val="0"/>
        <u/>
        <color indexed="44"/>
      </font>
    </dxf>
    <dxf>
      <font>
        <condense val="0"/>
        <extend val="0"/>
        <color auto="1"/>
      </font>
      <fill>
        <patternFill patternType="solid">
          <fgColor indexed="64"/>
          <bgColor indexed="9"/>
        </patternFill>
      </fill>
    </dxf>
    <dxf>
      <font>
        <condense val="0"/>
        <extend val="0"/>
        <color indexed="42"/>
      </font>
      <fill>
        <patternFill patternType="solid">
          <fgColor indexed="64"/>
          <bgColor indexed="42"/>
        </patternFill>
      </fill>
    </dxf>
    <dxf>
      <font>
        <condense val="0"/>
        <extend val="0"/>
        <color indexed="43"/>
      </font>
      <fill>
        <patternFill patternType="solid">
          <fgColor indexed="64"/>
          <bgColor indexed="43"/>
        </patternFill>
      </fill>
    </dxf>
    <dxf>
      <font>
        <condense val="0"/>
        <extend val="0"/>
        <color indexed="22"/>
      </font>
      <fill>
        <patternFill patternType="solid">
          <fgColor indexed="22"/>
          <bgColor indexed="22"/>
        </patternFill>
      </fill>
    </dxf>
    <dxf>
      <fill>
        <patternFill patternType="lightDown">
          <fgColor indexed="22"/>
          <bgColor indexed="65"/>
        </patternFill>
      </fill>
    </dxf>
    <dxf>
      <fill>
        <patternFill patternType="lightDown">
          <fgColor indexed="22"/>
          <bgColor indexed="65"/>
        </patternFill>
      </fill>
    </dxf>
    <dxf>
      <font>
        <condense val="0"/>
        <extend val="0"/>
        <color indexed="9"/>
      </font>
      <fill>
        <patternFill patternType="solid">
          <fgColor indexed="64"/>
          <bgColor indexed="54"/>
        </patternFill>
      </fill>
      <border>
        <right style="thin">
          <color indexed="64"/>
        </right>
      </border>
    </dxf>
    <dxf>
      <fill>
        <patternFill patternType="lightDown">
          <fgColor indexed="22"/>
          <bgColor indexed="65"/>
        </patternFill>
      </fill>
    </dxf>
    <dxf>
      <font>
        <condense val="0"/>
        <extend val="0"/>
        <color indexed="9"/>
      </font>
      <fill>
        <patternFill patternType="solid">
          <fgColor indexed="64"/>
          <bgColor indexed="62"/>
        </patternFill>
      </fill>
      <border>
        <left style="thin">
          <color indexed="64"/>
        </left>
      </border>
    </dxf>
    <dxf>
      <font>
        <condense val="0"/>
        <extend val="0"/>
        <color auto="1"/>
      </font>
      <fill>
        <patternFill patternType="solid">
          <fgColor indexed="64"/>
          <bgColor indexed="9"/>
        </patternFill>
      </fill>
    </dxf>
    <dxf>
      <font>
        <condense val="0"/>
        <extend val="0"/>
        <color auto="1"/>
      </font>
      <fill>
        <patternFill patternType="solid">
          <fgColor indexed="64"/>
          <bgColor indexed="9"/>
        </patternFill>
      </fill>
    </dxf>
    <dxf>
      <font>
        <condense val="0"/>
        <extend val="0"/>
        <color auto="1"/>
      </font>
      <fill>
        <patternFill patternType="solid">
          <fgColor indexed="64"/>
          <bgColor indexed="9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3"/>
      </font>
    </dxf>
    <dxf>
      <font>
        <condense val="0"/>
        <extend val="0"/>
        <color indexed="11"/>
      </font>
    </dxf>
  </dxfs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Work Item Cumulative Flow</a:t>
            </a:r>
          </a:p>
        </c:rich>
      </c:tx>
      <c:layout>
        <c:manualLayout>
          <c:xMode val="edge"/>
          <c:yMode val="edge"/>
          <c:x val="0.17505054923690092"/>
          <c:y val="3.846164512454811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577209098862638"/>
          <c:y val="0.16981163364466695"/>
          <c:w val="0.81713108778069421"/>
          <c:h val="0.54213915713366023"/>
        </c:manualLayout>
      </c:layout>
      <c:areaChart>
        <c:grouping val="stacked"/>
        <c:varyColors val="0"/>
        <c:ser>
          <c:idx val="0"/>
          <c:order val="0"/>
          <c:tx>
            <c:v>Complete</c:v>
          </c:tx>
          <c:spPr>
            <a:solidFill>
              <a:srgbClr val="00B050"/>
            </a:solidFill>
          </c:spPr>
          <c:cat>
            <c:numRef>
              <c:f>Analysis!$E$19:$R$19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Analysis!$E$37:$R$37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9</c:v>
                </c:pt>
                <c:pt idx="9">
                  <c:v>11</c:v>
                </c:pt>
                <c:pt idx="10">
                  <c:v>13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9-435C-9BD6-E927BD957C83}"/>
            </c:ext>
          </c:extLst>
        </c:ser>
        <c:ser>
          <c:idx val="1"/>
          <c:order val="1"/>
          <c:tx>
            <c:v>In Progress</c:v>
          </c:tx>
          <c:spPr>
            <a:solidFill>
              <a:srgbClr val="FFFF00"/>
            </a:solidFill>
          </c:spPr>
          <c:cat>
            <c:numRef>
              <c:f>Analysis!$E$19:$R$19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Analysis!$E$36:$R$36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9-435C-9BD6-E927BD957C83}"/>
            </c:ext>
          </c:extLst>
        </c:ser>
        <c:ser>
          <c:idx val="2"/>
          <c:order val="2"/>
          <c:tx>
            <c:v>Pending</c:v>
          </c:tx>
          <c:spPr>
            <a:solidFill>
              <a:schemeClr val="bg2">
                <a:lumMod val="90000"/>
              </a:schemeClr>
            </a:solidFill>
          </c:spPr>
          <c:val>
            <c:numRef>
              <c:f>Analysis!$E$35:$R$35</c:f>
              <c:numCache>
                <c:formatCode>General</c:formatCode>
                <c:ptCount val="14"/>
                <c:pt idx="0">
                  <c:v>14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9-435C-9BD6-E927BD957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80800"/>
        <c:axId val="97982720"/>
      </c:areaChart>
      <c:catAx>
        <c:axId val="97980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Days</a:t>
                </a:r>
              </a:p>
            </c:rich>
          </c:tx>
          <c:layout>
            <c:manualLayout>
              <c:xMode val="edge"/>
              <c:yMode val="edge"/>
              <c:x val="0.51515407796247692"/>
              <c:y val="0.7951682266131886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97982720"/>
        <c:crosses val="autoZero"/>
        <c:auto val="1"/>
        <c:lblAlgn val="ctr"/>
        <c:lblOffset val="100"/>
        <c:tickLblSkip val="3"/>
        <c:tickMarkSkip val="1"/>
        <c:noMultiLvlLbl val="1"/>
      </c:catAx>
      <c:valAx>
        <c:axId val="979827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Work Item Count</a:t>
                </a:r>
              </a:p>
            </c:rich>
          </c:tx>
          <c:layout>
            <c:manualLayout>
              <c:xMode val="edge"/>
              <c:yMode val="edge"/>
              <c:x val="3.6927621861152143E-2"/>
              <c:y val="0.22115384615384612"/>
            </c:manualLayout>
          </c:layout>
          <c:overlay val="0"/>
        </c:title>
        <c:numFmt formatCode="General" sourceLinked="1"/>
        <c:majorTickMark val="out"/>
        <c:minorTickMark val="none"/>
        <c:tickLblPos val="none"/>
        <c:crossAx val="97980800"/>
        <c:crossesAt val="1"/>
        <c:crossBetween val="midCat"/>
        <c:majorUnit val="2"/>
        <c:minorUnit val="1"/>
      </c:valAx>
      <c:spPr>
        <a:solidFill>
          <a:schemeClr val="bg1">
            <a:lumMod val="20000"/>
            <a:lumOff val="80000"/>
          </a:schemeClr>
        </a:solidFill>
      </c:spPr>
    </c:plotArea>
    <c:legend>
      <c:legendPos val="r"/>
      <c:layout>
        <c:manualLayout>
          <c:xMode val="edge"/>
          <c:yMode val="edge"/>
          <c:x val="2.9537523087391854E-2"/>
          <c:y val="0.89894161343040391"/>
          <c:w val="0.92308569067755464"/>
          <c:h val="7.5018075570742374E-2"/>
        </c:manualLayout>
      </c:layout>
      <c:overlay val="0"/>
    </c:legend>
    <c:plotVisOnly val="1"/>
    <c:dispBlanksAs val="zero"/>
    <c:showDLblsOverMax val="0"/>
  </c:chart>
  <c:spPr>
    <a:solidFill>
      <a:srgbClr val="FFFFFF"/>
    </a:solidFill>
  </c:spPr>
  <c:printSettings>
    <c:headerFooter/>
    <c:pageMargins b="0.75000000000000366" l="0.70000000000000062" r="0.70000000000000062" t="0.75000000000000366" header="0.30000000000000032" footer="0.30000000000000032"/>
    <c:pageSetup paperSize="0" orientation="portrait" horizontalDpi="0" verticalDpi="0" copies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Hours Burndown with Cumulative Flow</a:t>
            </a:r>
          </a:p>
        </c:rich>
      </c:tx>
      <c:layout>
        <c:manualLayout>
          <c:xMode val="edge"/>
          <c:yMode val="edge"/>
          <c:x val="0.22098421541318475"/>
          <c:y val="3.836930455635494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1257386832118"/>
          <c:y val="0.17669172932330818"/>
          <c:w val="0.87100657289633654"/>
          <c:h val="0.46992481203007747"/>
        </c:manualLayout>
      </c:layout>
      <c:areaChart>
        <c:grouping val="stacked"/>
        <c:varyColors val="0"/>
        <c:ser>
          <c:idx val="0"/>
          <c:order val="0"/>
          <c:tx>
            <c:v>Complete</c:v>
          </c:tx>
          <c:spPr>
            <a:solidFill>
              <a:srgbClr val="00B050"/>
            </a:solidFill>
          </c:spPr>
          <c:cat>
            <c:numRef>
              <c:f>Analysis!$E$19:$R$19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Analysis!$E$33:$R$33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</c:v>
                </c:pt>
                <c:pt idx="7">
                  <c:v>20</c:v>
                </c:pt>
                <c:pt idx="8">
                  <c:v>30</c:v>
                </c:pt>
                <c:pt idx="9">
                  <c:v>44</c:v>
                </c:pt>
                <c:pt idx="10">
                  <c:v>54</c:v>
                </c:pt>
                <c:pt idx="11">
                  <c:v>54</c:v>
                </c:pt>
                <c:pt idx="12">
                  <c:v>56.5</c:v>
                </c:pt>
                <c:pt idx="13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1-481B-B369-47BEC2305300}"/>
            </c:ext>
          </c:extLst>
        </c:ser>
        <c:ser>
          <c:idx val="1"/>
          <c:order val="1"/>
          <c:tx>
            <c:v>In Progress</c:v>
          </c:tx>
          <c:spPr>
            <a:solidFill>
              <a:srgbClr val="FFFF00"/>
            </a:solidFill>
          </c:spPr>
          <c:cat>
            <c:numRef>
              <c:f>Analysis!$E$19:$R$19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Analysis!$E$32:$R$32</c:f>
              <c:numCache>
                <c:formatCode>0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23</c:v>
                </c:pt>
                <c:pt idx="6">
                  <c:v>26</c:v>
                </c:pt>
                <c:pt idx="7">
                  <c:v>23</c:v>
                </c:pt>
                <c:pt idx="8">
                  <c:v>15</c:v>
                </c:pt>
                <c:pt idx="9">
                  <c:v>2</c:v>
                </c:pt>
                <c:pt idx="10">
                  <c:v>-5</c:v>
                </c:pt>
                <c:pt idx="11">
                  <c:v>-5</c:v>
                </c:pt>
                <c:pt idx="12">
                  <c:v>-4</c:v>
                </c:pt>
                <c:pt idx="13">
                  <c:v>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1-481B-B369-47BEC2305300}"/>
            </c:ext>
          </c:extLst>
        </c:ser>
        <c:ser>
          <c:idx val="2"/>
          <c:order val="2"/>
          <c:tx>
            <c:v>Pending</c:v>
          </c:tx>
          <c:spPr>
            <a:solidFill>
              <a:schemeClr val="bg2">
                <a:lumMod val="90000"/>
              </a:schemeClr>
            </a:solidFill>
          </c:spPr>
          <c:cat>
            <c:numRef>
              <c:f>Analysis!$E$19:$R$19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Analysis!$E$31:$R$31</c:f>
              <c:numCache>
                <c:formatCode>General</c:formatCode>
                <c:ptCount val="14"/>
                <c:pt idx="0">
                  <c:v>46.5</c:v>
                </c:pt>
                <c:pt idx="1">
                  <c:v>42.5</c:v>
                </c:pt>
                <c:pt idx="2">
                  <c:v>39.5</c:v>
                </c:pt>
                <c:pt idx="3">
                  <c:v>39.5</c:v>
                </c:pt>
                <c:pt idx="4">
                  <c:v>39.5</c:v>
                </c:pt>
                <c:pt idx="5">
                  <c:v>27.5</c:v>
                </c:pt>
                <c:pt idx="6">
                  <c:v>19.5</c:v>
                </c:pt>
                <c:pt idx="7">
                  <c:v>10.5</c:v>
                </c:pt>
                <c:pt idx="8">
                  <c:v>8.5</c:v>
                </c:pt>
                <c:pt idx="9">
                  <c:v>8.5</c:v>
                </c:pt>
                <c:pt idx="10">
                  <c:v>7.5</c:v>
                </c:pt>
                <c:pt idx="11">
                  <c:v>7.5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1-481B-B369-47BEC230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024064"/>
        <c:axId val="98026624"/>
      </c:areaChart>
      <c:lineChart>
        <c:grouping val="standard"/>
        <c:varyColors val="0"/>
        <c:ser>
          <c:idx val="3"/>
          <c:order val="3"/>
          <c:tx>
            <c:v>Remaining</c:v>
          </c:tx>
          <c:spPr>
            <a:ln w="25400">
              <a:solidFill>
                <a:schemeClr val="accent6"/>
              </a:solidFill>
            </a:ln>
          </c:spPr>
          <c:marker>
            <c:symbol val="x"/>
            <c:size val="3"/>
            <c:spPr>
              <a:solidFill>
                <a:schemeClr val="accent6"/>
              </a:solidFill>
              <a:ln w="3175"/>
            </c:spPr>
          </c:marker>
          <c:trendline>
            <c:spPr>
              <a:ln w="12700">
                <a:solidFill>
                  <a:srgbClr val="FF0000"/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Analysis!$E$19:$R$19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Analysis!$E$22:$R$22</c:f>
              <c:numCache>
                <c:formatCode>General</c:formatCode>
                <c:ptCount val="14"/>
                <c:pt idx="0">
                  <c:v>52.5</c:v>
                </c:pt>
                <c:pt idx="1">
                  <c:v>51</c:v>
                </c:pt>
                <c:pt idx="2">
                  <c:v>49</c:v>
                </c:pt>
                <c:pt idx="3">
                  <c:v>49</c:v>
                </c:pt>
                <c:pt idx="4">
                  <c:v>46.5</c:v>
                </c:pt>
                <c:pt idx="5">
                  <c:v>40.5</c:v>
                </c:pt>
                <c:pt idx="6">
                  <c:v>33.5</c:v>
                </c:pt>
                <c:pt idx="7">
                  <c:v>18.5</c:v>
                </c:pt>
                <c:pt idx="8">
                  <c:v>13.5</c:v>
                </c:pt>
                <c:pt idx="9">
                  <c:v>11.5</c:v>
                </c:pt>
                <c:pt idx="10">
                  <c:v>7.5</c:v>
                </c:pt>
                <c:pt idx="11">
                  <c:v>7.5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31-481B-B369-47BEC2305300}"/>
            </c:ext>
          </c:extLst>
        </c:ser>
        <c:ser>
          <c:idx val="4"/>
          <c:order val="4"/>
          <c:tx>
            <c:v>Effort</c:v>
          </c:tx>
          <c:spPr>
            <a:ln w="25400">
              <a:solidFill>
                <a:schemeClr val="accent1"/>
              </a:solidFill>
            </a:ln>
          </c:spPr>
          <c:marker>
            <c:symbol val="circle"/>
            <c:size val="3"/>
            <c:spPr>
              <a:solidFill>
                <a:schemeClr val="accent1"/>
              </a:solidFill>
              <a:ln w="3175"/>
            </c:spPr>
          </c:marker>
          <c:val>
            <c:numRef>
              <c:f>Analysis!$E$24:$R$24</c:f>
              <c:numCache>
                <c:formatCode>General</c:formatCode>
                <c:ptCount val="14"/>
                <c:pt idx="0">
                  <c:v>0</c:v>
                </c:pt>
                <c:pt idx="1">
                  <c:v>1.5</c:v>
                </c:pt>
                <c:pt idx="2">
                  <c:v>3.5</c:v>
                </c:pt>
                <c:pt idx="3">
                  <c:v>3.5</c:v>
                </c:pt>
                <c:pt idx="4">
                  <c:v>6</c:v>
                </c:pt>
                <c:pt idx="5">
                  <c:v>12</c:v>
                </c:pt>
                <c:pt idx="6">
                  <c:v>19</c:v>
                </c:pt>
                <c:pt idx="7">
                  <c:v>35</c:v>
                </c:pt>
                <c:pt idx="8">
                  <c:v>40</c:v>
                </c:pt>
                <c:pt idx="9">
                  <c:v>43</c:v>
                </c:pt>
                <c:pt idx="10">
                  <c:v>49</c:v>
                </c:pt>
                <c:pt idx="11">
                  <c:v>49</c:v>
                </c:pt>
                <c:pt idx="12">
                  <c:v>52.5</c:v>
                </c:pt>
                <c:pt idx="13">
                  <c:v>53.5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D31-481B-B369-47BEC2305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24064"/>
        <c:axId val="98026624"/>
      </c:lineChart>
      <c:catAx>
        <c:axId val="9802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Days</a:t>
                </a:r>
              </a:p>
            </c:rich>
          </c:tx>
          <c:layout>
            <c:manualLayout>
              <c:xMode val="edge"/>
              <c:yMode val="edge"/>
              <c:x val="0.46346112718816135"/>
              <c:y val="0.750419355475302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en-US"/>
          </a:p>
        </c:txPr>
        <c:crossAx val="98026624"/>
        <c:crosses val="autoZero"/>
        <c:auto val="1"/>
        <c:lblAlgn val="ctr"/>
        <c:lblOffset val="100"/>
        <c:tickLblSkip val="3"/>
        <c:tickMarkSkip val="1"/>
        <c:noMultiLvlLbl val="1"/>
      </c:catAx>
      <c:valAx>
        <c:axId val="980266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Work Item Hours</a:t>
                </a:r>
              </a:p>
            </c:rich>
          </c:tx>
          <c:layout>
            <c:manualLayout>
              <c:xMode val="edge"/>
              <c:yMode val="edge"/>
              <c:x val="1.5944844501274948E-2"/>
              <c:y val="0.1829392378584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98024064"/>
        <c:crossesAt val="1"/>
        <c:crossBetween val="midCat"/>
      </c:valAx>
      <c:spPr>
        <a:solidFill>
          <a:srgbClr val="FFFFFF"/>
        </a:solidFill>
      </c:spPr>
    </c:plotArea>
    <c:legend>
      <c:legendPos val="r"/>
      <c:layout>
        <c:manualLayout>
          <c:xMode val="edge"/>
          <c:yMode val="edge"/>
          <c:x val="2.1141254520704252E-2"/>
          <c:y val="0.88314329129911395"/>
          <c:w val="0.94998646536704257"/>
          <c:h val="8.2977127859017633E-2"/>
        </c:manualLayout>
      </c:layout>
      <c:overlay val="0"/>
    </c:legend>
    <c:plotVisOnly val="1"/>
    <c:dispBlanksAs val="zero"/>
    <c:showDLblsOverMax val="0"/>
  </c:chart>
  <c:spPr>
    <a:solidFill>
      <a:srgbClr val="FFFFFF"/>
    </a:solidFill>
  </c:spPr>
  <c:printSettings>
    <c:headerFooter/>
    <c:pageMargins b="0.75000000000000366" l="0.70000000000000062" r="0.70000000000000062" t="0.75000000000000366" header="0.30000000000000032" footer="0.30000000000000032"/>
    <c:pageSetup paperSize="0" orientation="portrait" horizontalDpi="0" verticalDpi="0" copies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'Project Specific Reports'!$A$2</c:f>
              <c:strCache>
                <c:ptCount val="1"/>
                <c:pt idx="0">
                  <c:v>Story / Feature</c:v>
                </c:pt>
              </c:strCache>
            </c:strRef>
          </c:tx>
          <c:invertIfNegative val="0"/>
          <c:val>
            <c:numRef>
              <c:f>'Project Specific Reports'!$B$2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6-436C-A3BC-177D54D23C31}"/>
            </c:ext>
          </c:extLst>
        </c:ser>
        <c:ser>
          <c:idx val="1"/>
          <c:order val="1"/>
          <c:tx>
            <c:strRef>
              <c:f>'Project Specific Reports'!$A$3</c:f>
              <c:strCache>
                <c:ptCount val="1"/>
                <c:pt idx="0">
                  <c:v>Tax</c:v>
                </c:pt>
              </c:strCache>
            </c:strRef>
          </c:tx>
          <c:invertIfNegative val="0"/>
          <c:val>
            <c:numRef>
              <c:f>'Project Specific Reports'!$B$3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6-436C-A3BC-177D54D23C31}"/>
            </c:ext>
          </c:extLst>
        </c:ser>
        <c:ser>
          <c:idx val="2"/>
          <c:order val="2"/>
          <c:tx>
            <c:strRef>
              <c:f>'Project Specific Reports'!$A$4</c:f>
              <c:strCache>
                <c:ptCount val="1"/>
                <c:pt idx="0">
                  <c:v>Precondition / Debt</c:v>
                </c:pt>
              </c:strCache>
            </c:strRef>
          </c:tx>
          <c:invertIfNegative val="0"/>
          <c:val>
            <c:numRef>
              <c:f>'Project Specific Reports'!$B$4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6-436C-A3BC-177D54D23C31}"/>
            </c:ext>
          </c:extLst>
        </c:ser>
        <c:ser>
          <c:idx val="3"/>
          <c:order val="3"/>
          <c:tx>
            <c:strRef>
              <c:f>'Project Specific Reports'!$A$5</c:f>
              <c:strCache>
                <c:ptCount val="1"/>
                <c:pt idx="0">
                  <c:v>Spike</c:v>
                </c:pt>
              </c:strCache>
            </c:strRef>
          </c:tx>
          <c:invertIfNegative val="0"/>
          <c:val>
            <c:numRef>
              <c:f>'Project Specific Reports'!$B$5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16-436C-A3BC-177D54D23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44768"/>
        <c:axId val="103346560"/>
      </c:barChart>
      <c:catAx>
        <c:axId val="10334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3346560"/>
        <c:crosses val="autoZero"/>
        <c:auto val="1"/>
        <c:lblAlgn val="ctr"/>
        <c:lblOffset val="100"/>
        <c:noMultiLvlLbl val="0"/>
      </c:catAx>
      <c:valAx>
        <c:axId val="1033465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34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'Project Specific Reports'!$A$9</c:f>
              <c:strCache>
                <c:ptCount val="1"/>
                <c:pt idx="0">
                  <c:v>Coding</c:v>
                </c:pt>
              </c:strCache>
            </c:strRef>
          </c:tx>
          <c:invertIfNegative val="0"/>
          <c:val>
            <c:numRef>
              <c:f>'Project Specific Reports'!$B$9:$C$9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0-41F8-8C9E-8CD963D5BAB2}"/>
            </c:ext>
          </c:extLst>
        </c:ser>
        <c:ser>
          <c:idx val="1"/>
          <c:order val="1"/>
          <c:tx>
            <c:strRef>
              <c:f>'Project Specific Reports'!$A$10</c:f>
              <c:strCache>
                <c:ptCount val="1"/>
                <c:pt idx="0">
                  <c:v>Documentation</c:v>
                </c:pt>
              </c:strCache>
            </c:strRef>
          </c:tx>
          <c:invertIfNegative val="0"/>
          <c:val>
            <c:numRef>
              <c:f>'Project Specific Reports'!$B$10:$C$10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0-41F8-8C9E-8CD963D5BAB2}"/>
            </c:ext>
          </c:extLst>
        </c:ser>
        <c:ser>
          <c:idx val="2"/>
          <c:order val="2"/>
          <c:tx>
            <c:strRef>
              <c:f>'Project Specific Reports'!$A$11</c:f>
              <c:strCache>
                <c:ptCount val="1"/>
                <c:pt idx="0">
                  <c:v>Testing</c:v>
                </c:pt>
              </c:strCache>
            </c:strRef>
          </c:tx>
          <c:invertIfNegative val="0"/>
          <c:val>
            <c:numRef>
              <c:f>'Project Specific Reports'!$B$11:$C$11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50-41F8-8C9E-8CD963D5BAB2}"/>
            </c:ext>
          </c:extLst>
        </c:ser>
        <c:ser>
          <c:idx val="3"/>
          <c:order val="3"/>
          <c:tx>
            <c:strRef>
              <c:f>'Project Specific Reports'!$A$12</c:f>
              <c:strCache>
                <c:ptCount val="1"/>
                <c:pt idx="0">
                  <c:v>Project Mgt</c:v>
                </c:pt>
              </c:strCache>
            </c:strRef>
          </c:tx>
          <c:invertIfNegative val="0"/>
          <c:val>
            <c:numRef>
              <c:f>'Project Specific Reports'!$B$12:$C$12</c:f>
              <c:numCache>
                <c:formatCode>0%</c:formatCode>
                <c:ptCount val="2"/>
                <c:pt idx="0" formatCode="General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50-41F8-8C9E-8CD963D5B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153664"/>
        <c:axId val="103155200"/>
      </c:barChart>
      <c:catAx>
        <c:axId val="1031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155200"/>
        <c:crosses val="autoZero"/>
        <c:auto val="1"/>
        <c:lblAlgn val="ctr"/>
        <c:lblOffset val="100"/>
        <c:noMultiLvlLbl val="0"/>
      </c:catAx>
      <c:valAx>
        <c:axId val="1031552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15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'Project Specific Reports'!$A$16</c:f>
              <c:strCache>
                <c:ptCount val="1"/>
                <c:pt idx="0">
                  <c:v>Complete</c:v>
                </c:pt>
              </c:strCache>
            </c:strRef>
          </c:tx>
          <c:invertIfNegative val="0"/>
          <c:val>
            <c:numRef>
              <c:f>'Project Specific Reports'!$B$16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3-4B10-9071-2317980D2B97}"/>
            </c:ext>
          </c:extLst>
        </c:ser>
        <c:ser>
          <c:idx val="1"/>
          <c:order val="1"/>
          <c:tx>
            <c:strRef>
              <c:f>'Project Specific Reports'!$A$17</c:f>
              <c:strCache>
                <c:ptCount val="1"/>
                <c:pt idx="0">
                  <c:v>In Progress</c:v>
                </c:pt>
              </c:strCache>
            </c:strRef>
          </c:tx>
          <c:invertIfNegative val="0"/>
          <c:val>
            <c:numRef>
              <c:f>'Project Specific Reports'!$B$17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3-4B10-9071-2317980D2B97}"/>
            </c:ext>
          </c:extLst>
        </c:ser>
        <c:ser>
          <c:idx val="2"/>
          <c:order val="2"/>
          <c:tx>
            <c:strRef>
              <c:f>'Project Specific Reports'!$A$18</c:f>
              <c:strCache>
                <c:ptCount val="1"/>
                <c:pt idx="0">
                  <c:v>Pending</c:v>
                </c:pt>
              </c:strCache>
            </c:strRef>
          </c:tx>
          <c:invertIfNegative val="0"/>
          <c:val>
            <c:numRef>
              <c:f>'Project Specific Reports'!$B$18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3-4B10-9071-2317980D2B97}"/>
            </c:ext>
          </c:extLst>
        </c:ser>
        <c:ser>
          <c:idx val="3"/>
          <c:order val="3"/>
          <c:tx>
            <c:strRef>
              <c:f>'Project Specific Reports'!$A$19</c:f>
              <c:strCache>
                <c:ptCount val="1"/>
                <c:pt idx="0">
                  <c:v>Postponed</c:v>
                </c:pt>
              </c:strCache>
            </c:strRef>
          </c:tx>
          <c:invertIfNegative val="0"/>
          <c:val>
            <c:numRef>
              <c:f>'Project Specific Reports'!$B$19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53-4B10-9071-2317980D2B97}"/>
            </c:ext>
          </c:extLst>
        </c:ser>
        <c:ser>
          <c:idx val="4"/>
          <c:order val="4"/>
          <c:tx>
            <c:strRef>
              <c:f>'Project Specific Reports'!$A$20</c:f>
              <c:strCache>
                <c:ptCount val="1"/>
                <c:pt idx="0">
                  <c:v>Cancelled</c:v>
                </c:pt>
              </c:strCache>
            </c:strRef>
          </c:tx>
          <c:invertIfNegative val="0"/>
          <c:val>
            <c:numRef>
              <c:f>'Project Specific Reports'!$B$20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53-4B10-9071-2317980D2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188352"/>
        <c:axId val="103189888"/>
      </c:barChart>
      <c:catAx>
        <c:axId val="103188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03189888"/>
        <c:crosses val="autoZero"/>
        <c:auto val="1"/>
        <c:lblAlgn val="ctr"/>
        <c:lblOffset val="100"/>
        <c:noMultiLvlLbl val="0"/>
      </c:catAx>
      <c:valAx>
        <c:axId val="103189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0318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28574</xdr:colOff>
      <xdr:row>1</xdr:row>
      <xdr:rowOff>123825</xdr:rowOff>
    </xdr:from>
    <xdr:to>
      <xdr:col>17</xdr:col>
      <xdr:colOff>609599</xdr:colOff>
      <xdr:row>17</xdr:row>
      <xdr:rowOff>57150</xdr:rowOff>
    </xdr:to>
    <xdr:graphicFrame macro="">
      <xdr:nvGraphicFramePr>
        <xdr:cNvPr id="7296" name="Chart 1">
          <a:extLst>
            <a:ext uri="{FF2B5EF4-FFF2-40B4-BE49-F238E27FC236}">
              <a16:creationId xmlns:a16="http://schemas.microsoft.com/office/drawing/2014/main" id="{00000000-0008-0000-0100-000080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123825</xdr:rowOff>
    </xdr:from>
    <xdr:to>
      <xdr:col>10</xdr:col>
      <xdr:colOff>514350</xdr:colOff>
      <xdr:row>17</xdr:row>
      <xdr:rowOff>66675</xdr:rowOff>
    </xdr:to>
    <xdr:graphicFrame macro="">
      <xdr:nvGraphicFramePr>
        <xdr:cNvPr id="7297" name="Chart 2">
          <a:extLst>
            <a:ext uri="{FF2B5EF4-FFF2-40B4-BE49-F238E27FC236}">
              <a16:creationId xmlns:a16="http://schemas.microsoft.com/office/drawing/2014/main" id="{00000000-0008-0000-0100-0000811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19050</xdr:rowOff>
    </xdr:from>
    <xdr:to>
      <xdr:col>11</xdr:col>
      <xdr:colOff>333375</xdr:colOff>
      <xdr:row>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495300</xdr:colOff>
      <xdr:row>1</xdr:row>
      <xdr:rowOff>19050</xdr:rowOff>
    </xdr:from>
    <xdr:to>
      <xdr:col>19</xdr:col>
      <xdr:colOff>190500</xdr:colOff>
      <xdr:row>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28575</xdr:colOff>
      <xdr:row>8</xdr:row>
      <xdr:rowOff>0</xdr:rowOff>
    </xdr:from>
    <xdr:to>
      <xdr:col>11</xdr:col>
      <xdr:colOff>333375</xdr:colOff>
      <xdr:row>19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imon Cameron-Leckey" id="{A9FC53A0-5979-451C-A090-FDA2840D8BBC}" userId="S::40410492@ads.qub.ac.uk::1112c033-bba9-4a5c-b512-7a1ded474eff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Q19" dT="2024-02-27T16:22:41.25" personId="{A9FC53A0-5979-451C-A090-FDA2840D8BBC}" id="{04DF1D69-2C0D-4778-8C27-FF0632AA4089}">
    <text>Sadly peter's work bugged and had to be reverted; so he had to restart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hdennis02@qub.ac.uk" TargetMode="External"/><Relationship Id="rId7" Type="http://schemas.openxmlformats.org/officeDocument/2006/relationships/hyperlink" Target="mailto:phepden01@qub.ac.uk" TargetMode="External"/><Relationship Id="rId2" Type="http://schemas.openxmlformats.org/officeDocument/2006/relationships/hyperlink" Target="mailto:phepden01@qub.ac.uk" TargetMode="External"/><Relationship Id="rId1" Type="http://schemas.openxmlformats.org/officeDocument/2006/relationships/hyperlink" Target="mailto:phepden01@qub.ac.uk" TargetMode="External"/><Relationship Id="rId6" Type="http://schemas.openxmlformats.org/officeDocument/2006/relationships/hyperlink" Target="mailto:phepden01@qub.ac.uk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mailto:lmccall09@qub.ac.uk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hdennis02@qub.ac.uk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dennis02@qub.ac.uk" TargetMode="External"/><Relationship Id="rId2" Type="http://schemas.openxmlformats.org/officeDocument/2006/relationships/hyperlink" Target="mailto:agreeran01@qub.ac.uk" TargetMode="External"/><Relationship Id="rId1" Type="http://schemas.openxmlformats.org/officeDocument/2006/relationships/hyperlink" Target="mailto:scameronleckey02@qub.ac.uk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lmccall09@qub.ac.uk" TargetMode="External"/><Relationship Id="rId4" Type="http://schemas.openxmlformats.org/officeDocument/2006/relationships/hyperlink" Target="mailto:phepden01@qub.ac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eterhepden@outlook.com" TargetMode="External"/><Relationship Id="rId3" Type="http://schemas.openxmlformats.org/officeDocument/2006/relationships/hyperlink" Target="mailto:agreeran01@qub.ac.uk" TargetMode="External"/><Relationship Id="rId7" Type="http://schemas.openxmlformats.org/officeDocument/2006/relationships/hyperlink" Target="mailto:phepden01@qub.ac.uk" TargetMode="External"/><Relationship Id="rId2" Type="http://schemas.openxmlformats.org/officeDocument/2006/relationships/hyperlink" Target="mailto:simonleckey@outlook.com" TargetMode="External"/><Relationship Id="rId1" Type="http://schemas.openxmlformats.org/officeDocument/2006/relationships/hyperlink" Target="mailto:scameronleckey02@qub.ac.uk" TargetMode="External"/><Relationship Id="rId6" Type="http://schemas.openxmlformats.org/officeDocument/2006/relationships/hyperlink" Target="mailto:a.greeran11@gmail.com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Hannahaedennis@gmail.com" TargetMode="External"/><Relationship Id="rId10" Type="http://schemas.openxmlformats.org/officeDocument/2006/relationships/hyperlink" Target="mailto:luke.mccall03@gmail.com" TargetMode="External"/><Relationship Id="rId4" Type="http://schemas.openxmlformats.org/officeDocument/2006/relationships/hyperlink" Target="mailto:hdennis02@qub.ac.uk" TargetMode="External"/><Relationship Id="rId9" Type="http://schemas.openxmlformats.org/officeDocument/2006/relationships/hyperlink" Target="mailto:lmccall09@qub.ac.u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E25"/>
  <sheetViews>
    <sheetView zoomScale="125" zoomScaleNormal="145" workbookViewId="0">
      <pane xSplit="8" ySplit="3" topLeftCell="I4" activePane="bottomRight" state="frozen"/>
      <selection pane="bottomRight" activeCell="E33" sqref="E33"/>
      <selection pane="bottomLeft" activeCell="A3" sqref="A3"/>
      <selection pane="topRight" activeCell="F1" sqref="F1"/>
    </sheetView>
  </sheetViews>
  <sheetFormatPr defaultColWidth="9.140625" defaultRowHeight="12.75" outlineLevelCol="1"/>
  <cols>
    <col min="1" max="1" width="19" style="6" customWidth="1"/>
    <col min="2" max="2" width="16.42578125" style="6" bestFit="1" customWidth="1"/>
    <col min="3" max="3" width="15.85546875" style="6" customWidth="1"/>
    <col min="4" max="4" width="6" style="6" customWidth="1"/>
    <col min="5" max="5" width="42.85546875" style="6" customWidth="1"/>
    <col min="6" max="6" width="28.28515625" style="6" customWidth="1"/>
    <col min="7" max="7" width="7" style="6" customWidth="1"/>
    <col min="8" max="8" width="5.42578125" style="6" customWidth="1"/>
    <col min="9" max="9" width="4.28515625" style="6" customWidth="1"/>
    <col min="10" max="11" width="3.28515625" style="148" customWidth="1"/>
    <col min="12" max="12" width="2.42578125" style="6" customWidth="1"/>
    <col min="13" max="14" width="3.28515625" style="6" customWidth="1"/>
    <col min="15" max="15" width="2.42578125" style="6" customWidth="1"/>
    <col min="16" max="17" width="3.28515625" style="6" customWidth="1"/>
    <col min="18" max="18" width="2.42578125" style="6" customWidth="1"/>
    <col min="19" max="20" width="3.28515625" style="6" customWidth="1"/>
    <col min="21" max="21" width="2.42578125" style="6" customWidth="1"/>
    <col min="22" max="23" width="3.28515625" style="6" customWidth="1"/>
    <col min="24" max="24" width="2.42578125" style="6" customWidth="1"/>
    <col min="25" max="26" width="3.28515625" style="6" customWidth="1"/>
    <col min="27" max="27" width="2.42578125" style="6" customWidth="1"/>
    <col min="28" max="29" width="3.28515625" style="6" customWidth="1"/>
    <col min="30" max="30" width="2.42578125" style="6" customWidth="1"/>
    <col min="31" max="32" width="3.28515625" style="6" customWidth="1"/>
    <col min="33" max="33" width="2.42578125" style="6" customWidth="1"/>
    <col min="34" max="35" width="3.28515625" style="6" customWidth="1"/>
    <col min="36" max="36" width="2.42578125" style="6" customWidth="1"/>
    <col min="37" max="38" width="3.28515625" style="6" customWidth="1"/>
    <col min="39" max="39" width="2.42578125" style="6" customWidth="1"/>
    <col min="40" max="41" width="3.28515625" style="6" customWidth="1"/>
    <col min="42" max="42" width="2.42578125" style="6" customWidth="1"/>
    <col min="43" max="44" width="3.28515625" style="6" customWidth="1"/>
    <col min="45" max="45" width="2.42578125" style="6" customWidth="1"/>
    <col min="46" max="47" width="3.28515625" style="6" customWidth="1"/>
    <col min="48" max="48" width="2.42578125" style="6" customWidth="1"/>
    <col min="49" max="50" width="3.28515625" style="6" customWidth="1"/>
    <col min="51" max="51" width="2.42578125" style="6" customWidth="1"/>
    <col min="52" max="53" width="3.28515625" style="6" hidden="1" customWidth="1" outlineLevel="1"/>
    <col min="54" max="54" width="2.42578125" style="6" hidden="1" customWidth="1" outlineLevel="1"/>
    <col min="55" max="56" width="3.28515625" style="6" hidden="1" customWidth="1" outlineLevel="1"/>
    <col min="57" max="57" width="2.42578125" style="6" hidden="1" customWidth="1" outlineLevel="1"/>
    <col min="58" max="59" width="3.28515625" style="6" hidden="1" customWidth="1" outlineLevel="1"/>
    <col min="60" max="60" width="2.42578125" style="6" hidden="1" customWidth="1" outlineLevel="1"/>
    <col min="61" max="62" width="3.28515625" style="6" hidden="1" customWidth="1" outlineLevel="1"/>
    <col min="63" max="63" width="2.42578125" style="6" hidden="1" customWidth="1" outlineLevel="1"/>
    <col min="64" max="65" width="3.28515625" style="6" hidden="1" customWidth="1" outlineLevel="1"/>
    <col min="66" max="66" width="2.42578125" style="6" hidden="1" customWidth="1" outlineLevel="1"/>
    <col min="67" max="68" width="3.28515625" style="6" hidden="1" customWidth="1" outlineLevel="1"/>
    <col min="69" max="69" width="2.42578125" style="6" hidden="1" customWidth="1" outlineLevel="1"/>
    <col min="70" max="71" width="3.28515625" style="6" hidden="1" customWidth="1" outlineLevel="1"/>
    <col min="72" max="72" width="2.42578125" style="6" hidden="1" customWidth="1" outlineLevel="1"/>
    <col min="73" max="74" width="3.28515625" style="6" hidden="1" customWidth="1" outlineLevel="1"/>
    <col min="75" max="75" width="2.42578125" style="6" hidden="1" customWidth="1" outlineLevel="1"/>
    <col min="76" max="77" width="3.28515625" style="6" hidden="1" customWidth="1" outlineLevel="1"/>
    <col min="78" max="78" width="2.42578125" style="6" hidden="1" customWidth="1" outlineLevel="1"/>
    <col min="79" max="80" width="3.28515625" style="6" hidden="1" customWidth="1" outlineLevel="1"/>
    <col min="81" max="81" width="2.42578125" style="6" hidden="1" customWidth="1" outlineLevel="1"/>
    <col min="82" max="82" width="2.42578125" style="6" customWidth="1" collapsed="1"/>
    <col min="83" max="83" width="8.140625" style="6" customWidth="1"/>
    <col min="84" max="16384" width="9.140625" style="6"/>
  </cols>
  <sheetData>
    <row r="1" spans="1:83">
      <c r="A1" s="1"/>
      <c r="B1" s="1"/>
      <c r="C1" s="1"/>
      <c r="D1" s="1"/>
      <c r="E1" s="2"/>
      <c r="F1" s="3" t="s">
        <v>0</v>
      </c>
      <c r="G1" s="4">
        <f>SprintStart</f>
        <v>45337</v>
      </c>
      <c r="H1" s="1"/>
      <c r="I1" s="1"/>
      <c r="J1" s="183">
        <f>SprintStart</f>
        <v>45337</v>
      </c>
      <c r="K1" s="183"/>
      <c r="L1" s="183"/>
      <c r="M1" s="183">
        <f>IF(AND(SkipWeekends, WEEKDAY(J1)=6),J1+3, J1+1)</f>
        <v>45338</v>
      </c>
      <c r="N1" s="183"/>
      <c r="O1" s="183"/>
      <c r="P1" s="183">
        <f>IF(AND(SkipWeekends, WEEKDAY(M1)=6),M1+3, M1+1)</f>
        <v>45339</v>
      </c>
      <c r="Q1" s="183"/>
      <c r="R1" s="183"/>
      <c r="S1" s="183">
        <f>IF(AND(SkipWeekends, WEEKDAY(P1)=6),P1+3, P1+1)</f>
        <v>45340</v>
      </c>
      <c r="T1" s="183"/>
      <c r="U1" s="183"/>
      <c r="V1" s="183">
        <f>IF(AND(SkipWeekends, WEEKDAY(S1)=6),S1+3, S1+1)</f>
        <v>45341</v>
      </c>
      <c r="W1" s="183"/>
      <c r="X1" s="183"/>
      <c r="Y1" s="183">
        <f>IF(AND(SkipWeekends, WEEKDAY(V1)=6),V1+3, V1+1)</f>
        <v>45342</v>
      </c>
      <c r="Z1" s="183"/>
      <c r="AA1" s="183"/>
      <c r="AB1" s="183">
        <f>IF(AND(SkipWeekends, WEEKDAY(Y1)=6),Y1+3, Y1+1)</f>
        <v>45343</v>
      </c>
      <c r="AC1" s="183"/>
      <c r="AD1" s="183"/>
      <c r="AE1" s="183">
        <f>IF(AND(SkipWeekends, WEEKDAY(AB1)=6),AB1+3, AB1+1)</f>
        <v>45344</v>
      </c>
      <c r="AF1" s="183"/>
      <c r="AG1" s="183"/>
      <c r="AH1" s="183">
        <f>IF(AND(SkipWeekends, WEEKDAY(AE1)=6),AE1+3, AE1+1)</f>
        <v>45345</v>
      </c>
      <c r="AI1" s="183"/>
      <c r="AJ1" s="183"/>
      <c r="AK1" s="183">
        <f>IF(AND(SkipWeekends, WEEKDAY(AH1)=6),AH1+3, AH1+1)</f>
        <v>45346</v>
      </c>
      <c r="AL1" s="183"/>
      <c r="AM1" s="183"/>
      <c r="AN1" s="183">
        <f>IF(AND(SkipWeekends, WEEKDAY(AK1)=6),AK1+3, AK1+1)</f>
        <v>45347</v>
      </c>
      <c r="AO1" s="183"/>
      <c r="AP1" s="183"/>
      <c r="AQ1" s="183">
        <f>IF(AND(SkipWeekends, WEEKDAY(AN1)=6),AN1+3, AN1+1)</f>
        <v>45348</v>
      </c>
      <c r="AR1" s="183"/>
      <c r="AS1" s="183"/>
      <c r="AT1" s="183">
        <f>IF(AND(SkipWeekends, WEEKDAY(AQ1)=6),AQ1+3, AQ1+1)</f>
        <v>45349</v>
      </c>
      <c r="AU1" s="183"/>
      <c r="AV1" s="183"/>
      <c r="AW1" s="183">
        <f>IF(AND(SkipWeekends, WEEKDAY(AT1)=6),AT1+3, AT1+1)</f>
        <v>45350</v>
      </c>
      <c r="AX1" s="183"/>
      <c r="AY1" s="183"/>
      <c r="AZ1" s="183" t="e">
        <f>IF(AND(SkipWeekends, WEEKDAY(#REF!)=6),#REF!+3,#REF!+ 1)</f>
        <v>#REF!</v>
      </c>
      <c r="BA1" s="183"/>
      <c r="BB1" s="183"/>
      <c r="BC1" s="183" t="e">
        <f>IF(AND(SkipWeekends, WEEKDAY(AZ1)=6),AZ1+3, AZ1+1)</f>
        <v>#REF!</v>
      </c>
      <c r="BD1" s="183"/>
      <c r="BE1" s="183"/>
      <c r="BF1" s="183" t="e">
        <f>IF(AND(SkipWeekends, WEEKDAY(BC1)=6),BC1+3, BC1+1)</f>
        <v>#REF!</v>
      </c>
      <c r="BG1" s="183"/>
      <c r="BH1" s="183"/>
      <c r="BI1" s="183" t="e">
        <f>IF(AND(SkipWeekends, WEEKDAY(BF1)=6),BF1+3, BF1+1)</f>
        <v>#REF!</v>
      </c>
      <c r="BJ1" s="183"/>
      <c r="BK1" s="183"/>
      <c r="BL1" s="183" t="e">
        <f>IF(AND(SkipWeekends, WEEKDAY(BI1)=6),BI1+3, BI1+1)</f>
        <v>#REF!</v>
      </c>
      <c r="BM1" s="183"/>
      <c r="BN1" s="183"/>
      <c r="BO1" s="183" t="e">
        <f>IF(AND(SkipWeekends, WEEKDAY(BL1)=6),BL1+3, BL1+1)</f>
        <v>#REF!</v>
      </c>
      <c r="BP1" s="183"/>
      <c r="BQ1" s="183"/>
      <c r="BR1" s="183" t="e">
        <f>IF(AND(SkipWeekends, WEEKDAY(BO1)=6),BO1+3, BO1+1)</f>
        <v>#REF!</v>
      </c>
      <c r="BS1" s="183"/>
      <c r="BT1" s="183"/>
      <c r="BU1" s="183" t="e">
        <f>IF(AND(SkipWeekends, WEEKDAY(BR1)=6),BR1+3, BR1+1)</f>
        <v>#REF!</v>
      </c>
      <c r="BV1" s="183"/>
      <c r="BW1" s="183"/>
      <c r="BX1" s="183" t="e">
        <f>IF(AND(SkipWeekends, WEEKDAY(BU1)=6),BU1+3, BU1+1)</f>
        <v>#REF!</v>
      </c>
      <c r="BY1" s="183"/>
      <c r="BZ1" s="183"/>
      <c r="CA1" s="183" t="e">
        <f>IF(AND(SkipWeekends, WEEKDAY(BX1)=6),BX1+3, BX1+1)</f>
        <v>#REF!</v>
      </c>
      <c r="CB1" s="183"/>
      <c r="CC1" s="183"/>
      <c r="CD1" s="5"/>
      <c r="CE1" s="1"/>
    </row>
    <row r="2" spans="1:83">
      <c r="A2" s="1"/>
      <c r="B2" s="1"/>
      <c r="C2" s="1"/>
      <c r="D2" s="1"/>
      <c r="E2" s="7"/>
      <c r="F2" s="8"/>
      <c r="G2" s="9"/>
      <c r="H2" s="1"/>
      <c r="I2" s="1"/>
      <c r="J2" s="143"/>
      <c r="K2" s="143" t="s">
        <v>1</v>
      </c>
      <c r="L2" s="10"/>
      <c r="M2" s="10"/>
      <c r="N2" s="10" t="s">
        <v>2</v>
      </c>
      <c r="O2" s="10"/>
      <c r="P2" s="10"/>
      <c r="Q2" s="10" t="s">
        <v>3</v>
      </c>
      <c r="R2" s="10"/>
      <c r="S2" s="10"/>
      <c r="T2" s="10" t="s">
        <v>4</v>
      </c>
      <c r="U2" s="10"/>
      <c r="V2" s="10"/>
      <c r="W2" s="10" t="s">
        <v>5</v>
      </c>
      <c r="X2" s="10"/>
      <c r="Y2" s="10"/>
      <c r="Z2" s="10" t="s">
        <v>6</v>
      </c>
      <c r="AA2" s="10"/>
      <c r="AB2" s="10"/>
      <c r="AC2" s="10" t="s">
        <v>7</v>
      </c>
      <c r="AD2" s="10"/>
      <c r="AE2" s="10"/>
      <c r="AF2" s="10" t="s">
        <v>8</v>
      </c>
      <c r="AG2" s="10"/>
      <c r="AH2" s="10"/>
      <c r="AI2" s="10" t="s">
        <v>9</v>
      </c>
      <c r="AJ2" s="10"/>
      <c r="AK2" s="10"/>
      <c r="AL2" s="10" t="s">
        <v>10</v>
      </c>
      <c r="AM2" s="10"/>
      <c r="AN2" s="10"/>
      <c r="AO2" s="10" t="s">
        <v>11</v>
      </c>
      <c r="AP2" s="10"/>
      <c r="AQ2" s="10"/>
      <c r="AR2" s="10" t="s">
        <v>12</v>
      </c>
      <c r="AS2" s="10"/>
      <c r="AT2" s="10"/>
      <c r="AU2" s="10" t="s">
        <v>13</v>
      </c>
      <c r="AV2" s="10"/>
      <c r="AW2" s="10"/>
      <c r="AX2" s="10" t="s">
        <v>14</v>
      </c>
      <c r="AY2" s="10"/>
      <c r="AZ2" s="10"/>
      <c r="BA2" s="10" t="s">
        <v>15</v>
      </c>
      <c r="BB2" s="10"/>
      <c r="BC2" s="10"/>
      <c r="BD2" s="10" t="s">
        <v>16</v>
      </c>
      <c r="BE2" s="10"/>
      <c r="BF2" s="10"/>
      <c r="BG2" s="10" t="s">
        <v>17</v>
      </c>
      <c r="BH2" s="10"/>
      <c r="BI2" s="10"/>
      <c r="BJ2" s="10" t="s">
        <v>18</v>
      </c>
      <c r="BK2" s="10"/>
      <c r="BL2" s="10"/>
      <c r="BM2" s="10" t="s">
        <v>19</v>
      </c>
      <c r="BN2" s="10"/>
      <c r="BO2" s="10"/>
      <c r="BP2" s="10" t="s">
        <v>20</v>
      </c>
      <c r="BQ2" s="10"/>
      <c r="BR2" s="10"/>
      <c r="BS2" s="10" t="s">
        <v>21</v>
      </c>
      <c r="BT2" s="10"/>
      <c r="BU2" s="10"/>
      <c r="BV2" s="10" t="s">
        <v>22</v>
      </c>
      <c r="BW2" s="10"/>
      <c r="BX2" s="10"/>
      <c r="BY2" s="10" t="s">
        <v>23</v>
      </c>
      <c r="BZ2" s="10"/>
      <c r="CA2" s="10"/>
      <c r="CB2" s="10" t="s">
        <v>24</v>
      </c>
      <c r="CC2" s="10"/>
      <c r="CD2" s="5"/>
      <c r="CE2" s="1"/>
    </row>
    <row r="3" spans="1:83" ht="38.25" customHeight="1">
      <c r="A3" s="11" t="s">
        <v>25</v>
      </c>
      <c r="B3" s="11" t="s">
        <v>26</v>
      </c>
      <c r="C3" s="11" t="s">
        <v>27</v>
      </c>
      <c r="D3" s="11" t="s">
        <v>28</v>
      </c>
      <c r="E3" s="1" t="s">
        <v>29</v>
      </c>
      <c r="F3" s="1" t="s">
        <v>30</v>
      </c>
      <c r="G3" s="1" t="s">
        <v>31</v>
      </c>
      <c r="H3" s="12" t="s">
        <v>32</v>
      </c>
      <c r="I3" s="12" t="s">
        <v>33</v>
      </c>
      <c r="J3" s="144" t="s">
        <v>34</v>
      </c>
      <c r="K3" s="145" t="s">
        <v>35</v>
      </c>
      <c r="L3" s="14"/>
      <c r="M3" s="13" t="s">
        <v>34</v>
      </c>
      <c r="N3" s="14" t="s">
        <v>35</v>
      </c>
      <c r="O3" s="14"/>
      <c r="P3" s="13" t="s">
        <v>34</v>
      </c>
      <c r="Q3" s="14" t="s">
        <v>35</v>
      </c>
      <c r="R3" s="14"/>
      <c r="S3" s="13" t="s">
        <v>34</v>
      </c>
      <c r="T3" s="14" t="s">
        <v>35</v>
      </c>
      <c r="U3" s="14"/>
      <c r="V3" s="13" t="s">
        <v>34</v>
      </c>
      <c r="W3" s="14" t="s">
        <v>35</v>
      </c>
      <c r="X3" s="14"/>
      <c r="Y3" s="13" t="s">
        <v>34</v>
      </c>
      <c r="Z3" s="14" t="s">
        <v>35</v>
      </c>
      <c r="AA3" s="14"/>
      <c r="AB3" s="13" t="s">
        <v>34</v>
      </c>
      <c r="AC3" s="14" t="s">
        <v>35</v>
      </c>
      <c r="AD3" s="14"/>
      <c r="AE3" s="13" t="s">
        <v>34</v>
      </c>
      <c r="AF3" s="14" t="s">
        <v>35</v>
      </c>
      <c r="AG3" s="14"/>
      <c r="AH3" s="13" t="s">
        <v>34</v>
      </c>
      <c r="AI3" s="14" t="s">
        <v>35</v>
      </c>
      <c r="AJ3" s="14"/>
      <c r="AK3" s="13" t="s">
        <v>34</v>
      </c>
      <c r="AL3" s="14" t="s">
        <v>35</v>
      </c>
      <c r="AM3" s="14"/>
      <c r="AN3" s="13" t="s">
        <v>34</v>
      </c>
      <c r="AO3" s="14" t="s">
        <v>35</v>
      </c>
      <c r="AP3" s="14"/>
      <c r="AQ3" s="13" t="s">
        <v>34</v>
      </c>
      <c r="AR3" s="14" t="s">
        <v>35</v>
      </c>
      <c r="AS3" s="14"/>
      <c r="AT3" s="13" t="s">
        <v>34</v>
      </c>
      <c r="AU3" s="14" t="s">
        <v>35</v>
      </c>
      <c r="AV3" s="14"/>
      <c r="AW3" s="13" t="s">
        <v>34</v>
      </c>
      <c r="AX3" s="14" t="s">
        <v>35</v>
      </c>
      <c r="AY3" s="14"/>
      <c r="AZ3" s="13" t="s">
        <v>34</v>
      </c>
      <c r="BA3" s="14" t="s">
        <v>35</v>
      </c>
      <c r="BB3" s="14"/>
      <c r="BC3" s="13" t="s">
        <v>34</v>
      </c>
      <c r="BD3" s="14" t="s">
        <v>35</v>
      </c>
      <c r="BE3" s="14"/>
      <c r="BF3" s="13" t="s">
        <v>34</v>
      </c>
      <c r="BG3" s="14" t="s">
        <v>35</v>
      </c>
      <c r="BH3" s="14"/>
      <c r="BI3" s="13" t="s">
        <v>34</v>
      </c>
      <c r="BJ3" s="14" t="s">
        <v>35</v>
      </c>
      <c r="BK3" s="14"/>
      <c r="BL3" s="13" t="s">
        <v>34</v>
      </c>
      <c r="BM3" s="14" t="s">
        <v>35</v>
      </c>
      <c r="BN3" s="14"/>
      <c r="BO3" s="13" t="s">
        <v>34</v>
      </c>
      <c r="BP3" s="14" t="s">
        <v>35</v>
      </c>
      <c r="BQ3" s="14"/>
      <c r="BR3" s="13" t="s">
        <v>34</v>
      </c>
      <c r="BS3" s="14" t="s">
        <v>35</v>
      </c>
      <c r="BT3" s="14"/>
      <c r="BU3" s="13" t="s">
        <v>34</v>
      </c>
      <c r="BV3" s="14" t="s">
        <v>35</v>
      </c>
      <c r="BW3" s="14"/>
      <c r="BX3" s="13" t="s">
        <v>34</v>
      </c>
      <c r="BY3" s="14" t="s">
        <v>35</v>
      </c>
      <c r="BZ3" s="14"/>
      <c r="CA3" s="13" t="s">
        <v>34</v>
      </c>
      <c r="CB3" s="14" t="s">
        <v>35</v>
      </c>
      <c r="CC3" s="14"/>
      <c r="CD3" s="14"/>
      <c r="CE3" s="15" t="s">
        <v>36</v>
      </c>
    </row>
    <row r="4" spans="1:83">
      <c r="A4" s="16" t="s">
        <v>37</v>
      </c>
      <c r="B4" s="16" t="s">
        <v>38</v>
      </c>
      <c r="C4" s="172" t="s">
        <v>39</v>
      </c>
      <c r="D4" s="173">
        <v>1</v>
      </c>
      <c r="E4" s="176" t="s">
        <v>40</v>
      </c>
      <c r="F4" s="171" t="s">
        <v>41</v>
      </c>
      <c r="G4" s="19" t="s">
        <v>42</v>
      </c>
      <c r="H4" s="20">
        <v>3</v>
      </c>
      <c r="I4" s="21">
        <v>3</v>
      </c>
      <c r="J4" s="22">
        <v>0</v>
      </c>
      <c r="K4" s="22">
        <f t="shared" ref="K4:K15" si="0">MAX(I4-J4, 0)</f>
        <v>3</v>
      </c>
      <c r="L4" s="23" t="str">
        <f>IF(SUMPRODUCT($J$22:K$22,$J4:K4)&lt;0.5, "Pending", IF(K4&lt;0.5, "Complete", "In Progress"))</f>
        <v>Pending</v>
      </c>
      <c r="M4" s="22">
        <v>0</v>
      </c>
      <c r="N4" s="22">
        <f t="shared" ref="N4:N15" si="1">MAX(K4-M4,0)</f>
        <v>3</v>
      </c>
      <c r="O4" s="23" t="str">
        <f>IF(SUMPRODUCT($J$22:N$22,$J4:N4)&lt;0.5, "Pending", IF(N4&lt;0.5, "Complete", "In Progress"))</f>
        <v>Pending</v>
      </c>
      <c r="P4" s="22">
        <v>0.5</v>
      </c>
      <c r="Q4" s="22">
        <f t="shared" ref="Q4:Q15" si="2">MAX(N4-P4,0)</f>
        <v>2.5</v>
      </c>
      <c r="R4" s="23" t="str">
        <f>IF(SUMPRODUCT($J$22:Q$22,$J4:Q4)&lt;0.5, "Pending", IF(Q4&lt;0.5, "Complete", "In Progress"))</f>
        <v>In Progress</v>
      </c>
      <c r="S4" s="22">
        <v>0</v>
      </c>
      <c r="T4" s="22">
        <f t="shared" ref="T4:T15" si="3">MAX(Q4-S4,0)</f>
        <v>2.5</v>
      </c>
      <c r="U4" s="23" t="str">
        <f>IF(SUMPRODUCT($J$22:T$22,$J4:T4)&lt;0.5, "Pending", IF(T4&lt;0.5, "Complete", "In Progress"))</f>
        <v>In Progress</v>
      </c>
      <c r="V4" s="22">
        <v>0</v>
      </c>
      <c r="W4" s="22">
        <f t="shared" ref="W4:W15" si="4">MAX(T4-V4,0)</f>
        <v>2.5</v>
      </c>
      <c r="X4" s="23" t="str">
        <f>IF(SUMPRODUCT($J$22:W$22,$J4:W4)&lt;0.5, "Pending", IF(W4&lt;0.5, "Complete", "In Progress"))</f>
        <v>In Progress</v>
      </c>
      <c r="Y4" s="22">
        <v>1</v>
      </c>
      <c r="Z4" s="22">
        <f t="shared" ref="Z4:Z15" si="5">MAX(W4-Y4,0)</f>
        <v>1.5</v>
      </c>
      <c r="AA4" s="23" t="str">
        <f>IF(SUMPRODUCT($J$22:Z$22,$J4:Z4)&lt;0.5, "Pending", IF(Z4&lt;0.5, "Complete", "In Progress"))</f>
        <v>In Progress</v>
      </c>
      <c r="AB4" s="22">
        <v>0</v>
      </c>
      <c r="AC4" s="22">
        <f t="shared" ref="AC4:AC15" si="6">MAX(Z4-AB4,0)</f>
        <v>1.5</v>
      </c>
      <c r="AD4" s="23" t="str">
        <f>IF(SUMPRODUCT($J$22:AC$22,$J4:AC4)&lt;0.5, "Pending", IF(AC4&lt;0.5, "Complete", "In Progress"))</f>
        <v>In Progress</v>
      </c>
      <c r="AE4" s="22">
        <v>1</v>
      </c>
      <c r="AF4" s="22">
        <f t="shared" ref="AF4:AF15" si="7">MAX(AC4-AE4,0)</f>
        <v>0.5</v>
      </c>
      <c r="AG4" s="23" t="str">
        <f>IF(SUMPRODUCT($J$22:AF$22,$J4:AF4)&lt;0.5, "Pending", IF(AF4&lt;0.5, "Complete", "In Progress"))</f>
        <v>In Progress</v>
      </c>
      <c r="AH4" s="22">
        <v>0.5</v>
      </c>
      <c r="AI4" s="22">
        <f t="shared" ref="AI4:AI15" si="8">MAX(AF4-AH4,0)</f>
        <v>0</v>
      </c>
      <c r="AJ4" s="23" t="str">
        <f>IF(SUMPRODUCT($J$22:AI$22,$J4:AI4)&lt;0.5, "Pending", IF(AI4&lt;0.5, "Complete", "In Progress"))</f>
        <v>Complete</v>
      </c>
      <c r="AK4" s="22">
        <v>0</v>
      </c>
      <c r="AL4" s="22">
        <f t="shared" ref="AL4:AL15" si="9">MAX(AI4-AK4,0)</f>
        <v>0</v>
      </c>
      <c r="AM4" s="23" t="str">
        <f>IF(SUMPRODUCT($J$22:AL$22,$J4:AL4)&lt;0.5, "Pending", IF(AL4&lt;0.5, "Complete", "In Progress"))</f>
        <v>Complete</v>
      </c>
      <c r="AN4" s="22">
        <v>0</v>
      </c>
      <c r="AO4" s="22">
        <f t="shared" ref="AO4:AO15" si="10">MAX(AL4-AN4,0)</f>
        <v>0</v>
      </c>
      <c r="AP4" s="23" t="str">
        <f>IF(SUMPRODUCT($J$22:AO$22,$J4:AO4)&lt;0.5, "Pending", IF(AO4&lt;0.5, "Complete", "In Progress"))</f>
        <v>Complete</v>
      </c>
      <c r="AQ4" s="22">
        <v>0</v>
      </c>
      <c r="AR4" s="22">
        <f t="shared" ref="AR4:AR15" si="11">MAX(AO4-AQ4,0)</f>
        <v>0</v>
      </c>
      <c r="AS4" s="23" t="str">
        <f>IF(SUMPRODUCT($J$22:AR$22,$J4:AR4)&lt;0.5, "Pending", IF(AR4&lt;0.5, "Complete", "In Progress"))</f>
        <v>Complete</v>
      </c>
      <c r="AT4" s="22">
        <v>0</v>
      </c>
      <c r="AU4" s="22">
        <f t="shared" ref="AU4:AU15" si="12">MAX(AR4-AT4,0)</f>
        <v>0</v>
      </c>
      <c r="AV4" s="23" t="str">
        <f>IF(SUMPRODUCT($J$22:AU$22,$J4:AU4)&lt;0.5, "Pending", IF(AU4&lt;0.5, "Complete", "In Progress"))</f>
        <v>Complete</v>
      </c>
      <c r="AW4" s="22">
        <v>0</v>
      </c>
      <c r="AX4" s="22">
        <f t="shared" ref="AX4:AX15" si="13">MAX(AU4-AW4,0)</f>
        <v>0</v>
      </c>
      <c r="AY4" s="23" t="str">
        <f>IF(SUMPRODUCT($J$22:AX$22,$J4:AX4)&lt;0.5, "Pending", IF(AX4&lt;0.5, "Complete", "In Progress"))</f>
        <v>Complete</v>
      </c>
      <c r="AZ4" s="22">
        <v>0</v>
      </c>
      <c r="BA4" s="22" t="e">
        <f>MAX(#REF!-AZ4,0)</f>
        <v>#REF!</v>
      </c>
      <c r="BB4" s="23" t="e">
        <f>IF(SUMPRODUCT($J$22:BA$22,$J4:BA4)&lt;0.5, "Pending", IF(BA4&lt;0.5, "Complete", "In Progress"))</f>
        <v>#REF!</v>
      </c>
      <c r="BC4" s="22">
        <v>0</v>
      </c>
      <c r="BD4" s="22" t="e">
        <f t="shared" ref="BD4:BD15" si="14">MAX(BA4-BC4,0)</f>
        <v>#REF!</v>
      </c>
      <c r="BE4" s="23" t="e">
        <f>IF(SUMPRODUCT($J$22:BD$22,$J4:BD4)&lt;0.5, "Pending", IF(BD4&lt;0.5, "Complete", "In Progress"))</f>
        <v>#REF!</v>
      </c>
      <c r="BF4" s="22">
        <v>0</v>
      </c>
      <c r="BG4" s="22" t="e">
        <f t="shared" ref="BG4:BG15" si="15">MAX(BD4-BF4,0)</f>
        <v>#REF!</v>
      </c>
      <c r="BH4" s="23" t="e">
        <f>IF(SUMPRODUCT($J$22:BG$22,$J4:BG4)&lt;0.5, "Pending", IF(BG4&lt;0.5, "Complete", "In Progress"))</f>
        <v>#REF!</v>
      </c>
      <c r="BI4" s="22">
        <v>0</v>
      </c>
      <c r="BJ4" s="22" t="e">
        <f t="shared" ref="BJ4:BJ15" si="16">MAX(BG4-BI4,0)</f>
        <v>#REF!</v>
      </c>
      <c r="BK4" s="23" t="e">
        <f>IF(SUMPRODUCT($J$22:BJ$22,$J4:BJ4)&lt;0.5, "Pending", IF(BJ4&lt;0.5, "Complete", "In Progress"))</f>
        <v>#REF!</v>
      </c>
      <c r="BL4" s="22">
        <v>0</v>
      </c>
      <c r="BM4" s="22" t="e">
        <f t="shared" ref="BM4:BM15" si="17">MAX(BJ4-BL4,0)</f>
        <v>#REF!</v>
      </c>
      <c r="BN4" s="23" t="e">
        <f>IF(SUMPRODUCT($J$22:BM$22,$J4:BM4)&lt;0.5, "Pending", IF(BM4&lt;0.5, "Complete", "In Progress"))</f>
        <v>#REF!</v>
      </c>
      <c r="BO4" s="22">
        <v>0</v>
      </c>
      <c r="BP4" s="22" t="e">
        <f t="shared" ref="BP4:BP15" si="18">MAX(BM4-BO4,0)</f>
        <v>#REF!</v>
      </c>
      <c r="BQ4" s="23" t="e">
        <f>IF(SUMPRODUCT($J$22:BP$22,$J4:BP4)&lt;0.5, "Pending", IF(BP4&lt;0.5, "Complete", "In Progress"))</f>
        <v>#REF!</v>
      </c>
      <c r="BR4" s="22">
        <v>0</v>
      </c>
      <c r="BS4" s="22" t="e">
        <f t="shared" ref="BS4:BS15" si="19">MAX(BP4-BR4,0)</f>
        <v>#REF!</v>
      </c>
      <c r="BT4" s="23" t="e">
        <f>IF(SUMPRODUCT($J$22:BS$22,$J4:BS4)&lt;0.5, "Pending", IF(BS4&lt;0.5, "Complete", "In Progress"))</f>
        <v>#REF!</v>
      </c>
      <c r="BU4" s="22">
        <v>0</v>
      </c>
      <c r="BV4" s="22" t="e">
        <f t="shared" ref="BV4:BV15" si="20">MAX(BS4-BU4,0)</f>
        <v>#REF!</v>
      </c>
      <c r="BW4" s="23" t="e">
        <f>IF(SUMPRODUCT($J$22:BV$22,$J4:BV4)&lt;0.5, "Pending", IF(BV4&lt;0.5, "Complete", "In Progress"))</f>
        <v>#REF!</v>
      </c>
      <c r="BX4" s="22">
        <v>0</v>
      </c>
      <c r="BY4" s="22" t="e">
        <f t="shared" ref="BY4:BY15" si="21">MAX(BV4-BX4,0)</f>
        <v>#REF!</v>
      </c>
      <c r="BZ4" s="23" t="e">
        <f>IF(SUMPRODUCT($J$22:BY$22,$J4:BY4)&lt;0.5, "Pending", IF(BY4&lt;0.5, "Complete", "In Progress"))</f>
        <v>#REF!</v>
      </c>
      <c r="CA4" s="22">
        <v>0</v>
      </c>
      <c r="CB4" s="22" t="e">
        <f t="shared" ref="CB4:CB15" si="22">MAX(BY4-CA4,0)</f>
        <v>#REF!</v>
      </c>
      <c r="CC4" s="23" t="e">
        <f>IF(SUMPRODUCT($J$22:CB$22,$J4:CB4)&lt;0.5, "Pending", IF(CB4&lt;0.5, "Complete", "In Progress"))</f>
        <v>#REF!</v>
      </c>
      <c r="CD4" s="24"/>
      <c r="CE4" s="25">
        <f>SUMPRODUCT($H$22:AY$22,$H4:AY4)</f>
        <v>3</v>
      </c>
    </row>
    <row r="5" spans="1:83">
      <c r="A5" s="16" t="s">
        <v>37</v>
      </c>
      <c r="B5" s="16" t="s">
        <v>38</v>
      </c>
      <c r="C5" s="178" t="s">
        <v>39</v>
      </c>
      <c r="D5" s="173">
        <v>2</v>
      </c>
      <c r="E5" s="177" t="s">
        <v>43</v>
      </c>
      <c r="F5" s="171" t="s">
        <v>44</v>
      </c>
      <c r="G5" s="19" t="s">
        <v>42</v>
      </c>
      <c r="H5" s="20">
        <v>1</v>
      </c>
      <c r="I5" s="21">
        <v>1</v>
      </c>
      <c r="J5" s="22">
        <v>0</v>
      </c>
      <c r="K5" s="22">
        <f t="shared" si="0"/>
        <v>1</v>
      </c>
      <c r="L5" s="23" t="str">
        <f>IF(SUMPRODUCT($J$22:K$22,$J5:K5)&lt;0.5, "Pending", IF(K5&lt;0.5, "Complete", "In Progress"))</f>
        <v>Pending</v>
      </c>
      <c r="M5" s="22">
        <v>0</v>
      </c>
      <c r="N5" s="22">
        <f t="shared" si="1"/>
        <v>1</v>
      </c>
      <c r="O5" s="23" t="str">
        <f>IF(SUMPRODUCT($J$22:N$22,$J5:N5)&lt;0.5, "Pending", IF(N5&lt;0.5, "Complete", "In Progress"))</f>
        <v>Pending</v>
      </c>
      <c r="P5" s="22">
        <v>0</v>
      </c>
      <c r="Q5" s="22">
        <f t="shared" si="2"/>
        <v>1</v>
      </c>
      <c r="R5" s="23" t="str">
        <f>IF(SUMPRODUCT($J$22:Q$22,$J5:Q5)&lt;0.5, "Pending", IF(Q5&lt;0.5, "Complete", "In Progress"))</f>
        <v>Pending</v>
      </c>
      <c r="S5" s="22">
        <v>0</v>
      </c>
      <c r="T5" s="22">
        <f t="shared" si="3"/>
        <v>1</v>
      </c>
      <c r="U5" s="23" t="str">
        <f>IF(SUMPRODUCT($J$22:T$22,$J5:T5)&lt;0.5, "Pending", IF(T5&lt;0.5, "Complete", "In Progress"))</f>
        <v>Pending</v>
      </c>
      <c r="V5" s="22">
        <v>0</v>
      </c>
      <c r="W5" s="22">
        <f t="shared" si="4"/>
        <v>1</v>
      </c>
      <c r="X5" s="23" t="str">
        <f>IF(SUMPRODUCT($J$22:W$22,$J5:W5)&lt;0.5, "Pending", IF(W5&lt;0.5, "Complete", "In Progress"))</f>
        <v>Pending</v>
      </c>
      <c r="Y5" s="22">
        <v>0</v>
      </c>
      <c r="Z5" s="22">
        <f t="shared" si="5"/>
        <v>1</v>
      </c>
      <c r="AA5" s="23" t="str">
        <f>IF(SUMPRODUCT($J$22:Z$22,$J5:Z5)&lt;0.5, "Pending", IF(Z5&lt;0.5, "Complete", "In Progress"))</f>
        <v>Pending</v>
      </c>
      <c r="AB5" s="22">
        <v>0</v>
      </c>
      <c r="AC5" s="22">
        <f t="shared" si="6"/>
        <v>1</v>
      </c>
      <c r="AD5" s="23" t="str">
        <f>IF(SUMPRODUCT($J$22:AC$22,$J5:AC5)&lt;0.5, "Pending", IF(AC5&lt;0.5, "Complete", "In Progress"))</f>
        <v>Pending</v>
      </c>
      <c r="AE5" s="22">
        <v>0</v>
      </c>
      <c r="AF5" s="22">
        <f t="shared" si="7"/>
        <v>1</v>
      </c>
      <c r="AG5" s="23" t="str">
        <f>IF(SUMPRODUCT($J$22:AF$22,$J5:AF5)&lt;0.5, "Pending", IF(AF5&lt;0.5, "Complete", "In Progress"))</f>
        <v>Pending</v>
      </c>
      <c r="AH5" s="22">
        <v>0</v>
      </c>
      <c r="AI5" s="22">
        <f t="shared" si="8"/>
        <v>1</v>
      </c>
      <c r="AJ5" s="23" t="str">
        <f>IF(SUMPRODUCT($J$22:AI$22,$J5:AI5)&lt;0.5, "Pending", IF(AI5&lt;0.5, "Complete", "In Progress"))</f>
        <v>Pending</v>
      </c>
      <c r="AK5" s="22">
        <v>0</v>
      </c>
      <c r="AL5" s="22">
        <f t="shared" si="9"/>
        <v>1</v>
      </c>
      <c r="AM5" s="23" t="str">
        <f>IF(SUMPRODUCT($J$22:AL$22,$J5:AL5)&lt;0.5, "Pending", IF(AL5&lt;0.5, "Complete", "In Progress"))</f>
        <v>Pending</v>
      </c>
      <c r="AN5" s="22">
        <v>1</v>
      </c>
      <c r="AO5" s="22">
        <f t="shared" si="10"/>
        <v>0</v>
      </c>
      <c r="AP5" s="23" t="str">
        <f>IF(SUMPRODUCT($J$22:AO$22,$J5:AO5)&lt;0.5, "Pending", IF(AO5&lt;0.5, "Complete", "In Progress"))</f>
        <v>Complete</v>
      </c>
      <c r="AQ5" s="22">
        <v>0</v>
      </c>
      <c r="AR5" s="22">
        <f t="shared" si="11"/>
        <v>0</v>
      </c>
      <c r="AS5" s="23" t="str">
        <f>IF(SUMPRODUCT($J$22:AR$22,$J5:AR5)&lt;0.5, "Pending", IF(AR5&lt;0.5, "Complete", "In Progress"))</f>
        <v>Complete</v>
      </c>
      <c r="AT5" s="22">
        <v>0</v>
      </c>
      <c r="AU5" s="22">
        <f t="shared" si="12"/>
        <v>0</v>
      </c>
      <c r="AV5" s="23" t="str">
        <f>IF(SUMPRODUCT($J$22:AU$22,$J5:AU5)&lt;0.5, "Pending", IF(AU5&lt;0.5, "Complete", "In Progress"))</f>
        <v>Complete</v>
      </c>
      <c r="AW5" s="22">
        <v>0</v>
      </c>
      <c r="AX5" s="22">
        <f t="shared" si="13"/>
        <v>0</v>
      </c>
      <c r="AY5" s="23" t="str">
        <f>IF(SUMPRODUCT($J$22:AX$22,$J5:AX5)&lt;0.5, "Pending", IF(AX5&lt;0.5, "Complete", "In Progress"))</f>
        <v>Complete</v>
      </c>
      <c r="AZ5" s="22">
        <v>0</v>
      </c>
      <c r="BA5" s="22" t="e">
        <f>MAX(#REF!-AZ5,0)</f>
        <v>#REF!</v>
      </c>
      <c r="BB5" s="23" t="e">
        <f>IF(SUMPRODUCT($J$22:BA$22,$J5:BA5)&lt;0.5, "Pending", IF(BA5&lt;0.5, "Complete", "In Progress"))</f>
        <v>#REF!</v>
      </c>
      <c r="BC5" s="22">
        <v>0</v>
      </c>
      <c r="BD5" s="22" t="e">
        <f t="shared" si="14"/>
        <v>#REF!</v>
      </c>
      <c r="BE5" s="23" t="e">
        <f>IF(SUMPRODUCT($J$22:BD$22,$J5:BD5)&lt;0.5, "Pending", IF(BD5&lt;0.5, "Complete", "In Progress"))</f>
        <v>#REF!</v>
      </c>
      <c r="BF5" s="22">
        <v>0</v>
      </c>
      <c r="BG5" s="22" t="e">
        <f t="shared" si="15"/>
        <v>#REF!</v>
      </c>
      <c r="BH5" s="23" t="e">
        <f>IF(SUMPRODUCT($J$22:BG$22,$J5:BG5)&lt;0.5, "Pending", IF(BG5&lt;0.5, "Complete", "In Progress"))</f>
        <v>#REF!</v>
      </c>
      <c r="BI5" s="22">
        <v>0</v>
      </c>
      <c r="BJ5" s="22" t="e">
        <f t="shared" si="16"/>
        <v>#REF!</v>
      </c>
      <c r="BK5" s="23" t="e">
        <f>IF(SUMPRODUCT($J$22:BJ$22,$J5:BJ5)&lt;0.5, "Pending", IF(BJ5&lt;0.5, "Complete", "In Progress"))</f>
        <v>#REF!</v>
      </c>
      <c r="BL5" s="22">
        <v>0</v>
      </c>
      <c r="BM5" s="22" t="e">
        <f t="shared" si="17"/>
        <v>#REF!</v>
      </c>
      <c r="BN5" s="23" t="e">
        <f>IF(SUMPRODUCT($J$22:BM$22,$J5:BM5)&lt;0.5, "Pending", IF(BM5&lt;0.5, "Complete", "In Progress"))</f>
        <v>#REF!</v>
      </c>
      <c r="BO5" s="22">
        <v>0</v>
      </c>
      <c r="BP5" s="22" t="e">
        <f t="shared" si="18"/>
        <v>#REF!</v>
      </c>
      <c r="BQ5" s="23" t="e">
        <f>IF(SUMPRODUCT($J$22:BP$22,$J5:BP5)&lt;0.5, "Pending", IF(BP5&lt;0.5, "Complete", "In Progress"))</f>
        <v>#REF!</v>
      </c>
      <c r="BR5" s="22">
        <v>0</v>
      </c>
      <c r="BS5" s="22" t="e">
        <f t="shared" si="19"/>
        <v>#REF!</v>
      </c>
      <c r="BT5" s="23" t="e">
        <f>IF(SUMPRODUCT($J$22:BS$22,$J5:BS5)&lt;0.5, "Pending", IF(BS5&lt;0.5, "Complete", "In Progress"))</f>
        <v>#REF!</v>
      </c>
      <c r="BU5" s="22">
        <v>0</v>
      </c>
      <c r="BV5" s="22" t="e">
        <f t="shared" si="20"/>
        <v>#REF!</v>
      </c>
      <c r="BW5" s="23" t="e">
        <f>IF(SUMPRODUCT($J$22:BV$22,$J5:BV5)&lt;0.5, "Pending", IF(BV5&lt;0.5, "Complete", "In Progress"))</f>
        <v>#REF!</v>
      </c>
      <c r="BX5" s="22">
        <v>0</v>
      </c>
      <c r="BY5" s="22" t="e">
        <f t="shared" si="21"/>
        <v>#REF!</v>
      </c>
      <c r="BZ5" s="23" t="e">
        <f>IF(SUMPRODUCT($J$22:BY$22,$J5:BY5)&lt;0.5, "Pending", IF(BY5&lt;0.5, "Complete", "In Progress"))</f>
        <v>#REF!</v>
      </c>
      <c r="CA5" s="22">
        <v>0</v>
      </c>
      <c r="CB5" s="22" t="e">
        <f t="shared" si="22"/>
        <v>#REF!</v>
      </c>
      <c r="CC5" s="23" t="e">
        <f>IF(SUMPRODUCT($J$22:CB$22,$J5:CB5)&lt;0.5, "Pending", IF(CB5&lt;0.5, "Complete", "In Progress"))</f>
        <v>#REF!</v>
      </c>
      <c r="CD5" s="24"/>
      <c r="CE5" s="25">
        <f>SUMPRODUCT($H$22:AY$22,$H5:AY5)</f>
        <v>1</v>
      </c>
    </row>
    <row r="6" spans="1:83">
      <c r="A6" s="16" t="s">
        <v>37</v>
      </c>
      <c r="B6" s="16" t="s">
        <v>38</v>
      </c>
      <c r="C6" s="172" t="s">
        <v>39</v>
      </c>
      <c r="D6" s="173">
        <v>3</v>
      </c>
      <c r="E6" s="175" t="s">
        <v>45</v>
      </c>
      <c r="F6" s="179" t="s">
        <v>41</v>
      </c>
      <c r="G6" s="19" t="s">
        <v>42</v>
      </c>
      <c r="H6" s="20">
        <v>2.5</v>
      </c>
      <c r="I6" s="21">
        <v>2.5</v>
      </c>
      <c r="J6" s="22">
        <v>0</v>
      </c>
      <c r="K6" s="22">
        <f t="shared" si="0"/>
        <v>2.5</v>
      </c>
      <c r="L6" s="23" t="str">
        <f>IF(SUMPRODUCT($J$22:K$22,$J6:K6)&lt;0.5, "Pending", IF(K6&lt;0.5, "Complete", "In Progress"))</f>
        <v>Pending</v>
      </c>
      <c r="M6" s="22">
        <v>0</v>
      </c>
      <c r="N6" s="22">
        <f t="shared" si="1"/>
        <v>2.5</v>
      </c>
      <c r="O6" s="23" t="str">
        <f>IF(SUMPRODUCT($J$22:N$22,$J6:N6)&lt;0.5, "Pending", IF(N6&lt;0.5, "Complete", "In Progress"))</f>
        <v>Pending</v>
      </c>
      <c r="P6" s="22">
        <v>0</v>
      </c>
      <c r="Q6" s="22">
        <f t="shared" si="2"/>
        <v>2.5</v>
      </c>
      <c r="R6" s="23" t="str">
        <f>IF(SUMPRODUCT($J$22:Q$22,$J6:Q6)&lt;0.5, "Pending", IF(Q6&lt;0.5, "Complete", "In Progress"))</f>
        <v>Pending</v>
      </c>
      <c r="S6" s="22">
        <v>0</v>
      </c>
      <c r="T6" s="22">
        <f t="shared" si="3"/>
        <v>2.5</v>
      </c>
      <c r="U6" s="23" t="str">
        <f>IF(SUMPRODUCT($J$22:T$22,$J6:T6)&lt;0.5, "Pending", IF(T6&lt;0.5, "Complete", "In Progress"))</f>
        <v>Pending</v>
      </c>
      <c r="V6" s="22">
        <v>0</v>
      </c>
      <c r="W6" s="22">
        <f t="shared" si="4"/>
        <v>2.5</v>
      </c>
      <c r="X6" s="23" t="str">
        <f>IF(SUMPRODUCT($J$22:W$22,$J6:W6)&lt;0.5, "Pending", IF(W6&lt;0.5, "Complete", "In Progress"))</f>
        <v>Pending</v>
      </c>
      <c r="Y6" s="22">
        <v>0</v>
      </c>
      <c r="Z6" s="22">
        <f t="shared" si="5"/>
        <v>2.5</v>
      </c>
      <c r="AA6" s="23" t="str">
        <f>IF(SUMPRODUCT($J$22:Z$22,$J6:Z6)&lt;0.5, "Pending", IF(Z6&lt;0.5, "Complete", "In Progress"))</f>
        <v>Pending</v>
      </c>
      <c r="AB6" s="22">
        <v>0</v>
      </c>
      <c r="AC6" s="22">
        <f t="shared" si="6"/>
        <v>2.5</v>
      </c>
      <c r="AD6" s="23" t="str">
        <f>IF(SUMPRODUCT($J$22:AC$22,$J6:AC6)&lt;0.5, "Pending", IF(AC6&lt;0.5, "Complete", "In Progress"))</f>
        <v>Pending</v>
      </c>
      <c r="AE6" s="22">
        <v>0</v>
      </c>
      <c r="AF6" s="22">
        <f t="shared" si="7"/>
        <v>2.5</v>
      </c>
      <c r="AG6" s="23" t="str">
        <f>IF(SUMPRODUCT($J$22:AF$22,$J6:AF6)&lt;0.5, "Pending", IF(AF6&lt;0.5, "Complete", "In Progress"))</f>
        <v>Pending</v>
      </c>
      <c r="AH6" s="22">
        <v>0</v>
      </c>
      <c r="AI6" s="22">
        <f t="shared" si="8"/>
        <v>2.5</v>
      </c>
      <c r="AJ6" s="23" t="str">
        <f>IF(SUMPRODUCT($J$22:AI$22,$J6:AI6)&lt;0.5, "Pending", IF(AI6&lt;0.5, "Complete", "In Progress"))</f>
        <v>Pending</v>
      </c>
      <c r="AK6" s="22">
        <v>0</v>
      </c>
      <c r="AL6" s="22">
        <f t="shared" si="9"/>
        <v>2.5</v>
      </c>
      <c r="AM6" s="23" t="str">
        <f>IF(SUMPRODUCT($J$22:AL$22,$J6:AL6)&lt;0.5, "Pending", IF(AL6&lt;0.5, "Complete", "In Progress"))</f>
        <v>Pending</v>
      </c>
      <c r="AN6" s="22">
        <v>0</v>
      </c>
      <c r="AO6" s="22">
        <f t="shared" si="10"/>
        <v>2.5</v>
      </c>
      <c r="AP6" s="23" t="str">
        <f>IF(SUMPRODUCT($J$22:AO$22,$J6:AO6)&lt;0.5, "Pending", IF(AO6&lt;0.5, "Complete", "In Progress"))</f>
        <v>Pending</v>
      </c>
      <c r="AQ6" s="22">
        <v>0</v>
      </c>
      <c r="AR6" s="22">
        <f t="shared" si="11"/>
        <v>2.5</v>
      </c>
      <c r="AS6" s="23" t="str">
        <f>IF(SUMPRODUCT($J$22:AR$22,$J6:AR6)&lt;0.5, "Pending", IF(AR6&lt;0.5, "Complete", "In Progress"))</f>
        <v>Pending</v>
      </c>
      <c r="AT6" s="22">
        <v>2.5</v>
      </c>
      <c r="AU6" s="22">
        <f t="shared" si="12"/>
        <v>0</v>
      </c>
      <c r="AV6" s="23" t="str">
        <f>IF(SUMPRODUCT($J$22:AU$22,$J6:AU6)&lt;0.5, "Pending", IF(AU6&lt;0.5, "Complete", "In Progress"))</f>
        <v>Complete</v>
      </c>
      <c r="AW6" s="22">
        <v>0</v>
      </c>
      <c r="AX6" s="22">
        <f t="shared" si="13"/>
        <v>0</v>
      </c>
      <c r="AY6" s="23" t="str">
        <f>IF(SUMPRODUCT($J$22:AX$22,$J6:AX6)&lt;0.5, "Pending", IF(AX6&lt;0.5, "Complete", "In Progress"))</f>
        <v>Complete</v>
      </c>
      <c r="AZ6" s="22">
        <v>0</v>
      </c>
      <c r="BA6" s="22" t="e">
        <f>MAX(#REF!-AZ6,0)</f>
        <v>#REF!</v>
      </c>
      <c r="BB6" s="23" t="e">
        <f>IF(SUMPRODUCT($J$22:BA$22,$J6:BA6)&lt;0.5, "Pending", IF(BA6&lt;0.5, "Complete", "In Progress"))</f>
        <v>#REF!</v>
      </c>
      <c r="BC6" s="22">
        <v>0</v>
      </c>
      <c r="BD6" s="22" t="e">
        <f t="shared" si="14"/>
        <v>#REF!</v>
      </c>
      <c r="BE6" s="23" t="e">
        <f>IF(SUMPRODUCT($J$22:BD$22,$J6:BD6)&lt;0.5, "Pending", IF(BD6&lt;0.5, "Complete", "In Progress"))</f>
        <v>#REF!</v>
      </c>
      <c r="BF6" s="22">
        <v>0</v>
      </c>
      <c r="BG6" s="22" t="e">
        <f t="shared" si="15"/>
        <v>#REF!</v>
      </c>
      <c r="BH6" s="23" t="e">
        <f>IF(SUMPRODUCT($J$22:BG$22,$J6:BG6)&lt;0.5, "Pending", IF(BG6&lt;0.5, "Complete", "In Progress"))</f>
        <v>#REF!</v>
      </c>
      <c r="BI6" s="22">
        <v>0</v>
      </c>
      <c r="BJ6" s="22" t="e">
        <f t="shared" si="16"/>
        <v>#REF!</v>
      </c>
      <c r="BK6" s="23" t="e">
        <f>IF(SUMPRODUCT($J$22:BJ$22,$J6:BJ6)&lt;0.5, "Pending", IF(BJ6&lt;0.5, "Complete", "In Progress"))</f>
        <v>#REF!</v>
      </c>
      <c r="BL6" s="22">
        <v>0</v>
      </c>
      <c r="BM6" s="22" t="e">
        <f t="shared" si="17"/>
        <v>#REF!</v>
      </c>
      <c r="BN6" s="23" t="e">
        <f>IF(SUMPRODUCT($J$22:BM$22,$J6:BM6)&lt;0.5, "Pending", IF(BM6&lt;0.5, "Complete", "In Progress"))</f>
        <v>#REF!</v>
      </c>
      <c r="BO6" s="22">
        <v>0</v>
      </c>
      <c r="BP6" s="22" t="e">
        <f t="shared" si="18"/>
        <v>#REF!</v>
      </c>
      <c r="BQ6" s="23" t="e">
        <f>IF(SUMPRODUCT($J$22:BP$22,$J6:BP6)&lt;0.5, "Pending", IF(BP6&lt;0.5, "Complete", "In Progress"))</f>
        <v>#REF!</v>
      </c>
      <c r="BR6" s="22">
        <v>0</v>
      </c>
      <c r="BS6" s="22" t="e">
        <f t="shared" si="19"/>
        <v>#REF!</v>
      </c>
      <c r="BT6" s="23" t="e">
        <f>IF(SUMPRODUCT($J$22:BS$22,$J6:BS6)&lt;0.5, "Pending", IF(BS6&lt;0.5, "Complete", "In Progress"))</f>
        <v>#REF!</v>
      </c>
      <c r="BU6" s="22">
        <v>0</v>
      </c>
      <c r="BV6" s="22" t="e">
        <f t="shared" si="20"/>
        <v>#REF!</v>
      </c>
      <c r="BW6" s="23" t="e">
        <f>IF(SUMPRODUCT($J$22:BV$22,$J6:BV6)&lt;0.5, "Pending", IF(BV6&lt;0.5, "Complete", "In Progress"))</f>
        <v>#REF!</v>
      </c>
      <c r="BX6" s="22">
        <v>0</v>
      </c>
      <c r="BY6" s="22" t="e">
        <f t="shared" si="21"/>
        <v>#REF!</v>
      </c>
      <c r="BZ6" s="23" t="e">
        <f>IF(SUMPRODUCT($J$22:BY$22,$J6:BY6)&lt;0.5, "Pending", IF(BY6&lt;0.5, "Complete", "In Progress"))</f>
        <v>#REF!</v>
      </c>
      <c r="CA6" s="22">
        <v>0</v>
      </c>
      <c r="CB6" s="22" t="e">
        <f t="shared" si="22"/>
        <v>#REF!</v>
      </c>
      <c r="CC6" s="23" t="e">
        <f>IF(SUMPRODUCT($J$22:CB$22,$J6:CB6)&lt;0.5, "Pending", IF(CB6&lt;0.5, "Complete", "In Progress"))</f>
        <v>#REF!</v>
      </c>
      <c r="CD6" s="24"/>
      <c r="CE6" s="25">
        <f>SUMPRODUCT($H$22:AY$22,$H6:AY6)</f>
        <v>2.5</v>
      </c>
    </row>
    <row r="7" spans="1:83">
      <c r="A7" s="16" t="s">
        <v>37</v>
      </c>
      <c r="B7" s="16" t="s">
        <v>38</v>
      </c>
      <c r="C7" s="178" t="s">
        <v>39</v>
      </c>
      <c r="D7" s="173">
        <v>4</v>
      </c>
      <c r="E7" s="177" t="s">
        <v>46</v>
      </c>
      <c r="F7" s="171" t="s">
        <v>47</v>
      </c>
      <c r="G7" s="19" t="s">
        <v>42</v>
      </c>
      <c r="H7" s="20">
        <v>4</v>
      </c>
      <c r="I7" s="21">
        <v>4</v>
      </c>
      <c r="J7" s="22">
        <v>0</v>
      </c>
      <c r="K7" s="22">
        <v>3</v>
      </c>
      <c r="L7" s="23" t="str">
        <f>IF(SUMPRODUCT($J$22:K$22,$J7:K7)&lt;0.5, "Pending", IF(K7&lt;0.5, "Complete", "In Progress"))</f>
        <v>Pending</v>
      </c>
      <c r="M7" s="22">
        <v>0</v>
      </c>
      <c r="N7" s="22">
        <f t="shared" si="1"/>
        <v>3</v>
      </c>
      <c r="O7" s="23" t="str">
        <f>IF(SUMPRODUCT($J$22:N$22,$J7:N7)&lt;0.5, "Pending", IF(N7&lt;0.5, "Complete", "In Progress"))</f>
        <v>Pending</v>
      </c>
      <c r="P7" s="22">
        <v>0</v>
      </c>
      <c r="Q7" s="22">
        <f t="shared" si="2"/>
        <v>3</v>
      </c>
      <c r="R7" s="23" t="str">
        <f>IF(SUMPRODUCT($J$22:Q$22,$J7:Q7)&lt;0.5, "Pending", IF(Q7&lt;0.5, "Complete", "In Progress"))</f>
        <v>Pending</v>
      </c>
      <c r="S7" s="22">
        <v>0</v>
      </c>
      <c r="T7" s="22">
        <f t="shared" si="3"/>
        <v>3</v>
      </c>
      <c r="U7" s="23" t="str">
        <f>IF(SUMPRODUCT($J$22:T$22,$J7:T7)&lt;0.5, "Pending", IF(T7&lt;0.5, "Complete", "In Progress"))</f>
        <v>Pending</v>
      </c>
      <c r="V7" s="22">
        <v>0</v>
      </c>
      <c r="W7" s="22">
        <f t="shared" si="4"/>
        <v>3</v>
      </c>
      <c r="X7" s="23" t="str">
        <f>IF(SUMPRODUCT($J$22:W$22,$J7:W7)&lt;0.5, "Pending", IF(W7&lt;0.5, "Complete", "In Progress"))</f>
        <v>Pending</v>
      </c>
      <c r="Y7" s="22">
        <v>2</v>
      </c>
      <c r="Z7" s="22">
        <f t="shared" si="5"/>
        <v>1</v>
      </c>
      <c r="AA7" s="23" t="str">
        <f>IF(SUMPRODUCT($J$22:Z$22,$J7:Z7)&lt;0.5, "Pending", IF(Z7&lt;0.5, "Complete", "In Progress"))</f>
        <v>In Progress</v>
      </c>
      <c r="AB7" s="22">
        <v>0</v>
      </c>
      <c r="AC7" s="22">
        <f t="shared" si="6"/>
        <v>1</v>
      </c>
      <c r="AD7" s="23" t="str">
        <f>IF(SUMPRODUCT($J$22:AC$22,$J7:AC7)&lt;0.5, "Pending", IF(AC7&lt;0.5, "Complete", "In Progress"))</f>
        <v>In Progress</v>
      </c>
      <c r="AE7" s="22">
        <v>2</v>
      </c>
      <c r="AF7" s="22">
        <f t="shared" si="7"/>
        <v>0</v>
      </c>
      <c r="AG7" s="23" t="str">
        <f>IF(SUMPRODUCT($J$22:AF$22,$J7:AF7)&lt;0.5, "Pending", IF(AF7&lt;0.5, "Complete", "In Progress"))</f>
        <v>Complete</v>
      </c>
      <c r="AH7" s="22">
        <v>0</v>
      </c>
      <c r="AI7" s="22">
        <f t="shared" si="8"/>
        <v>0</v>
      </c>
      <c r="AJ7" s="23" t="str">
        <f>IF(SUMPRODUCT($J$22:AI$22,$J7:AI7)&lt;0.5, "Pending", IF(AI7&lt;0.5, "Complete", "In Progress"))</f>
        <v>Complete</v>
      </c>
      <c r="AK7" s="22">
        <v>0</v>
      </c>
      <c r="AL7" s="22">
        <f t="shared" si="9"/>
        <v>0</v>
      </c>
      <c r="AM7" s="23" t="str">
        <f>IF(SUMPRODUCT($J$22:AL$22,$J7:AL7)&lt;0.5, "Pending", IF(AL7&lt;0.5, "Complete", "In Progress"))</f>
        <v>Complete</v>
      </c>
      <c r="AN7" s="22">
        <v>0</v>
      </c>
      <c r="AO7" s="22">
        <f t="shared" si="10"/>
        <v>0</v>
      </c>
      <c r="AP7" s="23" t="str">
        <f>IF(SUMPRODUCT($J$22:AO$22,$J7:AO7)&lt;0.5, "Pending", IF(AO7&lt;0.5, "Complete", "In Progress"))</f>
        <v>Complete</v>
      </c>
      <c r="AQ7" s="22">
        <v>0</v>
      </c>
      <c r="AR7" s="22">
        <f t="shared" si="11"/>
        <v>0</v>
      </c>
      <c r="AS7" s="23" t="str">
        <f>IF(SUMPRODUCT($J$22:AR$22,$J7:AR7)&lt;0.5, "Pending", IF(AR7&lt;0.5, "Complete", "In Progress"))</f>
        <v>Complete</v>
      </c>
      <c r="AT7" s="22">
        <v>0</v>
      </c>
      <c r="AU7" s="22">
        <f t="shared" si="12"/>
        <v>0</v>
      </c>
      <c r="AV7" s="23" t="str">
        <f>IF(SUMPRODUCT($J$22:AU$22,$J7:AU7)&lt;0.5, "Pending", IF(AU7&lt;0.5, "Complete", "In Progress"))</f>
        <v>Complete</v>
      </c>
      <c r="AW7" s="22">
        <v>0</v>
      </c>
      <c r="AX7" s="22">
        <f t="shared" si="13"/>
        <v>0</v>
      </c>
      <c r="AY7" s="23" t="str">
        <f>IF(SUMPRODUCT($J$22:AX$22,$J7:AX7)&lt;0.5, "Pending", IF(AX7&lt;0.5, "Complete", "In Progress"))</f>
        <v>Complete</v>
      </c>
      <c r="AZ7" s="22">
        <v>0</v>
      </c>
      <c r="BA7" s="22" t="e">
        <f>MAX(#REF!-AZ7,0)</f>
        <v>#REF!</v>
      </c>
      <c r="BB7" s="23" t="e">
        <f>IF(SUMPRODUCT($J$22:BA$22,$J7:BA7)&lt;0.5, "Pending", IF(BA7&lt;0.5, "Complete", "In Progress"))</f>
        <v>#REF!</v>
      </c>
      <c r="BC7" s="22">
        <v>0</v>
      </c>
      <c r="BD7" s="22" t="e">
        <f t="shared" si="14"/>
        <v>#REF!</v>
      </c>
      <c r="BE7" s="23" t="e">
        <f>IF(SUMPRODUCT($J$22:BD$22,$J7:BD7)&lt;0.5, "Pending", IF(BD7&lt;0.5, "Complete", "In Progress"))</f>
        <v>#REF!</v>
      </c>
      <c r="BF7" s="22">
        <v>0</v>
      </c>
      <c r="BG7" s="22" t="e">
        <f t="shared" si="15"/>
        <v>#REF!</v>
      </c>
      <c r="BH7" s="23" t="e">
        <f>IF(SUMPRODUCT($J$22:BG$22,$J7:BG7)&lt;0.5, "Pending", IF(BG7&lt;0.5, "Complete", "In Progress"))</f>
        <v>#REF!</v>
      </c>
      <c r="BI7" s="22">
        <v>0</v>
      </c>
      <c r="BJ7" s="22" t="e">
        <f t="shared" si="16"/>
        <v>#REF!</v>
      </c>
      <c r="BK7" s="23" t="e">
        <f>IF(SUMPRODUCT($J$22:BJ$22,$J7:BJ7)&lt;0.5, "Pending", IF(BJ7&lt;0.5, "Complete", "In Progress"))</f>
        <v>#REF!</v>
      </c>
      <c r="BL7" s="22">
        <v>0</v>
      </c>
      <c r="BM7" s="22" t="e">
        <f t="shared" si="17"/>
        <v>#REF!</v>
      </c>
      <c r="BN7" s="23" t="e">
        <f>IF(SUMPRODUCT($J$22:BM$22,$J7:BM7)&lt;0.5, "Pending", IF(BM7&lt;0.5, "Complete", "In Progress"))</f>
        <v>#REF!</v>
      </c>
      <c r="BO7" s="22">
        <v>0</v>
      </c>
      <c r="BP7" s="22" t="e">
        <f t="shared" si="18"/>
        <v>#REF!</v>
      </c>
      <c r="BQ7" s="23" t="e">
        <f>IF(SUMPRODUCT($J$22:BP$22,$J7:BP7)&lt;0.5, "Pending", IF(BP7&lt;0.5, "Complete", "In Progress"))</f>
        <v>#REF!</v>
      </c>
      <c r="BR7" s="22">
        <v>0</v>
      </c>
      <c r="BS7" s="22" t="e">
        <f t="shared" si="19"/>
        <v>#REF!</v>
      </c>
      <c r="BT7" s="23" t="e">
        <f>IF(SUMPRODUCT($J$22:BS$22,$J7:BS7)&lt;0.5, "Pending", IF(BS7&lt;0.5, "Complete", "In Progress"))</f>
        <v>#REF!</v>
      </c>
      <c r="BU7" s="22">
        <v>0</v>
      </c>
      <c r="BV7" s="22" t="e">
        <f t="shared" si="20"/>
        <v>#REF!</v>
      </c>
      <c r="BW7" s="23" t="e">
        <f>IF(SUMPRODUCT($J$22:BV$22,$J7:BV7)&lt;0.5, "Pending", IF(BV7&lt;0.5, "Complete", "In Progress"))</f>
        <v>#REF!</v>
      </c>
      <c r="BX7" s="22">
        <v>0</v>
      </c>
      <c r="BY7" s="22" t="e">
        <f t="shared" si="21"/>
        <v>#REF!</v>
      </c>
      <c r="BZ7" s="23" t="e">
        <f>IF(SUMPRODUCT($J$22:BY$22,$J7:BY7)&lt;0.5, "Pending", IF(BY7&lt;0.5, "Complete", "In Progress"))</f>
        <v>#REF!</v>
      </c>
      <c r="CA7" s="22">
        <v>0</v>
      </c>
      <c r="CB7" s="22" t="e">
        <f t="shared" si="22"/>
        <v>#REF!</v>
      </c>
      <c r="CC7" s="23" t="e">
        <f>IF(SUMPRODUCT($J$22:CB$22,$J7:CB7)&lt;0.5, "Pending", IF(CB7&lt;0.5, "Complete", "In Progress"))</f>
        <v>#REF!</v>
      </c>
      <c r="CD7" s="24"/>
      <c r="CE7" s="25">
        <f>SUMPRODUCT($H$22:AY$22,$H7:AY7)</f>
        <v>4</v>
      </c>
    </row>
    <row r="8" spans="1:83">
      <c r="A8" s="16" t="s">
        <v>37</v>
      </c>
      <c r="B8" s="16" t="s">
        <v>38</v>
      </c>
      <c r="C8" s="172" t="s">
        <v>39</v>
      </c>
      <c r="D8" s="173">
        <v>5</v>
      </c>
      <c r="E8" s="175" t="s">
        <v>48</v>
      </c>
      <c r="F8" s="171" t="s">
        <v>47</v>
      </c>
      <c r="G8" s="19" t="s">
        <v>42</v>
      </c>
      <c r="H8" s="20">
        <v>2</v>
      </c>
      <c r="I8" s="21">
        <v>4</v>
      </c>
      <c r="J8" s="22">
        <v>0</v>
      </c>
      <c r="K8" s="181">
        <v>2</v>
      </c>
      <c r="L8" s="23" t="str">
        <f>IF(SUMPRODUCT($J$22:K$22,$J8:K8)&lt;0.5, "Pending", IF(K8&lt;0.5, "Complete", "In Progress"))</f>
        <v>Pending</v>
      </c>
      <c r="M8" s="22">
        <v>0</v>
      </c>
      <c r="N8" s="22">
        <f t="shared" si="1"/>
        <v>2</v>
      </c>
      <c r="O8" s="23" t="str">
        <f>IF(SUMPRODUCT($J$22:N$22,$J8:N8)&lt;0.5, "Pending", IF(N8&lt;0.5, "Complete", "In Progress"))</f>
        <v>Pending</v>
      </c>
      <c r="P8" s="22">
        <v>0</v>
      </c>
      <c r="Q8" s="22">
        <f t="shared" si="2"/>
        <v>2</v>
      </c>
      <c r="R8" s="23" t="str">
        <f>IF(SUMPRODUCT($J$22:Q$22,$J8:Q8)&lt;0.5, "Pending", IF(Q8&lt;0.5, "Complete", "In Progress"))</f>
        <v>Pending</v>
      </c>
      <c r="S8" s="22">
        <v>0</v>
      </c>
      <c r="T8" s="22">
        <f t="shared" si="3"/>
        <v>2</v>
      </c>
      <c r="U8" s="23" t="str">
        <f>IF(SUMPRODUCT($J$22:T$22,$J8:T8)&lt;0.5, "Pending", IF(T8&lt;0.5, "Complete", "In Progress"))</f>
        <v>Pending</v>
      </c>
      <c r="V8" s="22">
        <v>0</v>
      </c>
      <c r="W8" s="22">
        <f t="shared" si="4"/>
        <v>2</v>
      </c>
      <c r="X8" s="23" t="str">
        <f>IF(SUMPRODUCT($J$22:W$22,$J8:W8)&lt;0.5, "Pending", IF(W8&lt;0.5, "Complete", "In Progress"))</f>
        <v>Pending</v>
      </c>
      <c r="Y8" s="22">
        <v>2</v>
      </c>
      <c r="Z8" s="22">
        <f t="shared" si="5"/>
        <v>0</v>
      </c>
      <c r="AA8" s="23" t="str">
        <f>IF(SUMPRODUCT($J$22:Z$22,$J8:Z8)&lt;0.5, "Pending", IF(Z8&lt;0.5, "Complete", "In Progress"))</f>
        <v>Complete</v>
      </c>
      <c r="AB8" s="22">
        <v>0</v>
      </c>
      <c r="AC8" s="22">
        <f t="shared" si="6"/>
        <v>0</v>
      </c>
      <c r="AD8" s="23" t="str">
        <f>IF(SUMPRODUCT($J$22:AC$22,$J8:AC8)&lt;0.5, "Pending", IF(AC8&lt;0.5, "Complete", "In Progress"))</f>
        <v>Complete</v>
      </c>
      <c r="AE8" s="22">
        <v>0</v>
      </c>
      <c r="AF8" s="22">
        <f t="shared" si="7"/>
        <v>0</v>
      </c>
      <c r="AG8" s="23" t="str">
        <f>IF(SUMPRODUCT($J$22:AF$22,$J8:AF8)&lt;0.5, "Pending", IF(AF8&lt;0.5, "Complete", "In Progress"))</f>
        <v>Complete</v>
      </c>
      <c r="AH8" s="22">
        <v>0</v>
      </c>
      <c r="AI8" s="22">
        <f t="shared" si="8"/>
        <v>0</v>
      </c>
      <c r="AJ8" s="23" t="str">
        <f>IF(SUMPRODUCT($J$22:AI$22,$J8:AI8)&lt;0.5, "Pending", IF(AI8&lt;0.5, "Complete", "In Progress"))</f>
        <v>Complete</v>
      </c>
      <c r="AK8" s="22">
        <v>0</v>
      </c>
      <c r="AL8" s="22">
        <f t="shared" si="9"/>
        <v>0</v>
      </c>
      <c r="AM8" s="23" t="str">
        <f>IF(SUMPRODUCT($J$22:AL$22,$J8:AL8)&lt;0.5, "Pending", IF(AL8&lt;0.5, "Complete", "In Progress"))</f>
        <v>Complete</v>
      </c>
      <c r="AN8" s="22">
        <v>0</v>
      </c>
      <c r="AO8" s="22">
        <f t="shared" si="10"/>
        <v>0</v>
      </c>
      <c r="AP8" s="23" t="str">
        <f>IF(SUMPRODUCT($J$22:AO$22,$J8:AO8)&lt;0.5, "Pending", IF(AO8&lt;0.5, "Complete", "In Progress"))</f>
        <v>Complete</v>
      </c>
      <c r="AQ8" s="22">
        <v>0</v>
      </c>
      <c r="AR8" s="22">
        <f t="shared" si="11"/>
        <v>0</v>
      </c>
      <c r="AS8" s="23" t="str">
        <f>IF(SUMPRODUCT($J$22:AR$22,$J8:AR8)&lt;0.5, "Pending", IF(AR8&lt;0.5, "Complete", "In Progress"))</f>
        <v>Complete</v>
      </c>
      <c r="AT8" s="22">
        <v>0</v>
      </c>
      <c r="AU8" s="22">
        <f t="shared" si="12"/>
        <v>0</v>
      </c>
      <c r="AV8" s="23" t="str">
        <f>IF(SUMPRODUCT($J$22:AU$22,$J8:AU8)&lt;0.5, "Pending", IF(AU8&lt;0.5, "Complete", "In Progress"))</f>
        <v>Complete</v>
      </c>
      <c r="AW8" s="22">
        <v>0</v>
      </c>
      <c r="AX8" s="22">
        <f t="shared" si="13"/>
        <v>0</v>
      </c>
      <c r="AY8" s="23" t="str">
        <f>IF(SUMPRODUCT($J$22:AX$22,$J8:AX8)&lt;0.5, "Pending", IF(AX8&lt;0.5, "Complete", "In Progress"))</f>
        <v>Complete</v>
      </c>
      <c r="AZ8" s="22">
        <v>0</v>
      </c>
      <c r="BA8" s="22" t="e">
        <f>MAX(#REF!-AZ8,0)</f>
        <v>#REF!</v>
      </c>
      <c r="BB8" s="23" t="e">
        <f>IF(SUMPRODUCT($J$22:BA$22,$J8:BA8)&lt;0.5, "Pending", IF(BA8&lt;0.5, "Complete", "In Progress"))</f>
        <v>#REF!</v>
      </c>
      <c r="BC8" s="22">
        <v>0</v>
      </c>
      <c r="BD8" s="22" t="e">
        <f t="shared" si="14"/>
        <v>#REF!</v>
      </c>
      <c r="BE8" s="23" t="e">
        <f>IF(SUMPRODUCT($J$22:BD$22,$J8:BD8)&lt;0.5, "Pending", IF(BD8&lt;0.5, "Complete", "In Progress"))</f>
        <v>#REF!</v>
      </c>
      <c r="BF8" s="22">
        <v>0</v>
      </c>
      <c r="BG8" s="22" t="e">
        <f t="shared" si="15"/>
        <v>#REF!</v>
      </c>
      <c r="BH8" s="23" t="e">
        <f>IF(SUMPRODUCT($J$22:BG$22,$J8:BG8)&lt;0.5, "Pending", IF(BG8&lt;0.5, "Complete", "In Progress"))</f>
        <v>#REF!</v>
      </c>
      <c r="BI8" s="22">
        <v>0</v>
      </c>
      <c r="BJ8" s="22" t="e">
        <f t="shared" si="16"/>
        <v>#REF!</v>
      </c>
      <c r="BK8" s="23" t="e">
        <f>IF(SUMPRODUCT($J$22:BJ$22,$J8:BJ8)&lt;0.5, "Pending", IF(BJ8&lt;0.5, "Complete", "In Progress"))</f>
        <v>#REF!</v>
      </c>
      <c r="BL8" s="22">
        <v>0</v>
      </c>
      <c r="BM8" s="22" t="e">
        <f t="shared" si="17"/>
        <v>#REF!</v>
      </c>
      <c r="BN8" s="23" t="e">
        <f>IF(SUMPRODUCT($J$22:BM$22,$J8:BM8)&lt;0.5, "Pending", IF(BM8&lt;0.5, "Complete", "In Progress"))</f>
        <v>#REF!</v>
      </c>
      <c r="BO8" s="22">
        <v>0</v>
      </c>
      <c r="BP8" s="22" t="e">
        <f t="shared" si="18"/>
        <v>#REF!</v>
      </c>
      <c r="BQ8" s="23" t="e">
        <f>IF(SUMPRODUCT($J$22:BP$22,$J8:BP8)&lt;0.5, "Pending", IF(BP8&lt;0.5, "Complete", "In Progress"))</f>
        <v>#REF!</v>
      </c>
      <c r="BR8" s="22">
        <v>0</v>
      </c>
      <c r="BS8" s="22" t="e">
        <f t="shared" si="19"/>
        <v>#REF!</v>
      </c>
      <c r="BT8" s="23" t="e">
        <f>IF(SUMPRODUCT($J$22:BS$22,$J8:BS8)&lt;0.5, "Pending", IF(BS8&lt;0.5, "Complete", "In Progress"))</f>
        <v>#REF!</v>
      </c>
      <c r="BU8" s="22">
        <v>0</v>
      </c>
      <c r="BV8" s="22" t="e">
        <f t="shared" si="20"/>
        <v>#REF!</v>
      </c>
      <c r="BW8" s="23" t="e">
        <f>IF(SUMPRODUCT($J$22:BV$22,$J8:BV8)&lt;0.5, "Pending", IF(BV8&lt;0.5, "Complete", "In Progress"))</f>
        <v>#REF!</v>
      </c>
      <c r="BX8" s="22">
        <v>0</v>
      </c>
      <c r="BY8" s="22" t="e">
        <f t="shared" si="21"/>
        <v>#REF!</v>
      </c>
      <c r="BZ8" s="23" t="e">
        <f>IF(SUMPRODUCT($J$22:BY$22,$J8:BY8)&lt;0.5, "Pending", IF(BY8&lt;0.5, "Complete", "In Progress"))</f>
        <v>#REF!</v>
      </c>
      <c r="CA8" s="22">
        <v>0</v>
      </c>
      <c r="CB8" s="22" t="e">
        <f t="shared" si="22"/>
        <v>#REF!</v>
      </c>
      <c r="CC8" s="23" t="e">
        <f>IF(SUMPRODUCT($J$22:CB$22,$J8:CB8)&lt;0.5, "Pending", IF(CB8&lt;0.5, "Complete", "In Progress"))</f>
        <v>#REF!</v>
      </c>
      <c r="CD8" s="24"/>
      <c r="CE8" s="25">
        <f>SUMPRODUCT($H$22:AY$22,$H8:AY8)</f>
        <v>2</v>
      </c>
    </row>
    <row r="9" spans="1:83">
      <c r="A9" s="16" t="s">
        <v>37</v>
      </c>
      <c r="B9" s="16" t="s">
        <v>38</v>
      </c>
      <c r="C9" s="178" t="s">
        <v>39</v>
      </c>
      <c r="D9" s="173">
        <v>6</v>
      </c>
      <c r="E9" s="177" t="s">
        <v>49</v>
      </c>
      <c r="F9" s="171" t="s">
        <v>50</v>
      </c>
      <c r="G9" s="19" t="s">
        <v>42</v>
      </c>
      <c r="H9" s="20">
        <v>1</v>
      </c>
      <c r="I9" s="21">
        <v>1</v>
      </c>
      <c r="J9" s="22">
        <v>0</v>
      </c>
      <c r="K9" s="22">
        <f t="shared" si="0"/>
        <v>1</v>
      </c>
      <c r="L9" s="23" t="str">
        <f>IF(SUMPRODUCT($J$22:K$22,$J9:K9)&lt;0.5, "Pending", IF(K9&lt;0.5, "Complete", "In Progress"))</f>
        <v>Pending</v>
      </c>
      <c r="M9" s="22">
        <v>0</v>
      </c>
      <c r="N9" s="22">
        <f t="shared" si="1"/>
        <v>1</v>
      </c>
      <c r="O9" s="23" t="str">
        <f>IF(SUMPRODUCT($J$22:N$22,$J9:N9)&lt;0.5, "Pending", IF(N9&lt;0.5, "Complete", "In Progress"))</f>
        <v>Pending</v>
      </c>
      <c r="P9" s="22">
        <v>0</v>
      </c>
      <c r="Q9" s="22">
        <f t="shared" si="2"/>
        <v>1</v>
      </c>
      <c r="R9" s="23" t="str">
        <f>IF(SUMPRODUCT($J$22:Q$22,$J9:Q9)&lt;0.5, "Pending", IF(Q9&lt;0.5, "Complete", "In Progress"))</f>
        <v>Pending</v>
      </c>
      <c r="S9" s="22">
        <v>0</v>
      </c>
      <c r="T9" s="22">
        <f t="shared" si="3"/>
        <v>1</v>
      </c>
      <c r="U9" s="23" t="str">
        <f>IF(SUMPRODUCT($J$22:T$22,$J9:T9)&lt;0.5, "Pending", IF(T9&lt;0.5, "Complete", "In Progress"))</f>
        <v>Pending</v>
      </c>
      <c r="V9" s="22">
        <v>0</v>
      </c>
      <c r="W9" s="22">
        <f t="shared" si="4"/>
        <v>1</v>
      </c>
      <c r="X9" s="23" t="str">
        <f>IF(SUMPRODUCT($J$22:W$22,$J9:W9)&lt;0.5, "Pending", IF(W9&lt;0.5, "Complete", "In Progress"))</f>
        <v>Pending</v>
      </c>
      <c r="Y9" s="22">
        <v>0</v>
      </c>
      <c r="Z9" s="22">
        <f t="shared" si="5"/>
        <v>1</v>
      </c>
      <c r="AA9" s="23" t="str">
        <f>IF(SUMPRODUCT($J$22:Z$22,$J9:Z9)&lt;0.5, "Pending", IF(Z9&lt;0.5, "Complete", "In Progress"))</f>
        <v>Pending</v>
      </c>
      <c r="AB9" s="22">
        <v>0</v>
      </c>
      <c r="AC9" s="22">
        <f t="shared" si="6"/>
        <v>1</v>
      </c>
      <c r="AD9" s="23" t="str">
        <f>IF(SUMPRODUCT($J$22:AC$22,$J9:AC9)&lt;0.5, "Pending", IF(AC9&lt;0.5, "Complete", "In Progress"))</f>
        <v>Pending</v>
      </c>
      <c r="AE9" s="22">
        <v>0</v>
      </c>
      <c r="AF9" s="22">
        <f t="shared" si="7"/>
        <v>1</v>
      </c>
      <c r="AG9" s="23" t="str">
        <f>IF(SUMPRODUCT($J$22:AF$22,$J9:AF9)&lt;0.5, "Pending", IF(AF9&lt;0.5, "Complete", "In Progress"))</f>
        <v>Pending</v>
      </c>
      <c r="AH9" s="22">
        <v>0</v>
      </c>
      <c r="AI9" s="22">
        <f t="shared" si="8"/>
        <v>1</v>
      </c>
      <c r="AJ9" s="23" t="str">
        <f>IF(SUMPRODUCT($J$22:AI$22,$J9:AI9)&lt;0.5, "Pending", IF(AI9&lt;0.5, "Complete", "In Progress"))</f>
        <v>Pending</v>
      </c>
      <c r="AK9" s="22">
        <v>0</v>
      </c>
      <c r="AL9" s="22">
        <f t="shared" si="9"/>
        <v>1</v>
      </c>
      <c r="AM9" s="23" t="str">
        <f>IF(SUMPRODUCT($J$22:AL$22,$J9:AL9)&lt;0.5, "Pending", IF(AL9&lt;0.5, "Complete", "In Progress"))</f>
        <v>Pending</v>
      </c>
      <c r="AN9" s="22">
        <v>0</v>
      </c>
      <c r="AO9" s="22">
        <f t="shared" si="10"/>
        <v>1</v>
      </c>
      <c r="AP9" s="23" t="str">
        <f>IF(SUMPRODUCT($J$22:AO$22,$J9:AO9)&lt;0.5, "Pending", IF(AO9&lt;0.5, "Complete", "In Progress"))</f>
        <v>Pending</v>
      </c>
      <c r="AQ9" s="22">
        <v>0</v>
      </c>
      <c r="AR9" s="22">
        <f t="shared" si="11"/>
        <v>1</v>
      </c>
      <c r="AS9" s="23" t="str">
        <f>IF(SUMPRODUCT($J$22:AR$22,$J9:AR9)&lt;0.5, "Pending", IF(AR9&lt;0.5, "Complete", "In Progress"))</f>
        <v>Pending</v>
      </c>
      <c r="AT9" s="22">
        <v>0</v>
      </c>
      <c r="AU9" s="22">
        <f t="shared" si="12"/>
        <v>1</v>
      </c>
      <c r="AV9" s="23" t="str">
        <f>IF(SUMPRODUCT($J$22:AU$22,$J9:AU9)&lt;0.5, "Pending", IF(AU9&lt;0.5, "Complete", "In Progress"))</f>
        <v>Pending</v>
      </c>
      <c r="AW9" s="22">
        <v>1</v>
      </c>
      <c r="AX9" s="22">
        <f t="shared" si="13"/>
        <v>0</v>
      </c>
      <c r="AY9" s="23" t="str">
        <f>IF(SUMPRODUCT($J$22:AX$22,$J9:AX9)&lt;0.5, "Pending", IF(AX9&lt;0.5, "Complete", "In Progress"))</f>
        <v>Complete</v>
      </c>
      <c r="AZ9" s="22">
        <v>0</v>
      </c>
      <c r="BA9" s="22" t="e">
        <f>MAX(#REF!-AZ9,0)</f>
        <v>#REF!</v>
      </c>
      <c r="BB9" s="23" t="e">
        <f>IF(SUMPRODUCT($J$22:BA$22,$J9:BA9)&lt;0.5, "Pending", IF(BA9&lt;0.5, "Complete", "In Progress"))</f>
        <v>#REF!</v>
      </c>
      <c r="BC9" s="22">
        <v>0</v>
      </c>
      <c r="BD9" s="22" t="e">
        <f t="shared" si="14"/>
        <v>#REF!</v>
      </c>
      <c r="BE9" s="23" t="e">
        <f>IF(SUMPRODUCT($J$22:BD$22,$J9:BD9)&lt;0.5, "Pending", IF(BD9&lt;0.5, "Complete", "In Progress"))</f>
        <v>#REF!</v>
      </c>
      <c r="BF9" s="22">
        <v>0</v>
      </c>
      <c r="BG9" s="22" t="e">
        <f t="shared" si="15"/>
        <v>#REF!</v>
      </c>
      <c r="BH9" s="23" t="e">
        <f>IF(SUMPRODUCT($J$22:BG$22,$J9:BG9)&lt;0.5, "Pending", IF(BG9&lt;0.5, "Complete", "In Progress"))</f>
        <v>#REF!</v>
      </c>
      <c r="BI9" s="22">
        <v>0</v>
      </c>
      <c r="BJ9" s="22" t="e">
        <f t="shared" si="16"/>
        <v>#REF!</v>
      </c>
      <c r="BK9" s="23" t="e">
        <f>IF(SUMPRODUCT($J$22:BJ$22,$J9:BJ9)&lt;0.5, "Pending", IF(BJ9&lt;0.5, "Complete", "In Progress"))</f>
        <v>#REF!</v>
      </c>
      <c r="BL9" s="22">
        <v>0</v>
      </c>
      <c r="BM9" s="22" t="e">
        <f t="shared" si="17"/>
        <v>#REF!</v>
      </c>
      <c r="BN9" s="23" t="e">
        <f>IF(SUMPRODUCT($J$22:BM$22,$J9:BM9)&lt;0.5, "Pending", IF(BM9&lt;0.5, "Complete", "In Progress"))</f>
        <v>#REF!</v>
      </c>
      <c r="BO9" s="22">
        <v>0</v>
      </c>
      <c r="BP9" s="22" t="e">
        <f t="shared" si="18"/>
        <v>#REF!</v>
      </c>
      <c r="BQ9" s="23" t="e">
        <f>IF(SUMPRODUCT($J$22:BP$22,$J9:BP9)&lt;0.5, "Pending", IF(BP9&lt;0.5, "Complete", "In Progress"))</f>
        <v>#REF!</v>
      </c>
      <c r="BR9" s="22">
        <v>0</v>
      </c>
      <c r="BS9" s="22" t="e">
        <f t="shared" si="19"/>
        <v>#REF!</v>
      </c>
      <c r="BT9" s="23" t="e">
        <f>IF(SUMPRODUCT($J$22:BS$22,$J9:BS9)&lt;0.5, "Pending", IF(BS9&lt;0.5, "Complete", "In Progress"))</f>
        <v>#REF!</v>
      </c>
      <c r="BU9" s="22">
        <v>0</v>
      </c>
      <c r="BV9" s="22" t="e">
        <f t="shared" si="20"/>
        <v>#REF!</v>
      </c>
      <c r="BW9" s="23" t="e">
        <f>IF(SUMPRODUCT($J$22:BV$22,$J9:BV9)&lt;0.5, "Pending", IF(BV9&lt;0.5, "Complete", "In Progress"))</f>
        <v>#REF!</v>
      </c>
      <c r="BX9" s="22">
        <v>0</v>
      </c>
      <c r="BY9" s="22" t="e">
        <f t="shared" si="21"/>
        <v>#REF!</v>
      </c>
      <c r="BZ9" s="23" t="e">
        <f>IF(SUMPRODUCT($J$22:BY$22,$J9:BY9)&lt;0.5, "Pending", IF(BY9&lt;0.5, "Complete", "In Progress"))</f>
        <v>#REF!</v>
      </c>
      <c r="CA9" s="22">
        <v>0</v>
      </c>
      <c r="CB9" s="22" t="e">
        <f t="shared" si="22"/>
        <v>#REF!</v>
      </c>
      <c r="CC9" s="23" t="e">
        <f>IF(SUMPRODUCT($J$22:CB$22,$J9:CB9)&lt;0.5, "Pending", IF(CB9&lt;0.5, "Complete", "In Progress"))</f>
        <v>#REF!</v>
      </c>
      <c r="CD9" s="24"/>
      <c r="CE9" s="25">
        <f>SUMPRODUCT($H$22:AY$22,$H9:AY9)</f>
        <v>1</v>
      </c>
    </row>
    <row r="10" spans="1:83">
      <c r="A10" s="16" t="s">
        <v>37</v>
      </c>
      <c r="B10" s="16" t="s">
        <v>38</v>
      </c>
      <c r="C10" s="172" t="s">
        <v>39</v>
      </c>
      <c r="D10" s="173">
        <v>7</v>
      </c>
      <c r="E10" s="175" t="s">
        <v>51</v>
      </c>
      <c r="F10" s="171" t="s">
        <v>44</v>
      </c>
      <c r="G10" s="19" t="s">
        <v>42</v>
      </c>
      <c r="H10" s="20">
        <v>5</v>
      </c>
      <c r="I10" s="21">
        <v>4</v>
      </c>
      <c r="J10" s="22">
        <v>0</v>
      </c>
      <c r="K10" s="22">
        <f t="shared" si="0"/>
        <v>4</v>
      </c>
      <c r="L10" s="23" t="str">
        <f>IF(SUMPRODUCT($J$22:K$22,$J10:K10)&lt;0.5, "Pending", IF(K10&lt;0.5, "Complete", "In Progress"))</f>
        <v>Pending</v>
      </c>
      <c r="M10" s="22">
        <v>0</v>
      </c>
      <c r="N10" s="22">
        <f t="shared" si="1"/>
        <v>4</v>
      </c>
      <c r="O10" s="23" t="str">
        <f>IF(SUMPRODUCT($J$22:N$22,$J10:N10)&lt;0.5, "Pending", IF(N10&lt;0.5, "Complete", "In Progress"))</f>
        <v>Pending</v>
      </c>
      <c r="P10" s="22">
        <v>0</v>
      </c>
      <c r="Q10" s="22">
        <f t="shared" si="2"/>
        <v>4</v>
      </c>
      <c r="R10" s="23" t="str">
        <f>IF(SUMPRODUCT($J$22:Q$22,$J10:Q10)&lt;0.5, "Pending", IF(Q10&lt;0.5, "Complete", "In Progress"))</f>
        <v>Pending</v>
      </c>
      <c r="S10" s="22">
        <v>0</v>
      </c>
      <c r="T10" s="22">
        <f t="shared" si="3"/>
        <v>4</v>
      </c>
      <c r="U10" s="23" t="str">
        <f>IF(SUMPRODUCT($J$22:T$22,$J10:T10)&lt;0.5, "Pending", IF(T10&lt;0.5, "Complete", "In Progress"))</f>
        <v>Pending</v>
      </c>
      <c r="V10" s="22">
        <v>0</v>
      </c>
      <c r="W10" s="22">
        <f t="shared" si="4"/>
        <v>4</v>
      </c>
      <c r="X10" s="23" t="str">
        <f>IF(SUMPRODUCT($J$22:W$22,$J10:W10)&lt;0.5, "Pending", IF(W10&lt;0.5, "Complete", "In Progress"))</f>
        <v>Pending</v>
      </c>
      <c r="Y10" s="22">
        <v>0</v>
      </c>
      <c r="Z10" s="22">
        <f t="shared" si="5"/>
        <v>4</v>
      </c>
      <c r="AA10" s="23" t="str">
        <f>IF(SUMPRODUCT($J$22:Z$22,$J10:Z10)&lt;0.5, "Pending", IF(Z10&lt;0.5, "Complete", "In Progress"))</f>
        <v>Pending</v>
      </c>
      <c r="AB10" s="22">
        <v>0</v>
      </c>
      <c r="AC10" s="22">
        <f t="shared" si="6"/>
        <v>4</v>
      </c>
      <c r="AD10" s="23" t="str">
        <f>IF(SUMPRODUCT($J$22:AC$22,$J10:AC10)&lt;0.5, "Pending", IF(AC10&lt;0.5, "Complete", "In Progress"))</f>
        <v>Pending</v>
      </c>
      <c r="AE10" s="22">
        <v>1</v>
      </c>
      <c r="AF10" s="22">
        <f t="shared" si="7"/>
        <v>3</v>
      </c>
      <c r="AG10" s="23" t="str">
        <f>IF(SUMPRODUCT($J$22:AF$22,$J10:AF10)&lt;0.5, "Pending", IF(AF10&lt;0.5, "Complete", "In Progress"))</f>
        <v>In Progress</v>
      </c>
      <c r="AH10" s="22">
        <v>2</v>
      </c>
      <c r="AI10" s="22">
        <f t="shared" si="8"/>
        <v>1</v>
      </c>
      <c r="AJ10" s="23" t="str">
        <f>IF(SUMPRODUCT($J$22:AI$22,$J10:AI10)&lt;0.5, "Pending", IF(AI10&lt;0.5, "Complete", "In Progress"))</f>
        <v>In Progress</v>
      </c>
      <c r="AK10" s="22">
        <v>2</v>
      </c>
      <c r="AL10" s="22">
        <f t="shared" si="9"/>
        <v>0</v>
      </c>
      <c r="AM10" s="23" t="str">
        <f>IF(SUMPRODUCT($J$22:AL$22,$J10:AL10)&lt;0.5, "Pending", IF(AL10&lt;0.5, "Complete", "In Progress"))</f>
        <v>Complete</v>
      </c>
      <c r="AN10" s="22">
        <v>1</v>
      </c>
      <c r="AO10" s="22">
        <f t="shared" si="10"/>
        <v>0</v>
      </c>
      <c r="AP10" s="23" t="str">
        <f>IF(SUMPRODUCT($J$22:AO$22,$J10:AO10)&lt;0.5, "Pending", IF(AO10&lt;0.5, "Complete", "In Progress"))</f>
        <v>Complete</v>
      </c>
      <c r="AQ10" s="22">
        <v>0</v>
      </c>
      <c r="AR10" s="22">
        <f t="shared" si="11"/>
        <v>0</v>
      </c>
      <c r="AS10" s="23" t="str">
        <f>IF(SUMPRODUCT($J$22:AR$22,$J10:AR10)&lt;0.5, "Pending", IF(AR10&lt;0.5, "Complete", "In Progress"))</f>
        <v>Complete</v>
      </c>
      <c r="AT10" s="22">
        <v>0</v>
      </c>
      <c r="AU10" s="22">
        <f t="shared" si="12"/>
        <v>0</v>
      </c>
      <c r="AV10" s="23" t="str">
        <f>IF(SUMPRODUCT($J$22:AU$22,$J10:AU10)&lt;0.5, "Pending", IF(AU10&lt;0.5, "Complete", "In Progress"))</f>
        <v>Complete</v>
      </c>
      <c r="AW10" s="22">
        <v>0</v>
      </c>
      <c r="AX10" s="22">
        <f t="shared" si="13"/>
        <v>0</v>
      </c>
      <c r="AY10" s="23" t="str">
        <f>IF(SUMPRODUCT($J$22:AX$22,$J10:AX10)&lt;0.5, "Pending", IF(AX10&lt;0.5, "Complete", "In Progress"))</f>
        <v>Complete</v>
      </c>
      <c r="AZ10" s="22">
        <v>0</v>
      </c>
      <c r="BA10" s="22" t="e">
        <f>MAX(#REF!-AZ10,0)</f>
        <v>#REF!</v>
      </c>
      <c r="BB10" s="23" t="e">
        <f>IF(SUMPRODUCT($J$22:BA$22,$J10:BA10)&lt;0.5, "Pending", IF(BA10&lt;0.5, "Complete", "In Progress"))</f>
        <v>#REF!</v>
      </c>
      <c r="BC10" s="22">
        <v>0</v>
      </c>
      <c r="BD10" s="22" t="e">
        <f t="shared" si="14"/>
        <v>#REF!</v>
      </c>
      <c r="BE10" s="23" t="e">
        <f>IF(SUMPRODUCT($J$22:BD$22,$J10:BD10)&lt;0.5, "Pending", IF(BD10&lt;0.5, "Complete", "In Progress"))</f>
        <v>#REF!</v>
      </c>
      <c r="BF10" s="22">
        <v>0</v>
      </c>
      <c r="BG10" s="22" t="e">
        <f t="shared" si="15"/>
        <v>#REF!</v>
      </c>
      <c r="BH10" s="23" t="e">
        <f>IF(SUMPRODUCT($J$22:BG$22,$J10:BG10)&lt;0.5, "Pending", IF(BG10&lt;0.5, "Complete", "In Progress"))</f>
        <v>#REF!</v>
      </c>
      <c r="BI10" s="22">
        <v>0</v>
      </c>
      <c r="BJ10" s="22" t="e">
        <f t="shared" si="16"/>
        <v>#REF!</v>
      </c>
      <c r="BK10" s="23" t="e">
        <f>IF(SUMPRODUCT($J$22:BJ$22,$J10:BJ10)&lt;0.5, "Pending", IF(BJ10&lt;0.5, "Complete", "In Progress"))</f>
        <v>#REF!</v>
      </c>
      <c r="BL10" s="22">
        <v>0</v>
      </c>
      <c r="BM10" s="22" t="e">
        <f t="shared" si="17"/>
        <v>#REF!</v>
      </c>
      <c r="BN10" s="23" t="e">
        <f>IF(SUMPRODUCT($J$22:BM$22,$J10:BM10)&lt;0.5, "Pending", IF(BM10&lt;0.5, "Complete", "In Progress"))</f>
        <v>#REF!</v>
      </c>
      <c r="BO10" s="22">
        <v>0</v>
      </c>
      <c r="BP10" s="22" t="e">
        <f t="shared" si="18"/>
        <v>#REF!</v>
      </c>
      <c r="BQ10" s="23" t="e">
        <f>IF(SUMPRODUCT($J$22:BP$22,$J10:BP10)&lt;0.5, "Pending", IF(BP10&lt;0.5, "Complete", "In Progress"))</f>
        <v>#REF!</v>
      </c>
      <c r="BR10" s="22">
        <v>0</v>
      </c>
      <c r="BS10" s="22" t="e">
        <f t="shared" si="19"/>
        <v>#REF!</v>
      </c>
      <c r="BT10" s="23" t="e">
        <f>IF(SUMPRODUCT($J$22:BS$22,$J10:BS10)&lt;0.5, "Pending", IF(BS10&lt;0.5, "Complete", "In Progress"))</f>
        <v>#REF!</v>
      </c>
      <c r="BU10" s="22">
        <v>0</v>
      </c>
      <c r="BV10" s="22" t="e">
        <f t="shared" si="20"/>
        <v>#REF!</v>
      </c>
      <c r="BW10" s="23" t="e">
        <f>IF(SUMPRODUCT($J$22:BV$22,$J10:BV10)&lt;0.5, "Pending", IF(BV10&lt;0.5, "Complete", "In Progress"))</f>
        <v>#REF!</v>
      </c>
      <c r="BX10" s="22">
        <v>0</v>
      </c>
      <c r="BY10" s="22" t="e">
        <f t="shared" si="21"/>
        <v>#REF!</v>
      </c>
      <c r="BZ10" s="23" t="e">
        <f>IF(SUMPRODUCT($J$22:BY$22,$J10:BY10)&lt;0.5, "Pending", IF(BY10&lt;0.5, "Complete", "In Progress"))</f>
        <v>#REF!</v>
      </c>
      <c r="CA10" s="22">
        <v>0</v>
      </c>
      <c r="CB10" s="22" t="e">
        <f t="shared" si="22"/>
        <v>#REF!</v>
      </c>
      <c r="CC10" s="23" t="e">
        <f>IF(SUMPRODUCT($J$22:CB$22,$J10:CB10)&lt;0.5, "Pending", IF(CB10&lt;0.5, "Complete", "In Progress"))</f>
        <v>#REF!</v>
      </c>
      <c r="CD10" s="24"/>
      <c r="CE10" s="25">
        <f>SUMPRODUCT($H$22:AY$22,$H10:AY10)</f>
        <v>6</v>
      </c>
    </row>
    <row r="11" spans="1:83">
      <c r="A11" s="16" t="s">
        <v>37</v>
      </c>
      <c r="B11" s="16" t="s">
        <v>38</v>
      </c>
      <c r="C11" s="178" t="s">
        <v>39</v>
      </c>
      <c r="D11" s="173">
        <v>8</v>
      </c>
      <c r="E11" s="177" t="s">
        <v>52</v>
      </c>
      <c r="F11" s="171" t="s">
        <v>44</v>
      </c>
      <c r="G11" s="19" t="s">
        <v>42</v>
      </c>
      <c r="H11" s="20">
        <v>3</v>
      </c>
      <c r="I11" s="21">
        <v>2</v>
      </c>
      <c r="J11" s="22">
        <v>0</v>
      </c>
      <c r="K11" s="22">
        <f t="shared" si="0"/>
        <v>2</v>
      </c>
      <c r="L11" s="23" t="str">
        <f>IF(SUMPRODUCT($J$22:K$22,$J11:K11)&lt;0.5, "Pending", IF(K11&lt;0.5, "Complete", "In Progress"))</f>
        <v>Pending</v>
      </c>
      <c r="M11" s="22">
        <v>0</v>
      </c>
      <c r="N11" s="22">
        <f t="shared" si="1"/>
        <v>2</v>
      </c>
      <c r="O11" s="23" t="str">
        <f>IF(SUMPRODUCT($J$22:N$22,$J11:N11)&lt;0.5, "Pending", IF(N11&lt;0.5, "Complete", "In Progress"))</f>
        <v>Pending</v>
      </c>
      <c r="P11" s="22">
        <v>0</v>
      </c>
      <c r="Q11" s="22">
        <f t="shared" si="2"/>
        <v>2</v>
      </c>
      <c r="R11" s="23" t="str">
        <f>IF(SUMPRODUCT($J$22:Q$22,$J11:Q11)&lt;0.5, "Pending", IF(Q11&lt;0.5, "Complete", "In Progress"))</f>
        <v>Pending</v>
      </c>
      <c r="S11" s="22">
        <v>0</v>
      </c>
      <c r="T11" s="22">
        <f t="shared" si="3"/>
        <v>2</v>
      </c>
      <c r="U11" s="23" t="str">
        <f>IF(SUMPRODUCT($J$22:T$22,$J11:T11)&lt;0.5, "Pending", IF(T11&lt;0.5, "Complete", "In Progress"))</f>
        <v>Pending</v>
      </c>
      <c r="V11" s="22">
        <v>0</v>
      </c>
      <c r="W11" s="22">
        <f t="shared" si="4"/>
        <v>2</v>
      </c>
      <c r="X11" s="23" t="str">
        <f>IF(SUMPRODUCT($J$22:W$22,$J11:W11)&lt;0.5, "Pending", IF(W11&lt;0.5, "Complete", "In Progress"))</f>
        <v>Pending</v>
      </c>
      <c r="Y11" s="22">
        <v>0</v>
      </c>
      <c r="Z11" s="22">
        <f t="shared" si="5"/>
        <v>2</v>
      </c>
      <c r="AA11" s="23" t="str">
        <f>IF(SUMPRODUCT($J$22:Z$22,$J11:Z11)&lt;0.5, "Pending", IF(Z11&lt;0.5, "Complete", "In Progress"))</f>
        <v>Pending</v>
      </c>
      <c r="AB11" s="22">
        <v>0</v>
      </c>
      <c r="AC11" s="22">
        <f t="shared" si="6"/>
        <v>2</v>
      </c>
      <c r="AD11" s="23" t="str">
        <f>IF(SUMPRODUCT($J$22:AC$22,$J11:AC11)&lt;0.5, "Pending", IF(AC11&lt;0.5, "Complete", "In Progress"))</f>
        <v>Pending</v>
      </c>
      <c r="AE11" s="22">
        <v>0</v>
      </c>
      <c r="AF11" s="22">
        <f t="shared" si="7"/>
        <v>2</v>
      </c>
      <c r="AG11" s="23" t="str">
        <f>IF(SUMPRODUCT($J$22:AF$22,$J11:AF11)&lt;0.5, "Pending", IF(AF11&lt;0.5, "Complete", "In Progress"))</f>
        <v>Pending</v>
      </c>
      <c r="AH11" s="22">
        <v>2</v>
      </c>
      <c r="AI11" s="22">
        <f t="shared" si="8"/>
        <v>0</v>
      </c>
      <c r="AJ11" s="23" t="str">
        <f>IF(SUMPRODUCT($J$22:AI$22,$J11:AI11)&lt;0.5, "Pending", IF(AI11&lt;0.5, "Complete", "In Progress"))</f>
        <v>Complete</v>
      </c>
      <c r="AK11" s="22">
        <v>0</v>
      </c>
      <c r="AL11" s="22">
        <f t="shared" si="9"/>
        <v>0</v>
      </c>
      <c r="AM11" s="23" t="str">
        <f>IF(SUMPRODUCT($J$22:AL$22,$J11:AL11)&lt;0.5, "Pending", IF(AL11&lt;0.5, "Complete", "In Progress"))</f>
        <v>Complete</v>
      </c>
      <c r="AN11" s="22">
        <v>0</v>
      </c>
      <c r="AO11" s="22">
        <f t="shared" si="10"/>
        <v>0</v>
      </c>
      <c r="AP11" s="23" t="str">
        <f>IF(SUMPRODUCT($J$22:AO$22,$J11:AO11)&lt;0.5, "Pending", IF(AO11&lt;0.5, "Complete", "In Progress"))</f>
        <v>Complete</v>
      </c>
      <c r="AQ11" s="22">
        <v>0</v>
      </c>
      <c r="AR11" s="22">
        <f t="shared" si="11"/>
        <v>0</v>
      </c>
      <c r="AS11" s="23" t="str">
        <f>IF(SUMPRODUCT($J$22:AR$22,$J11:AR11)&lt;0.5, "Pending", IF(AR11&lt;0.5, "Complete", "In Progress"))</f>
        <v>Complete</v>
      </c>
      <c r="AT11" s="22">
        <v>0</v>
      </c>
      <c r="AU11" s="22">
        <f t="shared" si="12"/>
        <v>0</v>
      </c>
      <c r="AV11" s="23" t="str">
        <f>IF(SUMPRODUCT($J$22:AU$22,$J11:AU11)&lt;0.5, "Pending", IF(AU11&lt;0.5, "Complete", "In Progress"))</f>
        <v>Complete</v>
      </c>
      <c r="AW11" s="22">
        <v>0</v>
      </c>
      <c r="AX11" s="22">
        <f t="shared" si="13"/>
        <v>0</v>
      </c>
      <c r="AY11" s="23" t="str">
        <f>IF(SUMPRODUCT($J$22:AX$22,$J11:AX11)&lt;0.5, "Pending", IF(AX11&lt;0.5, "Complete", "In Progress"))</f>
        <v>Complete</v>
      </c>
      <c r="AZ11" s="22">
        <v>0</v>
      </c>
      <c r="BA11" s="22" t="e">
        <f>MAX(#REF!-AZ11,0)</f>
        <v>#REF!</v>
      </c>
      <c r="BB11" s="23" t="e">
        <f>IF(SUMPRODUCT($J$22:BA$22,$J11:BA11)&lt;0.5, "Pending", IF(BA11&lt;0.5, "Complete", "In Progress"))</f>
        <v>#REF!</v>
      </c>
      <c r="BC11" s="22">
        <v>0</v>
      </c>
      <c r="BD11" s="22" t="e">
        <f t="shared" si="14"/>
        <v>#REF!</v>
      </c>
      <c r="BE11" s="23" t="e">
        <f>IF(SUMPRODUCT($J$22:BD$22,$J11:BD11)&lt;0.5, "Pending", IF(BD11&lt;0.5, "Complete", "In Progress"))</f>
        <v>#REF!</v>
      </c>
      <c r="BF11" s="22">
        <v>0</v>
      </c>
      <c r="BG11" s="22" t="e">
        <f t="shared" si="15"/>
        <v>#REF!</v>
      </c>
      <c r="BH11" s="23" t="e">
        <f>IF(SUMPRODUCT($J$22:BG$22,$J11:BG11)&lt;0.5, "Pending", IF(BG11&lt;0.5, "Complete", "In Progress"))</f>
        <v>#REF!</v>
      </c>
      <c r="BI11" s="22">
        <v>0</v>
      </c>
      <c r="BJ11" s="22" t="e">
        <f t="shared" si="16"/>
        <v>#REF!</v>
      </c>
      <c r="BK11" s="23" t="e">
        <f>IF(SUMPRODUCT($J$22:BJ$22,$J11:BJ11)&lt;0.5, "Pending", IF(BJ11&lt;0.5, "Complete", "In Progress"))</f>
        <v>#REF!</v>
      </c>
      <c r="BL11" s="22">
        <v>0</v>
      </c>
      <c r="BM11" s="22" t="e">
        <f t="shared" si="17"/>
        <v>#REF!</v>
      </c>
      <c r="BN11" s="23" t="e">
        <f>IF(SUMPRODUCT($J$22:BM$22,$J11:BM11)&lt;0.5, "Pending", IF(BM11&lt;0.5, "Complete", "In Progress"))</f>
        <v>#REF!</v>
      </c>
      <c r="BO11" s="22">
        <v>0</v>
      </c>
      <c r="BP11" s="22" t="e">
        <f t="shared" si="18"/>
        <v>#REF!</v>
      </c>
      <c r="BQ11" s="23" t="e">
        <f>IF(SUMPRODUCT($J$22:BP$22,$J11:BP11)&lt;0.5, "Pending", IF(BP11&lt;0.5, "Complete", "In Progress"))</f>
        <v>#REF!</v>
      </c>
      <c r="BR11" s="22">
        <v>0</v>
      </c>
      <c r="BS11" s="22" t="e">
        <f t="shared" si="19"/>
        <v>#REF!</v>
      </c>
      <c r="BT11" s="23" t="e">
        <f>IF(SUMPRODUCT($J$22:BS$22,$J11:BS11)&lt;0.5, "Pending", IF(BS11&lt;0.5, "Complete", "In Progress"))</f>
        <v>#REF!</v>
      </c>
      <c r="BU11" s="22">
        <v>0</v>
      </c>
      <c r="BV11" s="22" t="e">
        <f t="shared" si="20"/>
        <v>#REF!</v>
      </c>
      <c r="BW11" s="23" t="e">
        <f>IF(SUMPRODUCT($J$22:BV$22,$J11:BV11)&lt;0.5, "Pending", IF(BV11&lt;0.5, "Complete", "In Progress"))</f>
        <v>#REF!</v>
      </c>
      <c r="BX11" s="22">
        <v>0</v>
      </c>
      <c r="BY11" s="22" t="e">
        <f t="shared" si="21"/>
        <v>#REF!</v>
      </c>
      <c r="BZ11" s="23" t="e">
        <f>IF(SUMPRODUCT($J$22:BY$22,$J11:BY11)&lt;0.5, "Pending", IF(BY11&lt;0.5, "Complete", "In Progress"))</f>
        <v>#REF!</v>
      </c>
      <c r="CA11" s="22">
        <v>0</v>
      </c>
      <c r="CB11" s="22" t="e">
        <f t="shared" si="22"/>
        <v>#REF!</v>
      </c>
      <c r="CC11" s="23" t="e">
        <f>IF(SUMPRODUCT($J$22:CB$22,$J11:CB11)&lt;0.5, "Pending", IF(CB11&lt;0.5, "Complete", "In Progress"))</f>
        <v>#REF!</v>
      </c>
      <c r="CD11" s="24"/>
      <c r="CE11" s="25">
        <f>SUMPRODUCT($H$22:AY$22,$H11:AY11)</f>
        <v>2</v>
      </c>
    </row>
    <row r="12" spans="1:83">
      <c r="A12" s="16" t="s">
        <v>53</v>
      </c>
      <c r="B12" s="16" t="s">
        <v>38</v>
      </c>
      <c r="C12" s="16"/>
      <c r="D12" s="17">
        <v>9</v>
      </c>
      <c r="E12" s="174" t="s">
        <v>54</v>
      </c>
      <c r="F12" s="171" t="s">
        <v>41</v>
      </c>
      <c r="G12" s="19" t="s">
        <v>42</v>
      </c>
      <c r="H12" s="20">
        <v>5</v>
      </c>
      <c r="I12" s="21">
        <v>5</v>
      </c>
      <c r="J12" s="22">
        <v>2</v>
      </c>
      <c r="K12" s="22">
        <f t="shared" si="0"/>
        <v>3</v>
      </c>
      <c r="L12" s="23" t="str">
        <f>IF(SUMPRODUCT($J$22:K$22,$J12:K12)&lt;0.5, "Pending", IF(K12&lt;0.5, "Complete", "In Progress"))</f>
        <v>In Progress</v>
      </c>
      <c r="M12" s="22">
        <v>0.5</v>
      </c>
      <c r="N12" s="22">
        <f t="shared" si="1"/>
        <v>2.5</v>
      </c>
      <c r="O12" s="23" t="str">
        <f>IF(SUMPRODUCT($J$22:N$22,$J12:N12)&lt;0.5, "Pending", IF(N12&lt;0.5, "Complete", "In Progress"))</f>
        <v>In Progress</v>
      </c>
      <c r="P12" s="22">
        <v>1</v>
      </c>
      <c r="Q12" s="22">
        <f t="shared" si="2"/>
        <v>1.5</v>
      </c>
      <c r="R12" s="23" t="str">
        <f>IF(SUMPRODUCT($J$22:Q$22,$J12:Q12)&lt;0.5, "Pending", IF(Q12&lt;0.5, "Complete", "In Progress"))</f>
        <v>In Progress</v>
      </c>
      <c r="S12" s="22">
        <v>0</v>
      </c>
      <c r="T12" s="22">
        <f t="shared" si="3"/>
        <v>1.5</v>
      </c>
      <c r="U12" s="23" t="str">
        <f>IF(SUMPRODUCT($J$22:T$22,$J12:T12)&lt;0.5, "Pending", IF(T12&lt;0.5, "Complete", "In Progress"))</f>
        <v>In Progress</v>
      </c>
      <c r="V12" s="22">
        <v>0.5</v>
      </c>
      <c r="W12" s="22">
        <f t="shared" si="4"/>
        <v>1</v>
      </c>
      <c r="X12" s="23" t="str">
        <f>IF(SUMPRODUCT($J$22:W$22,$J12:W12)&lt;0.5, "Pending", IF(W12&lt;0.5, "Complete", "In Progress"))</f>
        <v>In Progress</v>
      </c>
      <c r="Y12" s="22">
        <v>0</v>
      </c>
      <c r="Z12" s="22">
        <f t="shared" si="5"/>
        <v>1</v>
      </c>
      <c r="AA12" s="23" t="str">
        <f>IF(SUMPRODUCT($J$22:Z$22,$J12:Z12)&lt;0.5, "Pending", IF(Z12&lt;0.5, "Complete", "In Progress"))</f>
        <v>In Progress</v>
      </c>
      <c r="AB12" s="22">
        <v>1</v>
      </c>
      <c r="AC12" s="22">
        <f t="shared" si="6"/>
        <v>0</v>
      </c>
      <c r="AD12" s="23" t="str">
        <f>IF(SUMPRODUCT($J$22:AC$22,$J12:AC12)&lt;0.5, "Pending", IF(AC12&lt;0.5, "Complete", "In Progress"))</f>
        <v>Complete</v>
      </c>
      <c r="AE12" s="22">
        <v>0</v>
      </c>
      <c r="AF12" s="22">
        <f t="shared" si="7"/>
        <v>0</v>
      </c>
      <c r="AG12" s="23" t="str">
        <f>IF(SUMPRODUCT($J$22:AF$22,$J12:AF12)&lt;0.5, "Pending", IF(AF12&lt;0.5, "Complete", "In Progress"))</f>
        <v>Complete</v>
      </c>
      <c r="AH12" s="22">
        <v>0</v>
      </c>
      <c r="AI12" s="22">
        <f t="shared" si="8"/>
        <v>0</v>
      </c>
      <c r="AJ12" s="23" t="str">
        <f>IF(SUMPRODUCT($J$22:AI$22,$J12:AI12)&lt;0.5, "Pending", IF(AI12&lt;0.5, "Complete", "In Progress"))</f>
        <v>Complete</v>
      </c>
      <c r="AK12" s="22">
        <v>0</v>
      </c>
      <c r="AL12" s="22">
        <f t="shared" si="9"/>
        <v>0</v>
      </c>
      <c r="AM12" s="23" t="str">
        <f>IF(SUMPRODUCT($J$22:AL$22,$J12:AL12)&lt;0.5, "Pending", IF(AL12&lt;0.5, "Complete", "In Progress"))</f>
        <v>Complete</v>
      </c>
      <c r="AN12" s="22">
        <v>0</v>
      </c>
      <c r="AO12" s="22">
        <f t="shared" si="10"/>
        <v>0</v>
      </c>
      <c r="AP12" s="23" t="str">
        <f>IF(SUMPRODUCT($J$22:AO$22,$J12:AO12)&lt;0.5, "Pending", IF(AO12&lt;0.5, "Complete", "In Progress"))</f>
        <v>Complete</v>
      </c>
      <c r="AQ12" s="22">
        <v>0</v>
      </c>
      <c r="AR12" s="22">
        <f t="shared" si="11"/>
        <v>0</v>
      </c>
      <c r="AS12" s="23" t="str">
        <f>IF(SUMPRODUCT($J$22:AR$22,$J12:AR12)&lt;0.5, "Pending", IF(AR12&lt;0.5, "Complete", "In Progress"))</f>
        <v>Complete</v>
      </c>
      <c r="AT12" s="22">
        <v>0</v>
      </c>
      <c r="AU12" s="22">
        <f t="shared" si="12"/>
        <v>0</v>
      </c>
      <c r="AV12" s="23" t="str">
        <f>IF(SUMPRODUCT($J$22:AU$22,$J12:AU12)&lt;0.5, "Pending", IF(AU12&lt;0.5, "Complete", "In Progress"))</f>
        <v>Complete</v>
      </c>
      <c r="AW12" s="22">
        <v>0</v>
      </c>
      <c r="AX12" s="22">
        <f t="shared" si="13"/>
        <v>0</v>
      </c>
      <c r="AY12" s="23" t="str">
        <f>IF(SUMPRODUCT($J$22:AX$22,$J12:AX12)&lt;0.5, "Pending", IF(AX12&lt;0.5, "Complete", "In Progress"))</f>
        <v>Complete</v>
      </c>
      <c r="AZ12" s="22">
        <v>0</v>
      </c>
      <c r="BA12" s="22" t="e">
        <f>MAX(#REF!-AZ12,0)</f>
        <v>#REF!</v>
      </c>
      <c r="BB12" s="23" t="e">
        <f>IF(SUMPRODUCT($J$22:BA$22,$J12:BA12)&lt;0.5, "Pending", IF(BA12&lt;0.5, "Complete", "In Progress"))</f>
        <v>#REF!</v>
      </c>
      <c r="BC12" s="22">
        <v>0</v>
      </c>
      <c r="BD12" s="22" t="e">
        <f t="shared" si="14"/>
        <v>#REF!</v>
      </c>
      <c r="BE12" s="23" t="e">
        <f>IF(SUMPRODUCT($J$22:BD$22,$J12:BD12)&lt;0.5, "Pending", IF(BD12&lt;0.5, "Complete", "In Progress"))</f>
        <v>#REF!</v>
      </c>
      <c r="BF12" s="22">
        <v>0</v>
      </c>
      <c r="BG12" s="22" t="e">
        <f t="shared" si="15"/>
        <v>#REF!</v>
      </c>
      <c r="BH12" s="23" t="e">
        <f>IF(SUMPRODUCT($J$22:BG$22,$J12:BG12)&lt;0.5, "Pending", IF(BG12&lt;0.5, "Complete", "In Progress"))</f>
        <v>#REF!</v>
      </c>
      <c r="BI12" s="22">
        <v>0</v>
      </c>
      <c r="BJ12" s="22" t="e">
        <f t="shared" si="16"/>
        <v>#REF!</v>
      </c>
      <c r="BK12" s="23" t="e">
        <f>IF(SUMPRODUCT($J$22:BJ$22,$J12:BJ12)&lt;0.5, "Pending", IF(BJ12&lt;0.5, "Complete", "In Progress"))</f>
        <v>#REF!</v>
      </c>
      <c r="BL12" s="22">
        <v>0</v>
      </c>
      <c r="BM12" s="22" t="e">
        <f t="shared" si="17"/>
        <v>#REF!</v>
      </c>
      <c r="BN12" s="23" t="e">
        <f>IF(SUMPRODUCT($J$22:BM$22,$J12:BM12)&lt;0.5, "Pending", IF(BM12&lt;0.5, "Complete", "In Progress"))</f>
        <v>#REF!</v>
      </c>
      <c r="BO12" s="22">
        <v>0</v>
      </c>
      <c r="BP12" s="22" t="e">
        <f t="shared" si="18"/>
        <v>#REF!</v>
      </c>
      <c r="BQ12" s="23" t="e">
        <f>IF(SUMPRODUCT($J$22:BP$22,$J12:BP12)&lt;0.5, "Pending", IF(BP12&lt;0.5, "Complete", "In Progress"))</f>
        <v>#REF!</v>
      </c>
      <c r="BR12" s="22">
        <v>0</v>
      </c>
      <c r="BS12" s="22" t="e">
        <f t="shared" si="19"/>
        <v>#REF!</v>
      </c>
      <c r="BT12" s="23" t="e">
        <f>IF(SUMPRODUCT($J$22:BS$22,$J12:BS12)&lt;0.5, "Pending", IF(BS12&lt;0.5, "Complete", "In Progress"))</f>
        <v>#REF!</v>
      </c>
      <c r="BU12" s="22">
        <v>0</v>
      </c>
      <c r="BV12" s="22" t="e">
        <f t="shared" si="20"/>
        <v>#REF!</v>
      </c>
      <c r="BW12" s="23" t="e">
        <f>IF(SUMPRODUCT($J$22:BV$22,$J12:BV12)&lt;0.5, "Pending", IF(BV12&lt;0.5, "Complete", "In Progress"))</f>
        <v>#REF!</v>
      </c>
      <c r="BX12" s="22">
        <v>0</v>
      </c>
      <c r="BY12" s="22" t="e">
        <f t="shared" si="21"/>
        <v>#REF!</v>
      </c>
      <c r="BZ12" s="23" t="e">
        <f>IF(SUMPRODUCT($J$22:BY$22,$J12:BY12)&lt;0.5, "Pending", IF(BY12&lt;0.5, "Complete", "In Progress"))</f>
        <v>#REF!</v>
      </c>
      <c r="CA12" s="22">
        <v>0</v>
      </c>
      <c r="CB12" s="22" t="e">
        <f t="shared" si="22"/>
        <v>#REF!</v>
      </c>
      <c r="CC12" s="23" t="e">
        <f>IF(SUMPRODUCT($J$22:CB$22,$J12:CB12)&lt;0.5, "Pending", IF(CB12&lt;0.5, "Complete", "In Progress"))</f>
        <v>#REF!</v>
      </c>
      <c r="CD12" s="24"/>
      <c r="CE12" s="25">
        <f>SUMPRODUCT($H$22:AY$22,$H12:AY12)</f>
        <v>5</v>
      </c>
    </row>
    <row r="13" spans="1:83">
      <c r="A13" s="16" t="s">
        <v>53</v>
      </c>
      <c r="B13" s="16" t="s">
        <v>38</v>
      </c>
      <c r="C13" s="16"/>
      <c r="D13" s="17">
        <v>10</v>
      </c>
      <c r="E13" s="162" t="s">
        <v>55</v>
      </c>
      <c r="F13" s="171" t="s">
        <v>56</v>
      </c>
      <c r="G13" s="19" t="s">
        <v>57</v>
      </c>
      <c r="H13" s="20">
        <v>4</v>
      </c>
      <c r="I13" s="21">
        <v>4</v>
      </c>
      <c r="J13" s="22">
        <v>0</v>
      </c>
      <c r="K13" s="22">
        <f t="shared" si="0"/>
        <v>4</v>
      </c>
      <c r="L13" s="23" t="str">
        <f>IF(SUMPRODUCT($J$22:K$22,$J13:K13)&lt;0.5, "Pending", IF(K13&lt;0.5, "Complete", "In Progress"))</f>
        <v>Pending</v>
      </c>
      <c r="M13" s="22">
        <v>1</v>
      </c>
      <c r="N13" s="22">
        <f t="shared" si="1"/>
        <v>3</v>
      </c>
      <c r="O13" s="23" t="str">
        <f>IF(SUMPRODUCT($J$22:N$22,$J13:N13)&lt;0.5, "Pending", IF(N13&lt;0.5, "Complete", "In Progress"))</f>
        <v>In Progress</v>
      </c>
      <c r="P13" s="22">
        <v>0</v>
      </c>
      <c r="Q13" s="22">
        <f t="shared" si="2"/>
        <v>3</v>
      </c>
      <c r="R13" s="23" t="str">
        <f>IF(SUMPRODUCT($J$22:Q$22,$J13:Q13)&lt;0.5, "Pending", IF(Q13&lt;0.5, "Complete", "In Progress"))</f>
        <v>In Progress</v>
      </c>
      <c r="S13" s="22">
        <v>0</v>
      </c>
      <c r="T13" s="22">
        <f t="shared" si="3"/>
        <v>3</v>
      </c>
      <c r="U13" s="23" t="str">
        <f>IF(SUMPRODUCT($J$22:T$22,$J13:T13)&lt;0.5, "Pending", IF(T13&lt;0.5, "Complete", "In Progress"))</f>
        <v>In Progress</v>
      </c>
      <c r="V13" s="22">
        <v>2</v>
      </c>
      <c r="W13" s="22">
        <f t="shared" si="4"/>
        <v>1</v>
      </c>
      <c r="X13" s="23" t="str">
        <f>IF(SUMPRODUCT($J$22:W$22,$J13:W13)&lt;0.5, "Pending", IF(W13&lt;0.5, "Complete", "In Progress"))</f>
        <v>In Progress</v>
      </c>
      <c r="Y13" s="22">
        <v>0</v>
      </c>
      <c r="Z13" s="22">
        <f t="shared" si="5"/>
        <v>1</v>
      </c>
      <c r="AA13" s="23" t="str">
        <f>IF(SUMPRODUCT($J$22:Z$22,$J13:Z13)&lt;0.5, "Pending", IF(Z13&lt;0.5, "Complete", "In Progress"))</f>
        <v>In Progress</v>
      </c>
      <c r="AB13" s="22">
        <v>0</v>
      </c>
      <c r="AC13" s="22">
        <f t="shared" si="6"/>
        <v>1</v>
      </c>
      <c r="AD13" s="23" t="str">
        <f>IF(SUMPRODUCT($J$22:AC$22,$J13:AC13)&lt;0.5, "Pending", IF(AC13&lt;0.5, "Complete", "In Progress"))</f>
        <v>In Progress</v>
      </c>
      <c r="AE13" s="22">
        <v>1</v>
      </c>
      <c r="AF13" s="22">
        <f t="shared" si="7"/>
        <v>0</v>
      </c>
      <c r="AG13" s="23" t="str">
        <f>IF(SUMPRODUCT($J$22:AF$22,$J13:AF13)&lt;0.5, "Pending", IF(AF13&lt;0.5, "Complete", "In Progress"))</f>
        <v>Complete</v>
      </c>
      <c r="AH13" s="22">
        <v>0</v>
      </c>
      <c r="AI13" s="22">
        <f t="shared" si="8"/>
        <v>0</v>
      </c>
      <c r="AJ13" s="23" t="str">
        <f>IF(SUMPRODUCT($J$22:AI$22,$J13:AI13)&lt;0.5, "Pending", IF(AI13&lt;0.5, "Complete", "In Progress"))</f>
        <v>Complete</v>
      </c>
      <c r="AK13" s="22">
        <v>0</v>
      </c>
      <c r="AL13" s="22">
        <f t="shared" si="9"/>
        <v>0</v>
      </c>
      <c r="AM13" s="23" t="str">
        <f>IF(SUMPRODUCT($J$22:AL$22,$J13:AL13)&lt;0.5, "Pending", IF(AL13&lt;0.5, "Complete", "In Progress"))</f>
        <v>Complete</v>
      </c>
      <c r="AN13" s="22">
        <v>0</v>
      </c>
      <c r="AO13" s="22">
        <f t="shared" si="10"/>
        <v>0</v>
      </c>
      <c r="AP13" s="23" t="str">
        <f>IF(SUMPRODUCT($J$22:AO$22,$J13:AO13)&lt;0.5, "Pending", IF(AO13&lt;0.5, "Complete", "In Progress"))</f>
        <v>Complete</v>
      </c>
      <c r="AQ13" s="22">
        <v>0</v>
      </c>
      <c r="AR13" s="22">
        <f t="shared" si="11"/>
        <v>0</v>
      </c>
      <c r="AS13" s="23" t="str">
        <f>IF(SUMPRODUCT($J$22:AR$22,$J13:AR13)&lt;0.5, "Pending", IF(AR13&lt;0.5, "Complete", "In Progress"))</f>
        <v>Complete</v>
      </c>
      <c r="AT13" s="22">
        <v>0</v>
      </c>
      <c r="AU13" s="22">
        <f t="shared" si="12"/>
        <v>0</v>
      </c>
      <c r="AV13" s="23" t="str">
        <f>IF(SUMPRODUCT($J$22:AU$22,$J13:AU13)&lt;0.5, "Pending", IF(AU13&lt;0.5, "Complete", "In Progress"))</f>
        <v>Complete</v>
      </c>
      <c r="AW13" s="22">
        <v>0</v>
      </c>
      <c r="AX13" s="22">
        <f t="shared" si="13"/>
        <v>0</v>
      </c>
      <c r="AY13" s="23" t="str">
        <f>IF(SUMPRODUCT($J$22:AX$22,$J13:AX13)&lt;0.5, "Pending", IF(AX13&lt;0.5, "Complete", "In Progress"))</f>
        <v>Complete</v>
      </c>
      <c r="AZ13" s="22">
        <v>0</v>
      </c>
      <c r="BA13" s="22" t="e">
        <f>MAX(#REF!-AZ13,0)</f>
        <v>#REF!</v>
      </c>
      <c r="BB13" s="23" t="e">
        <f>IF(SUMPRODUCT($J$22:BA$22,$J13:BA13)&lt;0.5, "Pending", IF(BA13&lt;0.5, "Complete", "In Progress"))</f>
        <v>#REF!</v>
      </c>
      <c r="BC13" s="22">
        <v>0</v>
      </c>
      <c r="BD13" s="22" t="e">
        <f t="shared" si="14"/>
        <v>#REF!</v>
      </c>
      <c r="BE13" s="23" t="e">
        <f>IF(SUMPRODUCT($J$22:BD$22,$J13:BD13)&lt;0.5, "Pending", IF(BD13&lt;0.5, "Complete", "In Progress"))</f>
        <v>#REF!</v>
      </c>
      <c r="BF13" s="22">
        <v>0</v>
      </c>
      <c r="BG13" s="22" t="e">
        <f t="shared" si="15"/>
        <v>#REF!</v>
      </c>
      <c r="BH13" s="23" t="e">
        <f>IF(SUMPRODUCT($J$22:BG$22,$J13:BG13)&lt;0.5, "Pending", IF(BG13&lt;0.5, "Complete", "In Progress"))</f>
        <v>#REF!</v>
      </c>
      <c r="BI13" s="22">
        <v>0</v>
      </c>
      <c r="BJ13" s="22" t="e">
        <f t="shared" si="16"/>
        <v>#REF!</v>
      </c>
      <c r="BK13" s="23" t="e">
        <f>IF(SUMPRODUCT($J$22:BJ$22,$J13:BJ13)&lt;0.5, "Pending", IF(BJ13&lt;0.5, "Complete", "In Progress"))</f>
        <v>#REF!</v>
      </c>
      <c r="BL13" s="22">
        <v>0</v>
      </c>
      <c r="BM13" s="22" t="e">
        <f t="shared" si="17"/>
        <v>#REF!</v>
      </c>
      <c r="BN13" s="23" t="e">
        <f>IF(SUMPRODUCT($J$22:BM$22,$J13:BM13)&lt;0.5, "Pending", IF(BM13&lt;0.5, "Complete", "In Progress"))</f>
        <v>#REF!</v>
      </c>
      <c r="BO13" s="22">
        <v>0</v>
      </c>
      <c r="BP13" s="22" t="e">
        <f t="shared" si="18"/>
        <v>#REF!</v>
      </c>
      <c r="BQ13" s="23" t="e">
        <f>IF(SUMPRODUCT($J$22:BP$22,$J13:BP13)&lt;0.5, "Pending", IF(BP13&lt;0.5, "Complete", "In Progress"))</f>
        <v>#REF!</v>
      </c>
      <c r="BR13" s="22">
        <v>0</v>
      </c>
      <c r="BS13" s="22" t="e">
        <f t="shared" si="19"/>
        <v>#REF!</v>
      </c>
      <c r="BT13" s="23" t="e">
        <f>IF(SUMPRODUCT($J$22:BS$22,$J13:BS13)&lt;0.5, "Pending", IF(BS13&lt;0.5, "Complete", "In Progress"))</f>
        <v>#REF!</v>
      </c>
      <c r="BU13" s="22">
        <v>0</v>
      </c>
      <c r="BV13" s="22" t="e">
        <f t="shared" si="20"/>
        <v>#REF!</v>
      </c>
      <c r="BW13" s="23" t="e">
        <f>IF(SUMPRODUCT($J$22:BV$22,$J13:BV13)&lt;0.5, "Pending", IF(BV13&lt;0.5, "Complete", "In Progress"))</f>
        <v>#REF!</v>
      </c>
      <c r="BX13" s="22">
        <v>0</v>
      </c>
      <c r="BY13" s="22" t="e">
        <f t="shared" si="21"/>
        <v>#REF!</v>
      </c>
      <c r="BZ13" s="23" t="e">
        <f>IF(SUMPRODUCT($J$22:BY$22,$J13:BY13)&lt;0.5, "Pending", IF(BY13&lt;0.5, "Complete", "In Progress"))</f>
        <v>#REF!</v>
      </c>
      <c r="CA13" s="22">
        <v>0</v>
      </c>
      <c r="CB13" s="22" t="e">
        <f t="shared" si="22"/>
        <v>#REF!</v>
      </c>
      <c r="CC13" s="23" t="e">
        <f>IF(SUMPRODUCT($J$22:CB$22,$J13:CB13)&lt;0.5, "Pending", IF(CB13&lt;0.5, "Complete", "In Progress"))</f>
        <v>#REF!</v>
      </c>
      <c r="CD13" s="24"/>
      <c r="CE13" s="25">
        <f>SUMPRODUCT($H$22:AY$22,$H13:AY13)</f>
        <v>4</v>
      </c>
    </row>
    <row r="14" spans="1:83">
      <c r="A14" s="16" t="s">
        <v>53</v>
      </c>
      <c r="B14" s="16" t="s">
        <v>38</v>
      </c>
      <c r="C14" s="16"/>
      <c r="D14" s="17">
        <v>11</v>
      </c>
      <c r="E14" s="162" t="s">
        <v>58</v>
      </c>
      <c r="F14" s="171" t="s">
        <v>47</v>
      </c>
      <c r="G14" s="19" t="s">
        <v>42</v>
      </c>
      <c r="H14" s="20">
        <v>5</v>
      </c>
      <c r="I14" s="21">
        <v>7</v>
      </c>
      <c r="J14" s="22">
        <v>2</v>
      </c>
      <c r="K14" s="22">
        <v>3</v>
      </c>
      <c r="L14" s="23" t="str">
        <f>IF(SUMPRODUCT($J$22:K$22,$J14:K14)&lt;0.5, "Pending", IF(K14&lt;0.5, "Complete", "In Progress"))</f>
        <v>In Progress</v>
      </c>
      <c r="M14" s="22">
        <v>0</v>
      </c>
      <c r="N14" s="22">
        <v>3</v>
      </c>
      <c r="O14" s="23" t="str">
        <f>IF(SUMPRODUCT($J$22:N$22,$J14:N14)&lt;0.5, "Pending", IF(N14&lt;0.5, "Complete", "In Progress"))</f>
        <v>In Progress</v>
      </c>
      <c r="P14" s="22">
        <v>0.5</v>
      </c>
      <c r="Q14" s="22">
        <f t="shared" si="2"/>
        <v>2.5</v>
      </c>
      <c r="R14" s="23" t="str">
        <f>IF(SUMPRODUCT($J$22:Q$22,$J14:Q14)&lt;0.5, "Pending", IF(Q14&lt;0.5, "Complete", "In Progress"))</f>
        <v>In Progress</v>
      </c>
      <c r="S14" s="22">
        <v>0</v>
      </c>
      <c r="T14" s="22">
        <f t="shared" si="3"/>
        <v>2.5</v>
      </c>
      <c r="U14" s="23" t="str">
        <f>IF(SUMPRODUCT($J$22:T$22,$J14:T14)&lt;0.5, "Pending", IF(T14&lt;0.5, "Complete", "In Progress"))</f>
        <v>In Progress</v>
      </c>
      <c r="V14" s="22">
        <v>0</v>
      </c>
      <c r="W14" s="22">
        <f t="shared" si="4"/>
        <v>2.5</v>
      </c>
      <c r="X14" s="23" t="str">
        <f>IF(SUMPRODUCT($J$22:W$22,$J14:W14)&lt;0.5, "Pending", IF(W14&lt;0.5, "Complete", "In Progress"))</f>
        <v>In Progress</v>
      </c>
      <c r="Y14" s="22">
        <v>0</v>
      </c>
      <c r="Z14" s="22">
        <f t="shared" si="5"/>
        <v>2.5</v>
      </c>
      <c r="AA14" s="23" t="str">
        <f>IF(SUMPRODUCT($J$22:Z$22,$J14:Z14)&lt;0.5, "Pending", IF(Z14&lt;0.5, "Complete", "In Progress"))</f>
        <v>In Progress</v>
      </c>
      <c r="AB14" s="22">
        <v>0</v>
      </c>
      <c r="AC14" s="22">
        <f t="shared" si="6"/>
        <v>2.5</v>
      </c>
      <c r="AD14" s="23" t="str">
        <f>IF(SUMPRODUCT($J$22:AC$22,$J14:AC14)&lt;0.5, "Pending", IF(AC14&lt;0.5, "Complete", "In Progress"))</f>
        <v>In Progress</v>
      </c>
      <c r="AE14" s="22">
        <v>2</v>
      </c>
      <c r="AF14" s="22">
        <f t="shared" si="7"/>
        <v>0.5</v>
      </c>
      <c r="AG14" s="23" t="str">
        <f>IF(SUMPRODUCT($J$22:AF$22,$J14:AF14)&lt;0.5, "Pending", IF(AF14&lt;0.5, "Complete", "In Progress"))</f>
        <v>In Progress</v>
      </c>
      <c r="AH14" s="22">
        <v>0.5</v>
      </c>
      <c r="AI14" s="22">
        <f t="shared" si="8"/>
        <v>0</v>
      </c>
      <c r="AJ14" s="23" t="str">
        <f>IF(SUMPRODUCT($J$22:AI$22,$J14:AI14)&lt;0.5, "Pending", IF(AI14&lt;0.5, "Complete", "In Progress"))</f>
        <v>Complete</v>
      </c>
      <c r="AK14" s="22">
        <v>0</v>
      </c>
      <c r="AL14" s="22">
        <f t="shared" si="9"/>
        <v>0</v>
      </c>
      <c r="AM14" s="23" t="str">
        <f>IF(SUMPRODUCT($J$22:AL$22,$J14:AL14)&lt;0.5, "Pending", IF(AL14&lt;0.5, "Complete", "In Progress"))</f>
        <v>Complete</v>
      </c>
      <c r="AN14" s="22">
        <v>0</v>
      </c>
      <c r="AO14" s="22">
        <f t="shared" si="10"/>
        <v>0</v>
      </c>
      <c r="AP14" s="23" t="str">
        <f>IF(SUMPRODUCT($J$22:AO$22,$J14:AO14)&lt;0.5, "Pending", IF(AO14&lt;0.5, "Complete", "In Progress"))</f>
        <v>Complete</v>
      </c>
      <c r="AQ14" s="22">
        <v>0</v>
      </c>
      <c r="AR14" s="22">
        <f t="shared" si="11"/>
        <v>0</v>
      </c>
      <c r="AS14" s="23" t="str">
        <f>IF(SUMPRODUCT($J$22:AR$22,$J14:AR14)&lt;0.5, "Pending", IF(AR14&lt;0.5, "Complete", "In Progress"))</f>
        <v>Complete</v>
      </c>
      <c r="AT14" s="22">
        <v>0</v>
      </c>
      <c r="AU14" s="22">
        <f t="shared" si="12"/>
        <v>0</v>
      </c>
      <c r="AV14" s="23" t="str">
        <f>IF(SUMPRODUCT($J$22:AU$22,$J14:AU14)&lt;0.5, "Pending", IF(AU14&lt;0.5, "Complete", "In Progress"))</f>
        <v>Complete</v>
      </c>
      <c r="AW14" s="22">
        <v>0</v>
      </c>
      <c r="AX14" s="22">
        <f t="shared" si="13"/>
        <v>0</v>
      </c>
      <c r="AY14" s="23" t="str">
        <f>IF(SUMPRODUCT($J$22:AX$22,$J14:AX14)&lt;0.5, "Pending", IF(AX14&lt;0.5, "Complete", "In Progress"))</f>
        <v>Complete</v>
      </c>
      <c r="AZ14" s="22">
        <v>0</v>
      </c>
      <c r="BA14" s="22" t="e">
        <f>MAX(#REF!-AZ14,0)</f>
        <v>#REF!</v>
      </c>
      <c r="BB14" s="23" t="e">
        <f>IF(SUMPRODUCT($J$22:BA$22,$J14:BA14)&lt;0.5, "Pending", IF(BA14&lt;0.5, "Complete", "In Progress"))</f>
        <v>#REF!</v>
      </c>
      <c r="BC14" s="22">
        <v>0</v>
      </c>
      <c r="BD14" s="22" t="e">
        <f t="shared" si="14"/>
        <v>#REF!</v>
      </c>
      <c r="BE14" s="23" t="e">
        <f>IF(SUMPRODUCT($J$22:BD$22,$J14:BD14)&lt;0.5, "Pending", IF(BD14&lt;0.5, "Complete", "In Progress"))</f>
        <v>#REF!</v>
      </c>
      <c r="BF14" s="22">
        <v>0</v>
      </c>
      <c r="BG14" s="22" t="e">
        <f t="shared" si="15"/>
        <v>#REF!</v>
      </c>
      <c r="BH14" s="23" t="e">
        <f>IF(SUMPRODUCT($J$22:BG$22,$J14:BG14)&lt;0.5, "Pending", IF(BG14&lt;0.5, "Complete", "In Progress"))</f>
        <v>#REF!</v>
      </c>
      <c r="BI14" s="22">
        <v>0</v>
      </c>
      <c r="BJ14" s="22" t="e">
        <f t="shared" si="16"/>
        <v>#REF!</v>
      </c>
      <c r="BK14" s="23" t="e">
        <f>IF(SUMPRODUCT($J$22:BJ$22,$J14:BJ14)&lt;0.5, "Pending", IF(BJ14&lt;0.5, "Complete", "In Progress"))</f>
        <v>#REF!</v>
      </c>
      <c r="BL14" s="22">
        <v>0</v>
      </c>
      <c r="BM14" s="22" t="e">
        <f t="shared" si="17"/>
        <v>#REF!</v>
      </c>
      <c r="BN14" s="23" t="e">
        <f>IF(SUMPRODUCT($J$22:BM$22,$J14:BM14)&lt;0.5, "Pending", IF(BM14&lt;0.5, "Complete", "In Progress"))</f>
        <v>#REF!</v>
      </c>
      <c r="BO14" s="22">
        <v>0</v>
      </c>
      <c r="BP14" s="22" t="e">
        <f t="shared" si="18"/>
        <v>#REF!</v>
      </c>
      <c r="BQ14" s="23" t="e">
        <f>IF(SUMPRODUCT($J$22:BP$22,$J14:BP14)&lt;0.5, "Pending", IF(BP14&lt;0.5, "Complete", "In Progress"))</f>
        <v>#REF!</v>
      </c>
      <c r="BR14" s="22">
        <v>0</v>
      </c>
      <c r="BS14" s="22" t="e">
        <f t="shared" si="19"/>
        <v>#REF!</v>
      </c>
      <c r="BT14" s="23" t="e">
        <f>IF(SUMPRODUCT($J$22:BS$22,$J14:BS14)&lt;0.5, "Pending", IF(BS14&lt;0.5, "Complete", "In Progress"))</f>
        <v>#REF!</v>
      </c>
      <c r="BU14" s="22">
        <v>0</v>
      </c>
      <c r="BV14" s="22" t="e">
        <f t="shared" si="20"/>
        <v>#REF!</v>
      </c>
      <c r="BW14" s="23" t="e">
        <f>IF(SUMPRODUCT($J$22:BV$22,$J14:BV14)&lt;0.5, "Pending", IF(BV14&lt;0.5, "Complete", "In Progress"))</f>
        <v>#REF!</v>
      </c>
      <c r="BX14" s="22">
        <v>0</v>
      </c>
      <c r="BY14" s="22" t="e">
        <f t="shared" si="21"/>
        <v>#REF!</v>
      </c>
      <c r="BZ14" s="23" t="e">
        <f>IF(SUMPRODUCT($J$22:BY$22,$J14:BY14)&lt;0.5, "Pending", IF(BY14&lt;0.5, "Complete", "In Progress"))</f>
        <v>#REF!</v>
      </c>
      <c r="CA14" s="22">
        <v>0</v>
      </c>
      <c r="CB14" s="22" t="e">
        <f t="shared" si="22"/>
        <v>#REF!</v>
      </c>
      <c r="CC14" s="23" t="e">
        <f>IF(SUMPRODUCT($J$22:CB$22,$J14:CB14)&lt;0.5, "Pending", IF(CB14&lt;0.5, "Complete", "In Progress"))</f>
        <v>#REF!</v>
      </c>
      <c r="CD14" s="24"/>
      <c r="CE14" s="25">
        <f>SUMPRODUCT($H$22:AY$22,$H14:AY14)</f>
        <v>5</v>
      </c>
    </row>
    <row r="15" spans="1:83">
      <c r="A15" s="16" t="s">
        <v>53</v>
      </c>
      <c r="B15" s="16" t="s">
        <v>38</v>
      </c>
      <c r="C15" s="16"/>
      <c r="D15" s="17">
        <v>12</v>
      </c>
      <c r="E15" s="162" t="s">
        <v>59</v>
      </c>
      <c r="F15" s="171" t="s">
        <v>50</v>
      </c>
      <c r="G15" s="19" t="s">
        <v>57</v>
      </c>
      <c r="H15" s="20">
        <v>8</v>
      </c>
      <c r="I15" s="21">
        <v>8</v>
      </c>
      <c r="J15" s="22">
        <v>0</v>
      </c>
      <c r="K15" s="22">
        <f t="shared" si="0"/>
        <v>8</v>
      </c>
      <c r="L15" s="23" t="str">
        <f>IF(SUMPRODUCT($J$22:K$22,$J15:K15)&lt;0.5, "Pending", IF(K15&lt;0.5, "Complete", "In Progress"))</f>
        <v>Pending</v>
      </c>
      <c r="M15" s="22">
        <v>0</v>
      </c>
      <c r="N15" s="22">
        <f t="shared" si="1"/>
        <v>8</v>
      </c>
      <c r="O15" s="23" t="str">
        <f>IF(SUMPRODUCT($J$22:N$22,$J15:N15)&lt;0.5, "Pending", IF(N15&lt;0.5, "Complete", "In Progress"))</f>
        <v>Pending</v>
      </c>
      <c r="P15" s="22">
        <v>0</v>
      </c>
      <c r="Q15" s="22">
        <f t="shared" si="2"/>
        <v>8</v>
      </c>
      <c r="R15" s="23" t="str">
        <f>IF(SUMPRODUCT($J$22:Q$22,$J15:Q15)&lt;0.5, "Pending", IF(Q15&lt;0.5, "Complete", "In Progress"))</f>
        <v>Pending</v>
      </c>
      <c r="S15" s="22">
        <v>0</v>
      </c>
      <c r="T15" s="22">
        <f t="shared" si="3"/>
        <v>8</v>
      </c>
      <c r="U15" s="23" t="str">
        <f>IF(SUMPRODUCT($J$22:T$22,$J15:T15)&lt;0.5, "Pending", IF(T15&lt;0.5, "Complete", "In Progress"))</f>
        <v>Pending</v>
      </c>
      <c r="V15" s="22">
        <v>0</v>
      </c>
      <c r="W15" s="22">
        <f t="shared" si="4"/>
        <v>8</v>
      </c>
      <c r="X15" s="23" t="str">
        <f>IF(SUMPRODUCT($J$22:W$22,$J15:W15)&lt;0.5, "Pending", IF(W15&lt;0.5, "Complete", "In Progress"))</f>
        <v>Pending</v>
      </c>
      <c r="Y15" s="22">
        <v>0</v>
      </c>
      <c r="Z15" s="22">
        <f t="shared" si="5"/>
        <v>8</v>
      </c>
      <c r="AA15" s="23" t="str">
        <f>IF(SUMPRODUCT($J$22:Z$22,$J15:Z15)&lt;0.5, "Pending", IF(Z15&lt;0.5, "Complete", "In Progress"))</f>
        <v>Pending</v>
      </c>
      <c r="AB15" s="22">
        <v>4</v>
      </c>
      <c r="AC15" s="22">
        <f t="shared" si="6"/>
        <v>4</v>
      </c>
      <c r="AD15" s="23" t="str">
        <f>IF(SUMPRODUCT($J$22:AC$22,$J15:AC15)&lt;0.5, "Pending", IF(AC15&lt;0.5, "Complete", "In Progress"))</f>
        <v>In Progress</v>
      </c>
      <c r="AE15" s="22">
        <v>3</v>
      </c>
      <c r="AF15" s="22">
        <f t="shared" si="7"/>
        <v>1</v>
      </c>
      <c r="AG15" s="23" t="str">
        <f>IF(SUMPRODUCT($J$22:AF$22,$J15:AF15)&lt;0.5, "Pending", IF(AF15&lt;0.5, "Complete", "In Progress"))</f>
        <v>In Progress</v>
      </c>
      <c r="AH15" s="22">
        <v>0</v>
      </c>
      <c r="AI15" s="22">
        <f t="shared" si="8"/>
        <v>1</v>
      </c>
      <c r="AJ15" s="23" t="str">
        <f>IF(SUMPRODUCT($J$22:AI$22,$J15:AI15)&lt;0.5, "Pending", IF(AI15&lt;0.5, "Complete", "In Progress"))</f>
        <v>In Progress</v>
      </c>
      <c r="AK15" s="22">
        <v>1</v>
      </c>
      <c r="AL15" s="22">
        <f t="shared" si="9"/>
        <v>0</v>
      </c>
      <c r="AM15" s="23" t="str">
        <f>IF(SUMPRODUCT($J$22:AL$22,$J15:AL15)&lt;0.5, "Pending", IF(AL15&lt;0.5, "Complete", "In Progress"))</f>
        <v>Complete</v>
      </c>
      <c r="AN15" s="22">
        <v>0</v>
      </c>
      <c r="AO15" s="22">
        <f t="shared" si="10"/>
        <v>0</v>
      </c>
      <c r="AP15" s="23" t="str">
        <f>IF(SUMPRODUCT($J$22:AO$22,$J15:AO15)&lt;0.5, "Pending", IF(AO15&lt;0.5, "Complete", "In Progress"))</f>
        <v>Complete</v>
      </c>
      <c r="AQ15" s="22">
        <v>0</v>
      </c>
      <c r="AR15" s="22">
        <f t="shared" si="11"/>
        <v>0</v>
      </c>
      <c r="AS15" s="23" t="str">
        <f>IF(SUMPRODUCT($J$22:AR$22,$J15:AR15)&lt;0.5, "Pending", IF(AR15&lt;0.5, "Complete", "In Progress"))</f>
        <v>Complete</v>
      </c>
      <c r="AT15" s="22">
        <v>0</v>
      </c>
      <c r="AU15" s="22">
        <f t="shared" si="12"/>
        <v>0</v>
      </c>
      <c r="AV15" s="23" t="str">
        <f>IF(SUMPRODUCT($J$22:AU$22,$J15:AU15)&lt;0.5, "Pending", IF(AU15&lt;0.5, "Complete", "In Progress"))</f>
        <v>Complete</v>
      </c>
      <c r="AW15" s="22">
        <v>0</v>
      </c>
      <c r="AX15" s="22">
        <f t="shared" si="13"/>
        <v>0</v>
      </c>
      <c r="AY15" s="23" t="str">
        <f>IF(SUMPRODUCT($J$22:AX$22,$J15:AX15)&lt;0.5, "Pending", IF(AX15&lt;0.5, "Complete", "In Progress"))</f>
        <v>Complete</v>
      </c>
      <c r="AZ15" s="22">
        <v>0</v>
      </c>
      <c r="BA15" s="22" t="e">
        <f>MAX(#REF!-AZ15,0)</f>
        <v>#REF!</v>
      </c>
      <c r="BB15" s="23" t="e">
        <f>IF(SUMPRODUCT($J$22:BA$22,$J15:BA15)&lt;0.5, "Pending", IF(BA15&lt;0.5, "Complete", "In Progress"))</f>
        <v>#REF!</v>
      </c>
      <c r="BC15" s="22">
        <v>0</v>
      </c>
      <c r="BD15" s="22" t="e">
        <f t="shared" si="14"/>
        <v>#REF!</v>
      </c>
      <c r="BE15" s="23" t="e">
        <f>IF(SUMPRODUCT($J$22:BD$22,$J15:BD15)&lt;0.5, "Pending", IF(BD15&lt;0.5, "Complete", "In Progress"))</f>
        <v>#REF!</v>
      </c>
      <c r="BF15" s="22">
        <v>0</v>
      </c>
      <c r="BG15" s="22" t="e">
        <f t="shared" si="15"/>
        <v>#REF!</v>
      </c>
      <c r="BH15" s="23" t="e">
        <f>IF(SUMPRODUCT($J$22:BG$22,$J15:BG15)&lt;0.5, "Pending", IF(BG15&lt;0.5, "Complete", "In Progress"))</f>
        <v>#REF!</v>
      </c>
      <c r="BI15" s="22">
        <v>0</v>
      </c>
      <c r="BJ15" s="22" t="e">
        <f t="shared" si="16"/>
        <v>#REF!</v>
      </c>
      <c r="BK15" s="23" t="e">
        <f>IF(SUMPRODUCT($J$22:BJ$22,$J15:BJ15)&lt;0.5, "Pending", IF(BJ15&lt;0.5, "Complete", "In Progress"))</f>
        <v>#REF!</v>
      </c>
      <c r="BL15" s="22">
        <v>0</v>
      </c>
      <c r="BM15" s="22" t="e">
        <f t="shared" si="17"/>
        <v>#REF!</v>
      </c>
      <c r="BN15" s="23" t="e">
        <f>IF(SUMPRODUCT($J$22:BM$22,$J15:BM15)&lt;0.5, "Pending", IF(BM15&lt;0.5, "Complete", "In Progress"))</f>
        <v>#REF!</v>
      </c>
      <c r="BO15" s="22">
        <v>0</v>
      </c>
      <c r="BP15" s="22" t="e">
        <f t="shared" si="18"/>
        <v>#REF!</v>
      </c>
      <c r="BQ15" s="23" t="e">
        <f>IF(SUMPRODUCT($J$22:BP$22,$J15:BP15)&lt;0.5, "Pending", IF(BP15&lt;0.5, "Complete", "In Progress"))</f>
        <v>#REF!</v>
      </c>
      <c r="BR15" s="22">
        <v>0</v>
      </c>
      <c r="BS15" s="22" t="e">
        <f t="shared" si="19"/>
        <v>#REF!</v>
      </c>
      <c r="BT15" s="23" t="e">
        <f>IF(SUMPRODUCT($J$22:BS$22,$J15:BS15)&lt;0.5, "Pending", IF(BS15&lt;0.5, "Complete", "In Progress"))</f>
        <v>#REF!</v>
      </c>
      <c r="BU15" s="22">
        <v>0</v>
      </c>
      <c r="BV15" s="22" t="e">
        <f t="shared" si="20"/>
        <v>#REF!</v>
      </c>
      <c r="BW15" s="23" t="e">
        <f>IF(SUMPRODUCT($J$22:BV$22,$J15:BV15)&lt;0.5, "Pending", IF(BV15&lt;0.5, "Complete", "In Progress"))</f>
        <v>#REF!</v>
      </c>
      <c r="BX15" s="22">
        <v>0</v>
      </c>
      <c r="BY15" s="22" t="e">
        <f t="shared" si="21"/>
        <v>#REF!</v>
      </c>
      <c r="BZ15" s="23" t="e">
        <f>IF(SUMPRODUCT($J$22:BY$22,$J15:BY15)&lt;0.5, "Pending", IF(BY15&lt;0.5, "Complete", "In Progress"))</f>
        <v>#REF!</v>
      </c>
      <c r="CA15" s="22">
        <v>0</v>
      </c>
      <c r="CB15" s="22" t="e">
        <f t="shared" si="22"/>
        <v>#REF!</v>
      </c>
      <c r="CC15" s="23" t="e">
        <f>IF(SUMPRODUCT($J$22:CB$22,$J15:CB15)&lt;0.5, "Pending", IF(CB15&lt;0.5, "Complete", "In Progress"))</f>
        <v>#REF!</v>
      </c>
      <c r="CD15" s="24"/>
      <c r="CE15" s="25">
        <f>SUMPRODUCT($H$22:AY$22,$H15:AY15)</f>
        <v>8</v>
      </c>
    </row>
    <row r="16" spans="1:83">
      <c r="A16" s="16" t="s">
        <v>53</v>
      </c>
      <c r="B16" s="16" t="s">
        <v>38</v>
      </c>
      <c r="C16" s="172"/>
      <c r="D16" s="173">
        <v>13</v>
      </c>
      <c r="E16" s="175" t="s">
        <v>60</v>
      </c>
      <c r="F16" s="171" t="s">
        <v>50</v>
      </c>
      <c r="G16" s="19" t="s">
        <v>57</v>
      </c>
      <c r="H16" s="20">
        <v>2</v>
      </c>
      <c r="I16" s="21">
        <v>2</v>
      </c>
      <c r="J16" s="22">
        <v>0</v>
      </c>
      <c r="K16" s="22">
        <f t="shared" ref="K16:K19" si="23">MAX(I16-J16, 0)</f>
        <v>2</v>
      </c>
      <c r="L16" s="23" t="str">
        <f>IF(SUMPRODUCT($J$22:K$22,$J16:K16)&lt;0.5, "Pending", IF(K16&lt;0.5, "Complete", "In Progress"))</f>
        <v>Pending</v>
      </c>
      <c r="M16" s="22">
        <v>0</v>
      </c>
      <c r="N16" s="22">
        <f t="shared" ref="N16:N19" si="24">MAX(K16-M16,0)</f>
        <v>2</v>
      </c>
      <c r="O16" s="23" t="str">
        <f>IF(SUMPRODUCT($J$22:N$22,$J16:N16)&lt;0.5, "Pending", IF(N16&lt;0.5, "Complete", "In Progress"))</f>
        <v>Pending</v>
      </c>
      <c r="P16" s="22">
        <v>0</v>
      </c>
      <c r="Q16" s="22">
        <f t="shared" ref="Q16:Q19" si="25">MAX(N16-P16,0)</f>
        <v>2</v>
      </c>
      <c r="R16" s="23" t="str">
        <f>IF(SUMPRODUCT($J$22:Q$22,$J16:Q16)&lt;0.5, "Pending", IF(Q16&lt;0.5, "Complete", "In Progress"))</f>
        <v>Pending</v>
      </c>
      <c r="S16" s="22">
        <v>0</v>
      </c>
      <c r="T16" s="22">
        <f t="shared" ref="T16:T19" si="26">MAX(Q16-S16,0)</f>
        <v>2</v>
      </c>
      <c r="U16" s="23" t="str">
        <f>IF(SUMPRODUCT($J$22:T$22,$J16:T16)&lt;0.5, "Pending", IF(T16&lt;0.5, "Complete", "In Progress"))</f>
        <v>Pending</v>
      </c>
      <c r="V16" s="22">
        <v>0</v>
      </c>
      <c r="W16" s="22">
        <f t="shared" ref="W16:W19" si="27">MAX(T16-V16,0)</f>
        <v>2</v>
      </c>
      <c r="X16" s="23" t="str">
        <f>IF(SUMPRODUCT($J$22:W$22,$J16:W16)&lt;0.5, "Pending", IF(W16&lt;0.5, "Complete", "In Progress"))</f>
        <v>Pending</v>
      </c>
      <c r="Y16" s="22">
        <v>0</v>
      </c>
      <c r="Z16" s="22">
        <f t="shared" ref="Z16:Z19" si="28">MAX(W16-Y16,0)</f>
        <v>2</v>
      </c>
      <c r="AA16" s="23" t="str">
        <f>IF(SUMPRODUCT($J$22:Z$22,$J16:Z16)&lt;0.5, "Pending", IF(Z16&lt;0.5, "Complete", "In Progress"))</f>
        <v>Pending</v>
      </c>
      <c r="AB16" s="22">
        <v>0</v>
      </c>
      <c r="AC16" s="22">
        <f t="shared" ref="AC16:AC19" si="29">MAX(Z16-AB16,0)</f>
        <v>2</v>
      </c>
      <c r="AD16" s="23" t="str">
        <f>IF(SUMPRODUCT($J$22:AC$22,$J16:AC16)&lt;0.5, "Pending", IF(AC16&lt;0.5, "Complete", "In Progress"))</f>
        <v>Pending</v>
      </c>
      <c r="AE16" s="22">
        <v>2</v>
      </c>
      <c r="AF16" s="22">
        <f t="shared" ref="AF16:AF19" si="30">MAX(AC16-AE16,0)</f>
        <v>0</v>
      </c>
      <c r="AG16" s="23" t="str">
        <f>IF(SUMPRODUCT($J$22:AF$22,$J16:AF16)&lt;0.5, "Pending", IF(AF16&lt;0.5, "Complete", "In Progress"))</f>
        <v>Complete</v>
      </c>
      <c r="AH16" s="22">
        <v>0</v>
      </c>
      <c r="AI16" s="22">
        <f t="shared" ref="AI16:AI19" si="31">MAX(AF16-AH16,0)</f>
        <v>0</v>
      </c>
      <c r="AJ16" s="23" t="str">
        <f>IF(SUMPRODUCT($J$22:AI$22,$J16:AI16)&lt;0.5, "Pending", IF(AI16&lt;0.5, "Complete", "In Progress"))</f>
        <v>Complete</v>
      </c>
      <c r="AK16" s="22">
        <v>0</v>
      </c>
      <c r="AL16" s="22">
        <f t="shared" ref="AL16:AL19" si="32">MAX(AI16-AK16,0)</f>
        <v>0</v>
      </c>
      <c r="AM16" s="23" t="str">
        <f>IF(SUMPRODUCT($J$22:AL$22,$J16:AL16)&lt;0.5, "Pending", IF(AL16&lt;0.5, "Complete", "In Progress"))</f>
        <v>Complete</v>
      </c>
      <c r="AN16" s="22">
        <v>0</v>
      </c>
      <c r="AO16" s="22">
        <f t="shared" ref="AO16:AO19" si="33">MAX(AL16-AN16,0)</f>
        <v>0</v>
      </c>
      <c r="AP16" s="23" t="str">
        <f>IF(SUMPRODUCT($J$22:AO$22,$J16:AO16)&lt;0.5, "Pending", IF(AO16&lt;0.5, "Complete", "In Progress"))</f>
        <v>Complete</v>
      </c>
      <c r="AQ16" s="22">
        <v>0</v>
      </c>
      <c r="AR16" s="22">
        <f t="shared" ref="AR16:AR19" si="34">MAX(AO16-AQ16,0)</f>
        <v>0</v>
      </c>
      <c r="AS16" s="23" t="str">
        <f>IF(SUMPRODUCT($J$22:AR$22,$J16:AR16)&lt;0.5, "Pending", IF(AR16&lt;0.5, "Complete", "In Progress"))</f>
        <v>Complete</v>
      </c>
      <c r="AT16" s="22">
        <v>0</v>
      </c>
      <c r="AU16" s="22">
        <f t="shared" ref="AU16:AU19" si="35">MAX(AR16-AT16,0)</f>
        <v>0</v>
      </c>
      <c r="AV16" s="23" t="str">
        <f>IF(SUMPRODUCT($J$22:AU$22,$J16:AU16)&lt;0.5, "Pending", IF(AU16&lt;0.5, "Complete", "In Progress"))</f>
        <v>Complete</v>
      </c>
      <c r="AW16" s="22">
        <v>0</v>
      </c>
      <c r="AX16" s="22">
        <f t="shared" ref="AX16:AX19" si="36">MAX(AU16-AW16,0)</f>
        <v>0</v>
      </c>
      <c r="AY16" s="23" t="str">
        <f>IF(SUMPRODUCT($J$22:AX$22,$J16:AX16)&lt;0.5, "Pending", IF(AX16&lt;0.5, "Complete", "In Progress"))</f>
        <v>Complete</v>
      </c>
      <c r="AZ16" s="22">
        <v>0</v>
      </c>
      <c r="BA16" s="22" t="e">
        <f>MAX(#REF!-AZ16,0)</f>
        <v>#REF!</v>
      </c>
      <c r="BB16" s="23" t="e">
        <f>IF(SUMPRODUCT($J$22:BA$22,$J16:BA16)&lt;0.5, "Pending", IF(BA16&lt;0.5, "Complete", "In Progress"))</f>
        <v>#REF!</v>
      </c>
      <c r="BC16" s="22">
        <v>0</v>
      </c>
      <c r="BD16" s="22" t="e">
        <f t="shared" ref="BD16:BD19" si="37">MAX(BA16-BC16,0)</f>
        <v>#REF!</v>
      </c>
      <c r="BE16" s="23" t="e">
        <f>IF(SUMPRODUCT($J$22:BD$22,$J16:BD16)&lt;0.5, "Pending", IF(BD16&lt;0.5, "Complete", "In Progress"))</f>
        <v>#REF!</v>
      </c>
      <c r="BF16" s="22">
        <v>0</v>
      </c>
      <c r="BG16" s="22" t="e">
        <f t="shared" ref="BG16:BG19" si="38">MAX(BD16-BF16,0)</f>
        <v>#REF!</v>
      </c>
      <c r="BH16" s="23" t="e">
        <f>IF(SUMPRODUCT($J$22:BG$22,$J16:BG16)&lt;0.5, "Pending", IF(BG16&lt;0.5, "Complete", "In Progress"))</f>
        <v>#REF!</v>
      </c>
      <c r="BI16" s="22">
        <v>0</v>
      </c>
      <c r="BJ16" s="22" t="e">
        <f t="shared" ref="BJ16:BJ19" si="39">MAX(BG16-BI16,0)</f>
        <v>#REF!</v>
      </c>
      <c r="BK16" s="23" t="e">
        <f>IF(SUMPRODUCT($J$22:BJ$22,$J16:BJ16)&lt;0.5, "Pending", IF(BJ16&lt;0.5, "Complete", "In Progress"))</f>
        <v>#REF!</v>
      </c>
      <c r="BL16" s="22">
        <v>0</v>
      </c>
      <c r="BM16" s="22" t="e">
        <f t="shared" ref="BM16:BM19" si="40">MAX(BJ16-BL16,0)</f>
        <v>#REF!</v>
      </c>
      <c r="BN16" s="23" t="e">
        <f>IF(SUMPRODUCT($J$22:BM$22,$J16:BM16)&lt;0.5, "Pending", IF(BM16&lt;0.5, "Complete", "In Progress"))</f>
        <v>#REF!</v>
      </c>
      <c r="BO16" s="22">
        <v>0</v>
      </c>
      <c r="BP16" s="22" t="e">
        <f t="shared" ref="BP16:BP19" si="41">MAX(BM16-BO16,0)</f>
        <v>#REF!</v>
      </c>
      <c r="BQ16" s="23" t="e">
        <f>IF(SUMPRODUCT($J$22:BP$22,$J16:BP16)&lt;0.5, "Pending", IF(BP16&lt;0.5, "Complete", "In Progress"))</f>
        <v>#REF!</v>
      </c>
      <c r="BR16" s="22">
        <v>0</v>
      </c>
      <c r="BS16" s="22" t="e">
        <f t="shared" ref="BS16:BS19" si="42">MAX(BP16-BR16,0)</f>
        <v>#REF!</v>
      </c>
      <c r="BT16" s="23" t="e">
        <f>IF(SUMPRODUCT($J$22:BS$22,$J16:BS16)&lt;0.5, "Pending", IF(BS16&lt;0.5, "Complete", "In Progress"))</f>
        <v>#REF!</v>
      </c>
      <c r="BU16" s="22">
        <v>0</v>
      </c>
      <c r="BV16" s="22" t="e">
        <f t="shared" ref="BV16:BV19" si="43">MAX(BS16-BU16,0)</f>
        <v>#REF!</v>
      </c>
      <c r="BW16" s="23" t="e">
        <f>IF(SUMPRODUCT($J$22:BV$22,$J16:BV16)&lt;0.5, "Pending", IF(BV16&lt;0.5, "Complete", "In Progress"))</f>
        <v>#REF!</v>
      </c>
      <c r="BX16" s="22">
        <v>0</v>
      </c>
      <c r="BY16" s="22" t="e">
        <f t="shared" ref="BY16:BY19" si="44">MAX(BV16-BX16,0)</f>
        <v>#REF!</v>
      </c>
      <c r="BZ16" s="23" t="e">
        <f>IF(SUMPRODUCT($J$22:BY$22,$J16:BY16)&lt;0.5, "Pending", IF(BY16&lt;0.5, "Complete", "In Progress"))</f>
        <v>#REF!</v>
      </c>
      <c r="CA16" s="22">
        <v>0</v>
      </c>
      <c r="CB16" s="22" t="e">
        <f t="shared" ref="CB16:CB19" si="45">MAX(BY16-CA16,0)</f>
        <v>#REF!</v>
      </c>
      <c r="CC16" s="23" t="e">
        <f>IF(SUMPRODUCT($J$22:CB$22,$J16:CB16)&lt;0.5, "Pending", IF(CB16&lt;0.5, "Complete", "In Progress"))</f>
        <v>#REF!</v>
      </c>
      <c r="CD16" s="24"/>
      <c r="CE16" s="25">
        <f>SUMPRODUCT($H$22:AY$22,$H16:AY16)</f>
        <v>2</v>
      </c>
    </row>
    <row r="17" spans="1:83">
      <c r="A17" s="16" t="s">
        <v>53</v>
      </c>
      <c r="B17" s="16" t="s">
        <v>38</v>
      </c>
      <c r="C17" s="178"/>
      <c r="D17" s="173">
        <v>14</v>
      </c>
      <c r="E17" s="177" t="s">
        <v>61</v>
      </c>
      <c r="F17" s="171" t="s">
        <v>50</v>
      </c>
      <c r="G17" s="19" t="s">
        <v>57</v>
      </c>
      <c r="H17" s="20">
        <v>3</v>
      </c>
      <c r="I17" s="21">
        <v>3</v>
      </c>
      <c r="J17" s="22">
        <v>0</v>
      </c>
      <c r="K17" s="22">
        <f t="shared" si="23"/>
        <v>3</v>
      </c>
      <c r="L17" s="23" t="str">
        <f>IF(SUMPRODUCT($J$22:K$22,$J17:K17)&lt;0.5, "Pending", IF(K17&lt;0.5, "Complete", "In Progress"))</f>
        <v>Pending</v>
      </c>
      <c r="M17" s="22">
        <v>0</v>
      </c>
      <c r="N17" s="22">
        <f t="shared" si="24"/>
        <v>3</v>
      </c>
      <c r="O17" s="23" t="str">
        <f>IF(SUMPRODUCT($J$22:N$22,$J17:N17)&lt;0.5, "Pending", IF(N17&lt;0.5, "Complete", "In Progress"))</f>
        <v>Pending</v>
      </c>
      <c r="P17" s="22">
        <v>0</v>
      </c>
      <c r="Q17" s="22">
        <f t="shared" si="25"/>
        <v>3</v>
      </c>
      <c r="R17" s="23" t="str">
        <f>IF(SUMPRODUCT($J$22:Q$22,$J17:Q17)&lt;0.5, "Pending", IF(Q17&lt;0.5, "Complete", "In Progress"))</f>
        <v>Pending</v>
      </c>
      <c r="S17" s="22">
        <v>0</v>
      </c>
      <c r="T17" s="22">
        <f t="shared" si="26"/>
        <v>3</v>
      </c>
      <c r="U17" s="23" t="str">
        <f>IF(SUMPRODUCT($J$22:T$22,$J17:T17)&lt;0.5, "Pending", IF(T17&lt;0.5, "Complete", "In Progress"))</f>
        <v>Pending</v>
      </c>
      <c r="V17" s="22">
        <v>0</v>
      </c>
      <c r="W17" s="22">
        <f t="shared" si="27"/>
        <v>3</v>
      </c>
      <c r="X17" s="23" t="str">
        <f>IF(SUMPRODUCT($J$22:W$22,$J17:W17)&lt;0.5, "Pending", IF(W17&lt;0.5, "Complete", "In Progress"))</f>
        <v>Pending</v>
      </c>
      <c r="Y17" s="22">
        <v>0</v>
      </c>
      <c r="Z17" s="22">
        <f t="shared" si="28"/>
        <v>3</v>
      </c>
      <c r="AA17" s="23" t="str">
        <f>IF(SUMPRODUCT($J$22:Z$22,$J17:Z17)&lt;0.5, "Pending", IF(Z17&lt;0.5, "Complete", "In Progress"))</f>
        <v>Pending</v>
      </c>
      <c r="AB17" s="22">
        <v>0</v>
      </c>
      <c r="AC17" s="22">
        <f t="shared" si="29"/>
        <v>3</v>
      </c>
      <c r="AD17" s="23" t="str">
        <f>IF(SUMPRODUCT($J$22:AC$22,$J17:AC17)&lt;0.5, "Pending", IF(AC17&lt;0.5, "Complete", "In Progress"))</f>
        <v>Pending</v>
      </c>
      <c r="AE17" s="22">
        <v>3</v>
      </c>
      <c r="AF17" s="22">
        <f t="shared" si="30"/>
        <v>0</v>
      </c>
      <c r="AG17" s="23" t="str">
        <f>IF(SUMPRODUCT($J$22:AF$22,$J17:AF17)&lt;0.5, "Pending", IF(AF17&lt;0.5, "Complete", "In Progress"))</f>
        <v>Complete</v>
      </c>
      <c r="AH17" s="22">
        <v>0</v>
      </c>
      <c r="AI17" s="22">
        <f t="shared" si="31"/>
        <v>0</v>
      </c>
      <c r="AJ17" s="23" t="str">
        <f>IF(SUMPRODUCT($J$22:AI$22,$J17:AI17)&lt;0.5, "Pending", IF(AI17&lt;0.5, "Complete", "In Progress"))</f>
        <v>Complete</v>
      </c>
      <c r="AK17" s="22">
        <v>0</v>
      </c>
      <c r="AL17" s="22">
        <f t="shared" si="32"/>
        <v>0</v>
      </c>
      <c r="AM17" s="23" t="str">
        <f>IF(SUMPRODUCT($J$22:AL$22,$J17:AL17)&lt;0.5, "Pending", IF(AL17&lt;0.5, "Complete", "In Progress"))</f>
        <v>Complete</v>
      </c>
      <c r="AN17" s="22">
        <v>0</v>
      </c>
      <c r="AO17" s="22">
        <f t="shared" si="33"/>
        <v>0</v>
      </c>
      <c r="AP17" s="23" t="str">
        <f>IF(SUMPRODUCT($J$22:AO$22,$J17:AO17)&lt;0.5, "Pending", IF(AO17&lt;0.5, "Complete", "In Progress"))</f>
        <v>Complete</v>
      </c>
      <c r="AQ17" s="22">
        <v>0</v>
      </c>
      <c r="AR17" s="22">
        <f t="shared" si="34"/>
        <v>0</v>
      </c>
      <c r="AS17" s="23" t="str">
        <f>IF(SUMPRODUCT($J$22:AR$22,$J17:AR17)&lt;0.5, "Pending", IF(AR17&lt;0.5, "Complete", "In Progress"))</f>
        <v>Complete</v>
      </c>
      <c r="AT17" s="22">
        <v>0</v>
      </c>
      <c r="AU17" s="22">
        <f t="shared" si="35"/>
        <v>0</v>
      </c>
      <c r="AV17" s="23" t="str">
        <f>IF(SUMPRODUCT($J$22:AU$22,$J17:AU17)&lt;0.5, "Pending", IF(AU17&lt;0.5, "Complete", "In Progress"))</f>
        <v>Complete</v>
      </c>
      <c r="AW17" s="22">
        <v>0</v>
      </c>
      <c r="AX17" s="22">
        <f t="shared" si="36"/>
        <v>0</v>
      </c>
      <c r="AY17" s="23" t="str">
        <f>IF(SUMPRODUCT($J$22:AX$22,$J17:AX17)&lt;0.5, "Pending", IF(AX17&lt;0.5, "Complete", "In Progress"))</f>
        <v>Complete</v>
      </c>
      <c r="AZ17" s="22">
        <v>0</v>
      </c>
      <c r="BA17" s="22" t="e">
        <f>MAX(#REF!-AZ17,0)</f>
        <v>#REF!</v>
      </c>
      <c r="BB17" s="23" t="e">
        <f>IF(SUMPRODUCT($J$22:BA$22,$J17:BA17)&lt;0.5, "Pending", IF(BA17&lt;0.5, "Complete", "In Progress"))</f>
        <v>#REF!</v>
      </c>
      <c r="BC17" s="22">
        <v>0</v>
      </c>
      <c r="BD17" s="22" t="e">
        <f t="shared" si="37"/>
        <v>#REF!</v>
      </c>
      <c r="BE17" s="23" t="e">
        <f>IF(SUMPRODUCT($J$22:BD$22,$J17:BD17)&lt;0.5, "Pending", IF(BD17&lt;0.5, "Complete", "In Progress"))</f>
        <v>#REF!</v>
      </c>
      <c r="BF17" s="22">
        <v>0</v>
      </c>
      <c r="BG17" s="22" t="e">
        <f t="shared" si="38"/>
        <v>#REF!</v>
      </c>
      <c r="BH17" s="23" t="e">
        <f>IF(SUMPRODUCT($J$22:BG$22,$J17:BG17)&lt;0.5, "Pending", IF(BG17&lt;0.5, "Complete", "In Progress"))</f>
        <v>#REF!</v>
      </c>
      <c r="BI17" s="22">
        <v>0</v>
      </c>
      <c r="BJ17" s="22" t="e">
        <f t="shared" si="39"/>
        <v>#REF!</v>
      </c>
      <c r="BK17" s="23" t="e">
        <f>IF(SUMPRODUCT($J$22:BJ$22,$J17:BJ17)&lt;0.5, "Pending", IF(BJ17&lt;0.5, "Complete", "In Progress"))</f>
        <v>#REF!</v>
      </c>
      <c r="BL17" s="22">
        <v>0</v>
      </c>
      <c r="BM17" s="22" t="e">
        <f t="shared" si="40"/>
        <v>#REF!</v>
      </c>
      <c r="BN17" s="23" t="e">
        <f>IF(SUMPRODUCT($J$22:BM$22,$J17:BM17)&lt;0.5, "Pending", IF(BM17&lt;0.5, "Complete", "In Progress"))</f>
        <v>#REF!</v>
      </c>
      <c r="BO17" s="22">
        <v>0</v>
      </c>
      <c r="BP17" s="22" t="e">
        <f t="shared" si="41"/>
        <v>#REF!</v>
      </c>
      <c r="BQ17" s="23" t="e">
        <f>IF(SUMPRODUCT($J$22:BP$22,$J17:BP17)&lt;0.5, "Pending", IF(BP17&lt;0.5, "Complete", "In Progress"))</f>
        <v>#REF!</v>
      </c>
      <c r="BR17" s="22">
        <v>0</v>
      </c>
      <c r="BS17" s="22" t="e">
        <f t="shared" si="42"/>
        <v>#REF!</v>
      </c>
      <c r="BT17" s="23" t="e">
        <f>IF(SUMPRODUCT($J$22:BS$22,$J17:BS17)&lt;0.5, "Pending", IF(BS17&lt;0.5, "Complete", "In Progress"))</f>
        <v>#REF!</v>
      </c>
      <c r="BU17" s="22">
        <v>0</v>
      </c>
      <c r="BV17" s="22" t="e">
        <f t="shared" si="43"/>
        <v>#REF!</v>
      </c>
      <c r="BW17" s="23" t="e">
        <f>IF(SUMPRODUCT($J$22:BV$22,$J17:BV17)&lt;0.5, "Pending", IF(BV17&lt;0.5, "Complete", "In Progress"))</f>
        <v>#REF!</v>
      </c>
      <c r="BX17" s="22">
        <v>0</v>
      </c>
      <c r="BY17" s="22" t="e">
        <f t="shared" si="44"/>
        <v>#REF!</v>
      </c>
      <c r="BZ17" s="23" t="e">
        <f>IF(SUMPRODUCT($J$22:BY$22,$J17:BY17)&lt;0.5, "Pending", IF(BY17&lt;0.5, "Complete", "In Progress"))</f>
        <v>#REF!</v>
      </c>
      <c r="CA17" s="22">
        <v>0</v>
      </c>
      <c r="CB17" s="22" t="e">
        <f t="shared" si="45"/>
        <v>#REF!</v>
      </c>
      <c r="CC17" s="23" t="e">
        <f>IF(SUMPRODUCT($J$22:CB$22,$J17:CB17)&lt;0.5, "Pending", IF(CB17&lt;0.5, "Complete", "In Progress"))</f>
        <v>#REF!</v>
      </c>
      <c r="CD17" s="24"/>
      <c r="CE17" s="25">
        <f>SUMPRODUCT($H$22:AY$22,$H17:AY17)</f>
        <v>3</v>
      </c>
    </row>
    <row r="18" spans="1:83">
      <c r="A18" s="16" t="s">
        <v>53</v>
      </c>
      <c r="B18" s="16" t="s">
        <v>38</v>
      </c>
      <c r="C18" s="172"/>
      <c r="D18" s="173">
        <v>15</v>
      </c>
      <c r="E18" s="175" t="s">
        <v>62</v>
      </c>
      <c r="F18" s="171" t="s">
        <v>56</v>
      </c>
      <c r="G18" s="19" t="s">
        <v>63</v>
      </c>
      <c r="H18" s="20">
        <v>1</v>
      </c>
      <c r="I18" s="21">
        <v>4</v>
      </c>
      <c r="J18" s="22">
        <v>0</v>
      </c>
      <c r="K18" s="22">
        <f t="shared" si="23"/>
        <v>4</v>
      </c>
      <c r="L18" s="23" t="str">
        <f>IF(SUMPRODUCT($J$22:K$22,$J18:K18)&lt;0.5, "Pending", IF(K18&lt;0.5, "Complete", "In Progress"))</f>
        <v>Pending</v>
      </c>
      <c r="M18" s="22">
        <v>0</v>
      </c>
      <c r="N18" s="22">
        <f t="shared" si="24"/>
        <v>4</v>
      </c>
      <c r="O18" s="23" t="str">
        <f>IF(SUMPRODUCT($J$22:N$22,$J18:N18)&lt;0.5, "Pending", IF(N18&lt;0.5, "Complete", "In Progress"))</f>
        <v>Pending</v>
      </c>
      <c r="P18" s="22">
        <v>0</v>
      </c>
      <c r="Q18" s="22">
        <f t="shared" si="25"/>
        <v>4</v>
      </c>
      <c r="R18" s="23" t="str">
        <f>IF(SUMPRODUCT($J$22:Q$22,$J18:Q18)&lt;0.5, "Pending", IF(Q18&lt;0.5, "Complete", "In Progress"))</f>
        <v>Pending</v>
      </c>
      <c r="S18" s="22">
        <v>0</v>
      </c>
      <c r="T18" s="22">
        <f t="shared" si="26"/>
        <v>4</v>
      </c>
      <c r="U18" s="23" t="str">
        <f>IF(SUMPRODUCT($J$22:T$22,$J18:T18)&lt;0.5, "Pending", IF(T18&lt;0.5, "Complete", "In Progress"))</f>
        <v>Pending</v>
      </c>
      <c r="V18" s="22">
        <v>0</v>
      </c>
      <c r="W18" s="22">
        <f t="shared" si="27"/>
        <v>4</v>
      </c>
      <c r="X18" s="23" t="str">
        <f>IF(SUMPRODUCT($J$22:W$22,$J18:W18)&lt;0.5, "Pending", IF(W18&lt;0.5, "Complete", "In Progress"))</f>
        <v>Pending</v>
      </c>
      <c r="Y18" s="22">
        <v>0</v>
      </c>
      <c r="Z18" s="22">
        <f t="shared" si="28"/>
        <v>4</v>
      </c>
      <c r="AA18" s="23" t="str">
        <f>IF(SUMPRODUCT($J$22:Z$22,$J18:Z18)&lt;0.5, "Pending", IF(Z18&lt;0.5, "Complete", "In Progress"))</f>
        <v>Pending</v>
      </c>
      <c r="AB18" s="22">
        <v>0</v>
      </c>
      <c r="AC18" s="22">
        <f t="shared" si="29"/>
        <v>4</v>
      </c>
      <c r="AD18" s="23" t="str">
        <f>IF(SUMPRODUCT($J$22:AC$22,$J18:AC18)&lt;0.5, "Pending", IF(AC18&lt;0.5, "Complete", "In Progress"))</f>
        <v>Pending</v>
      </c>
      <c r="AE18" s="22">
        <v>0</v>
      </c>
      <c r="AF18" s="22">
        <f t="shared" si="30"/>
        <v>4</v>
      </c>
      <c r="AG18" s="23" t="str">
        <f>IF(SUMPRODUCT($J$22:AF$22,$J18:AF18)&lt;0.5, "Pending", IF(AF18&lt;0.5, "Complete", "In Progress"))</f>
        <v>Pending</v>
      </c>
      <c r="AH18" s="22">
        <v>0</v>
      </c>
      <c r="AI18" s="22">
        <f t="shared" si="31"/>
        <v>4</v>
      </c>
      <c r="AJ18" s="23" t="str">
        <f>IF(SUMPRODUCT($J$22:AI$22,$J18:AI18)&lt;0.5, "Pending", IF(AI18&lt;0.5, "Complete", "In Progress"))</f>
        <v>Pending</v>
      </c>
      <c r="AK18" s="22">
        <v>0</v>
      </c>
      <c r="AL18" s="22">
        <f t="shared" si="32"/>
        <v>4</v>
      </c>
      <c r="AM18" s="23" t="str">
        <f>IF(SUMPRODUCT($J$22:AL$22,$J18:AL18)&lt;0.5, "Pending", IF(AL18&lt;0.5, "Complete", "In Progress"))</f>
        <v>Pending</v>
      </c>
      <c r="AN18" s="22">
        <v>0</v>
      </c>
      <c r="AO18" s="22">
        <f t="shared" si="33"/>
        <v>4</v>
      </c>
      <c r="AP18" s="23" t="str">
        <f>IF(SUMPRODUCT($J$22:AO$22,$J18:AO18)&lt;0.5, "Pending", IF(AO18&lt;0.5, "Complete", "In Progress"))</f>
        <v>Pending</v>
      </c>
      <c r="AQ18" s="22">
        <v>0</v>
      </c>
      <c r="AR18" s="22">
        <f t="shared" si="34"/>
        <v>4</v>
      </c>
      <c r="AS18" s="23" t="str">
        <f>IF(SUMPRODUCT($J$22:AR$22,$J18:AR18)&lt;0.5, "Pending", IF(AR18&lt;0.5, "Complete", "In Progress"))</f>
        <v>Pending</v>
      </c>
      <c r="AT18" s="22">
        <v>0</v>
      </c>
      <c r="AU18" s="22">
        <f t="shared" si="35"/>
        <v>4</v>
      </c>
      <c r="AV18" s="23" t="str">
        <f>IF(SUMPRODUCT($J$22:AU$22,$J18:AU18)&lt;0.5, "Pending", IF(AU18&lt;0.5, "Complete", "In Progress"))</f>
        <v>Pending</v>
      </c>
      <c r="AW18" s="22">
        <v>0</v>
      </c>
      <c r="AX18" s="22">
        <f t="shared" si="36"/>
        <v>4</v>
      </c>
      <c r="AY18" s="23" t="str">
        <f>IF(SUMPRODUCT($J$22:AX$22,$J18:AX18)&lt;0.5, "Pending", IF(AX18&lt;0.5, "Complete", "In Progress"))</f>
        <v>Pending</v>
      </c>
      <c r="AZ18" s="22">
        <v>0</v>
      </c>
      <c r="BA18" s="22" t="e">
        <f>MAX(#REF!-AZ18,0)</f>
        <v>#REF!</v>
      </c>
      <c r="BB18" s="23" t="e">
        <f>IF(SUMPRODUCT($J$22:BA$22,$J18:BA18)&lt;0.5, "Pending", IF(BA18&lt;0.5, "Complete", "In Progress"))</f>
        <v>#REF!</v>
      </c>
      <c r="BC18" s="22">
        <v>0</v>
      </c>
      <c r="BD18" s="22" t="e">
        <f t="shared" si="37"/>
        <v>#REF!</v>
      </c>
      <c r="BE18" s="23" t="e">
        <f>IF(SUMPRODUCT($J$22:BD$22,$J18:BD18)&lt;0.5, "Pending", IF(BD18&lt;0.5, "Complete", "In Progress"))</f>
        <v>#REF!</v>
      </c>
      <c r="BF18" s="22">
        <v>0</v>
      </c>
      <c r="BG18" s="22" t="e">
        <f t="shared" si="38"/>
        <v>#REF!</v>
      </c>
      <c r="BH18" s="23" t="e">
        <f>IF(SUMPRODUCT($J$22:BG$22,$J18:BG18)&lt;0.5, "Pending", IF(BG18&lt;0.5, "Complete", "In Progress"))</f>
        <v>#REF!</v>
      </c>
      <c r="BI18" s="22">
        <v>0</v>
      </c>
      <c r="BJ18" s="22" t="e">
        <f t="shared" si="39"/>
        <v>#REF!</v>
      </c>
      <c r="BK18" s="23" t="e">
        <f>IF(SUMPRODUCT($J$22:BJ$22,$J18:BJ18)&lt;0.5, "Pending", IF(BJ18&lt;0.5, "Complete", "In Progress"))</f>
        <v>#REF!</v>
      </c>
      <c r="BL18" s="22">
        <v>0</v>
      </c>
      <c r="BM18" s="22" t="e">
        <f t="shared" si="40"/>
        <v>#REF!</v>
      </c>
      <c r="BN18" s="23" t="e">
        <f>IF(SUMPRODUCT($J$22:BM$22,$J18:BM18)&lt;0.5, "Pending", IF(BM18&lt;0.5, "Complete", "In Progress"))</f>
        <v>#REF!</v>
      </c>
      <c r="BO18" s="22">
        <v>0</v>
      </c>
      <c r="BP18" s="22" t="e">
        <f t="shared" si="41"/>
        <v>#REF!</v>
      </c>
      <c r="BQ18" s="23" t="e">
        <f>IF(SUMPRODUCT($J$22:BP$22,$J18:BP18)&lt;0.5, "Pending", IF(BP18&lt;0.5, "Complete", "In Progress"))</f>
        <v>#REF!</v>
      </c>
      <c r="BR18" s="22">
        <v>0</v>
      </c>
      <c r="BS18" s="22" t="e">
        <f t="shared" si="42"/>
        <v>#REF!</v>
      </c>
      <c r="BT18" s="23" t="e">
        <f>IF(SUMPRODUCT($J$22:BS$22,$J18:BS18)&lt;0.5, "Pending", IF(BS18&lt;0.5, "Complete", "In Progress"))</f>
        <v>#REF!</v>
      </c>
      <c r="BU18" s="22">
        <v>0</v>
      </c>
      <c r="BV18" s="22" t="e">
        <f t="shared" si="43"/>
        <v>#REF!</v>
      </c>
      <c r="BW18" s="23" t="e">
        <f>IF(SUMPRODUCT($J$22:BV$22,$J18:BV18)&lt;0.5, "Pending", IF(BV18&lt;0.5, "Complete", "In Progress"))</f>
        <v>#REF!</v>
      </c>
      <c r="BX18" s="22">
        <v>0</v>
      </c>
      <c r="BY18" s="22" t="e">
        <f t="shared" si="44"/>
        <v>#REF!</v>
      </c>
      <c r="BZ18" s="23" t="e">
        <f>IF(SUMPRODUCT($J$22:BY$22,$J18:BY18)&lt;0.5, "Pending", IF(BY18&lt;0.5, "Complete", "In Progress"))</f>
        <v>#REF!</v>
      </c>
      <c r="CA18" s="22">
        <v>0</v>
      </c>
      <c r="CB18" s="22" t="e">
        <f t="shared" si="45"/>
        <v>#REF!</v>
      </c>
      <c r="CC18" s="23" t="e">
        <f>IF(SUMPRODUCT($J$22:CB$22,$J18:CB18)&lt;0.5, "Pending", IF(CB18&lt;0.5, "Complete", "In Progress"))</f>
        <v>#REF!</v>
      </c>
      <c r="CD18" s="24"/>
      <c r="CE18" s="25">
        <f>SUMPRODUCT($H$22:AY$22,$H18:AY18)</f>
        <v>0</v>
      </c>
    </row>
    <row r="19" spans="1:83">
      <c r="A19" s="16" t="s">
        <v>53</v>
      </c>
      <c r="B19" s="16" t="s">
        <v>38</v>
      </c>
      <c r="C19" s="16"/>
      <c r="D19" s="17">
        <v>10</v>
      </c>
      <c r="E19" s="162" t="s">
        <v>55</v>
      </c>
      <c r="F19" s="171" t="s">
        <v>44</v>
      </c>
      <c r="G19" s="19" t="s">
        <v>42</v>
      </c>
      <c r="H19" s="20">
        <v>4</v>
      </c>
      <c r="I19" s="21">
        <v>7</v>
      </c>
      <c r="J19" s="22">
        <v>0</v>
      </c>
      <c r="K19" s="22">
        <f t="shared" si="23"/>
        <v>7</v>
      </c>
      <c r="L19" s="23" t="str">
        <f>IF(SUMPRODUCT($J$22:K$22,$J19:K19)&lt;0.5, "Pending", IF(K19&lt;0.5, "Complete", "In Progress"))</f>
        <v>Pending</v>
      </c>
      <c r="M19" s="22">
        <v>0</v>
      </c>
      <c r="N19" s="22">
        <f t="shared" si="24"/>
        <v>7</v>
      </c>
      <c r="O19" s="23" t="str">
        <f>IF(SUMPRODUCT($J$22:N$22,$J19:N19)&lt;0.5, "Pending", IF(N19&lt;0.5, "Complete", "In Progress"))</f>
        <v>Pending</v>
      </c>
      <c r="P19" s="22">
        <v>0</v>
      </c>
      <c r="Q19" s="22">
        <f t="shared" si="25"/>
        <v>7</v>
      </c>
      <c r="R19" s="23" t="str">
        <f>IF(SUMPRODUCT($J$22:Q$22,$J19:Q19)&lt;0.5, "Pending", IF(Q19&lt;0.5, "Complete", "In Progress"))</f>
        <v>Pending</v>
      </c>
      <c r="S19" s="22">
        <v>0</v>
      </c>
      <c r="T19" s="22">
        <f t="shared" si="26"/>
        <v>7</v>
      </c>
      <c r="U19" s="23" t="str">
        <f>IF(SUMPRODUCT($J$22:T$22,$J19:T19)&lt;0.5, "Pending", IF(T19&lt;0.5, "Complete", "In Progress"))</f>
        <v>Pending</v>
      </c>
      <c r="V19" s="22">
        <v>0</v>
      </c>
      <c r="W19" s="22">
        <f t="shared" si="27"/>
        <v>7</v>
      </c>
      <c r="X19" s="23" t="str">
        <f>IF(SUMPRODUCT($J$22:W$22,$J19:W19)&lt;0.5, "Pending", IF(W19&lt;0.5, "Complete", "In Progress"))</f>
        <v>Pending</v>
      </c>
      <c r="Y19" s="22">
        <v>1</v>
      </c>
      <c r="Z19" s="22">
        <f t="shared" si="28"/>
        <v>6</v>
      </c>
      <c r="AA19" s="23" t="str">
        <f>IF(SUMPRODUCT($J$22:Z$22,$J19:Z19)&lt;0.5, "Pending", IF(Z19&lt;0.5, "Complete", "In Progress"))</f>
        <v>In Progress</v>
      </c>
      <c r="AB19" s="22">
        <v>2</v>
      </c>
      <c r="AC19" s="22">
        <f t="shared" si="29"/>
        <v>4</v>
      </c>
      <c r="AD19" s="23" t="str">
        <f>IF(SUMPRODUCT($J$22:AC$22,$J19:AC19)&lt;0.5, "Pending", IF(AC19&lt;0.5, "Complete", "In Progress"))</f>
        <v>In Progress</v>
      </c>
      <c r="AE19" s="22">
        <v>1</v>
      </c>
      <c r="AF19" s="22">
        <f t="shared" si="30"/>
        <v>3</v>
      </c>
      <c r="AG19" s="23" t="str">
        <f>IF(SUMPRODUCT($J$22:AF$22,$J19:AF19)&lt;0.5, "Pending", IF(AF19&lt;0.5, "Complete", "In Progress"))</f>
        <v>In Progress</v>
      </c>
      <c r="AH19" s="22">
        <v>0</v>
      </c>
      <c r="AI19" s="22">
        <f t="shared" si="31"/>
        <v>3</v>
      </c>
      <c r="AJ19" s="23" t="str">
        <f>IF(SUMPRODUCT($J$22:AI$22,$J19:AI19)&lt;0.5, "Pending", IF(AI19&lt;0.5, "Complete", "In Progress"))</f>
        <v>In Progress</v>
      </c>
      <c r="AK19" s="22">
        <v>0</v>
      </c>
      <c r="AL19" s="22">
        <f t="shared" si="32"/>
        <v>3</v>
      </c>
      <c r="AM19" s="23" t="str">
        <f>IF(SUMPRODUCT($J$22:AL$22,$J19:AL19)&lt;0.5, "Pending", IF(AL19&lt;0.5, "Complete", "In Progress"))</f>
        <v>In Progress</v>
      </c>
      <c r="AN19" s="22">
        <v>4</v>
      </c>
      <c r="AO19" s="22">
        <f t="shared" si="33"/>
        <v>0</v>
      </c>
      <c r="AP19" s="23" t="str">
        <f>IF(SUMPRODUCT($J$22:AO$22,$J19:AO19)&lt;0.5, "Pending", IF(AO19&lt;0.5, "Complete", "In Progress"))</f>
        <v>Complete</v>
      </c>
      <c r="AQ19" s="22">
        <v>0</v>
      </c>
      <c r="AR19" s="22">
        <f t="shared" si="34"/>
        <v>0</v>
      </c>
      <c r="AS19" s="23" t="str">
        <f>IF(SUMPRODUCT($J$22:AR$22,$J19:AR19)&lt;0.5, "Pending", IF(AR19&lt;0.5, "Complete", "In Progress"))</f>
        <v>Complete</v>
      </c>
      <c r="AT19" s="22">
        <v>1</v>
      </c>
      <c r="AU19" s="22">
        <f t="shared" si="35"/>
        <v>0</v>
      </c>
      <c r="AV19" s="23" t="str">
        <f>IF(SUMPRODUCT($J$22:AU$22,$J19:AU19)&lt;0.5, "Pending", IF(AU19&lt;0.5, "Complete", "In Progress"))</f>
        <v>Complete</v>
      </c>
      <c r="AW19" s="22">
        <v>0</v>
      </c>
      <c r="AX19" s="22">
        <f t="shared" si="36"/>
        <v>0</v>
      </c>
      <c r="AY19" s="23" t="str">
        <f>IF(SUMPRODUCT($J$22:AX$22,$J19:AX19)&lt;0.5, "Pending", IF(AX19&lt;0.5, "Complete", "In Progress"))</f>
        <v>Complete</v>
      </c>
      <c r="AZ19" s="22">
        <v>0</v>
      </c>
      <c r="BA19" s="22" t="e">
        <f>MAX(#REF!-AZ19,0)</f>
        <v>#REF!</v>
      </c>
      <c r="BB19" s="23" t="e">
        <f>IF(SUMPRODUCT($J$22:BA$22,$J19:BA19)&lt;0.5, "Pending", IF(BA19&lt;0.5, "Complete", "In Progress"))</f>
        <v>#REF!</v>
      </c>
      <c r="BC19" s="22">
        <v>0</v>
      </c>
      <c r="BD19" s="22" t="e">
        <f t="shared" si="37"/>
        <v>#REF!</v>
      </c>
      <c r="BE19" s="23" t="e">
        <f>IF(SUMPRODUCT($J$22:BD$22,$J19:BD19)&lt;0.5, "Pending", IF(BD19&lt;0.5, "Complete", "In Progress"))</f>
        <v>#REF!</v>
      </c>
      <c r="BF19" s="22">
        <v>0</v>
      </c>
      <c r="BG19" s="22" t="e">
        <f t="shared" si="38"/>
        <v>#REF!</v>
      </c>
      <c r="BH19" s="23" t="e">
        <f>IF(SUMPRODUCT($J$22:BG$22,$J19:BG19)&lt;0.5, "Pending", IF(BG19&lt;0.5, "Complete", "In Progress"))</f>
        <v>#REF!</v>
      </c>
      <c r="BI19" s="22">
        <v>0</v>
      </c>
      <c r="BJ19" s="22" t="e">
        <f t="shared" si="39"/>
        <v>#REF!</v>
      </c>
      <c r="BK19" s="23" t="e">
        <f>IF(SUMPRODUCT($J$22:BJ$22,$J19:BJ19)&lt;0.5, "Pending", IF(BJ19&lt;0.5, "Complete", "In Progress"))</f>
        <v>#REF!</v>
      </c>
      <c r="BL19" s="22">
        <v>0</v>
      </c>
      <c r="BM19" s="22" t="e">
        <f t="shared" si="40"/>
        <v>#REF!</v>
      </c>
      <c r="BN19" s="23" t="e">
        <f>IF(SUMPRODUCT($J$22:BM$22,$J19:BM19)&lt;0.5, "Pending", IF(BM19&lt;0.5, "Complete", "In Progress"))</f>
        <v>#REF!</v>
      </c>
      <c r="BO19" s="22">
        <v>0</v>
      </c>
      <c r="BP19" s="22" t="e">
        <f t="shared" si="41"/>
        <v>#REF!</v>
      </c>
      <c r="BQ19" s="23" t="e">
        <f>IF(SUMPRODUCT($J$22:BP$22,$J19:BP19)&lt;0.5, "Pending", IF(BP19&lt;0.5, "Complete", "In Progress"))</f>
        <v>#REF!</v>
      </c>
      <c r="BR19" s="22">
        <v>0</v>
      </c>
      <c r="BS19" s="22" t="e">
        <f t="shared" si="42"/>
        <v>#REF!</v>
      </c>
      <c r="BT19" s="23" t="e">
        <f>IF(SUMPRODUCT($J$22:BS$22,$J19:BS19)&lt;0.5, "Pending", IF(BS19&lt;0.5, "Complete", "In Progress"))</f>
        <v>#REF!</v>
      </c>
      <c r="BU19" s="22">
        <v>0</v>
      </c>
      <c r="BV19" s="22" t="e">
        <f t="shared" si="43"/>
        <v>#REF!</v>
      </c>
      <c r="BW19" s="23" t="e">
        <f>IF(SUMPRODUCT($J$22:BV$22,$J19:BV19)&lt;0.5, "Pending", IF(BV19&lt;0.5, "Complete", "In Progress"))</f>
        <v>#REF!</v>
      </c>
      <c r="BX19" s="22">
        <v>0</v>
      </c>
      <c r="BY19" s="22" t="e">
        <f t="shared" si="44"/>
        <v>#REF!</v>
      </c>
      <c r="BZ19" s="23" t="e">
        <f>IF(SUMPRODUCT($J$22:BY$22,$J19:BY19)&lt;0.5, "Pending", IF(BY19&lt;0.5, "Complete", "In Progress"))</f>
        <v>#REF!</v>
      </c>
      <c r="CA19" s="22">
        <v>0</v>
      </c>
      <c r="CB19" s="22" t="e">
        <f t="shared" si="45"/>
        <v>#REF!</v>
      </c>
      <c r="CC19" s="23" t="e">
        <f>IF(SUMPRODUCT($J$22:CB$22,$J19:CB19)&lt;0.5, "Pending", IF(CB19&lt;0.5, "Complete", "In Progress"))</f>
        <v>#REF!</v>
      </c>
      <c r="CD19" s="24"/>
      <c r="CE19" s="25">
        <f>SUMPRODUCT($H$22:AY$22,$H19:AY19)</f>
        <v>9</v>
      </c>
    </row>
    <row r="20" spans="1:83" hidden="1">
      <c r="A20" s="26"/>
      <c r="B20" s="26"/>
      <c r="C20" s="26"/>
      <c r="D20" s="26"/>
      <c r="E20" s="26"/>
      <c r="F20" s="26"/>
      <c r="G20" s="26"/>
      <c r="H20" s="26"/>
      <c r="I20" s="26"/>
      <c r="J20" s="24"/>
      <c r="K20" s="24"/>
      <c r="L20" s="24"/>
      <c r="M20" s="27"/>
      <c r="N20" s="27"/>
      <c r="O20" s="24"/>
      <c r="P20" s="27"/>
      <c r="Q20" s="27"/>
      <c r="R20" s="24"/>
      <c r="S20" s="27"/>
      <c r="T20" s="27"/>
      <c r="U20" s="27"/>
      <c r="V20" s="27"/>
      <c r="W20" s="27"/>
      <c r="X20" s="24"/>
      <c r="Y20" s="27"/>
      <c r="Z20" s="27"/>
      <c r="AA20" s="24"/>
      <c r="AB20" s="27"/>
      <c r="AC20" s="27"/>
      <c r="AD20" s="24"/>
      <c r="AE20" s="27"/>
      <c r="AF20" s="27"/>
      <c r="AG20" s="24"/>
      <c r="AH20" s="27"/>
      <c r="AI20" s="27"/>
      <c r="AJ20" s="24"/>
      <c r="AK20" s="27"/>
      <c r="AL20" s="27"/>
      <c r="AM20" s="24"/>
      <c r="AN20" s="27"/>
      <c r="AO20" s="27"/>
      <c r="AP20" s="24"/>
      <c r="AQ20" s="27"/>
      <c r="AR20" s="27"/>
      <c r="AS20" s="24"/>
      <c r="AT20" s="27"/>
      <c r="AU20" s="27"/>
      <c r="AV20" s="24"/>
      <c r="AW20" s="27"/>
      <c r="AX20" s="27"/>
      <c r="AY20" s="24"/>
      <c r="AZ20" s="27"/>
      <c r="BA20" s="27"/>
      <c r="BB20" s="24"/>
      <c r="BC20" s="27"/>
      <c r="BD20" s="27"/>
      <c r="BE20" s="24"/>
      <c r="BF20" s="27"/>
      <c r="BG20" s="27"/>
      <c r="BH20" s="24"/>
      <c r="BI20" s="27"/>
      <c r="BJ20" s="27"/>
      <c r="BK20" s="24"/>
      <c r="BL20" s="27"/>
      <c r="BM20" s="27"/>
      <c r="BN20" s="24"/>
      <c r="BO20" s="27"/>
      <c r="BP20" s="27"/>
      <c r="BQ20" s="24"/>
      <c r="BR20" s="27"/>
      <c r="BS20" s="27"/>
      <c r="BT20" s="24"/>
      <c r="BU20" s="27"/>
      <c r="BV20" s="27"/>
      <c r="BW20" s="24"/>
      <c r="BX20" s="27"/>
      <c r="BY20" s="27"/>
      <c r="BZ20" s="24"/>
      <c r="CA20" s="27"/>
      <c r="CB20" s="27"/>
      <c r="CC20" s="24"/>
      <c r="CD20" s="24"/>
      <c r="CE20" s="28">
        <f>SUMPRODUCT($H$23:BK$23,$H20:BK20)</f>
        <v>0</v>
      </c>
    </row>
    <row r="21" spans="1:83">
      <c r="A21" s="1"/>
      <c r="B21" s="1"/>
      <c r="C21" s="1"/>
      <c r="D21" s="1"/>
      <c r="E21" s="1"/>
      <c r="F21" s="1"/>
      <c r="G21" s="1"/>
      <c r="H21" s="1"/>
      <c r="I21" s="1"/>
      <c r="J21" s="184" t="s">
        <v>64</v>
      </c>
      <c r="K21" s="197"/>
      <c r="L21" s="29">
        <v>1</v>
      </c>
      <c r="M21" s="182" t="s">
        <v>64</v>
      </c>
      <c r="N21" s="198"/>
      <c r="O21" s="29">
        <f>L21+1</f>
        <v>2</v>
      </c>
      <c r="P21" s="182" t="s">
        <v>64</v>
      </c>
      <c r="Q21" s="198"/>
      <c r="R21" s="29">
        <f>O21+1</f>
        <v>3</v>
      </c>
      <c r="S21" s="182" t="s">
        <v>64</v>
      </c>
      <c r="T21" s="198"/>
      <c r="U21" s="29">
        <f>R21+1</f>
        <v>4</v>
      </c>
      <c r="V21" s="182" t="s">
        <v>64</v>
      </c>
      <c r="W21" s="198"/>
      <c r="X21" s="29">
        <f>U21+1</f>
        <v>5</v>
      </c>
      <c r="Y21" s="182" t="s">
        <v>64</v>
      </c>
      <c r="Z21" s="182"/>
      <c r="AA21" s="29">
        <f>X21+1</f>
        <v>6</v>
      </c>
      <c r="AB21" s="182" t="s">
        <v>64</v>
      </c>
      <c r="AC21" s="182"/>
      <c r="AD21" s="29">
        <f>AA21+1</f>
        <v>7</v>
      </c>
      <c r="AE21" s="182" t="s">
        <v>64</v>
      </c>
      <c r="AF21" s="182"/>
      <c r="AG21" s="29">
        <f>AD21+1</f>
        <v>8</v>
      </c>
      <c r="AH21" s="182" t="s">
        <v>64</v>
      </c>
      <c r="AI21" s="182"/>
      <c r="AJ21" s="29">
        <f>AG21+1</f>
        <v>9</v>
      </c>
      <c r="AK21" s="182" t="s">
        <v>64</v>
      </c>
      <c r="AL21" s="182"/>
      <c r="AM21" s="29">
        <f>AJ21+1</f>
        <v>10</v>
      </c>
      <c r="AN21" s="182" t="s">
        <v>64</v>
      </c>
      <c r="AO21" s="182"/>
      <c r="AP21" s="29">
        <f>AM21+1</f>
        <v>11</v>
      </c>
      <c r="AQ21" s="182" t="s">
        <v>64</v>
      </c>
      <c r="AR21" s="182"/>
      <c r="AS21" s="29">
        <f>AP21+1</f>
        <v>12</v>
      </c>
      <c r="AT21" s="182" t="s">
        <v>64</v>
      </c>
      <c r="AU21" s="182"/>
      <c r="AV21" s="29">
        <f>AS21+1</f>
        <v>13</v>
      </c>
      <c r="AW21" s="182" t="s">
        <v>64</v>
      </c>
      <c r="AX21" s="182"/>
      <c r="AY21" s="29">
        <f>AV21+1</f>
        <v>14</v>
      </c>
      <c r="AZ21" s="182" t="s">
        <v>64</v>
      </c>
      <c r="BA21" s="198"/>
      <c r="BB21" s="29" t="e">
        <f>#REF!+1</f>
        <v>#REF!</v>
      </c>
      <c r="BC21" s="182" t="s">
        <v>64</v>
      </c>
      <c r="BD21" s="198"/>
      <c r="BE21" s="29" t="e">
        <f>BB21+1</f>
        <v>#REF!</v>
      </c>
      <c r="BF21" s="182" t="s">
        <v>64</v>
      </c>
      <c r="BG21" s="198"/>
      <c r="BH21" s="29" t="e">
        <f>BE21+1</f>
        <v>#REF!</v>
      </c>
      <c r="BI21" s="182" t="s">
        <v>64</v>
      </c>
      <c r="BJ21" s="198"/>
      <c r="BK21" s="29" t="e">
        <f>BH21+1</f>
        <v>#REF!</v>
      </c>
      <c r="BL21" s="182" t="s">
        <v>64</v>
      </c>
      <c r="BM21" s="198"/>
      <c r="BN21" s="29" t="e">
        <f>BK21+1</f>
        <v>#REF!</v>
      </c>
      <c r="BO21" s="182" t="s">
        <v>64</v>
      </c>
      <c r="BP21" s="198"/>
      <c r="BQ21" s="29" t="e">
        <f>BN21+1</f>
        <v>#REF!</v>
      </c>
      <c r="BR21" s="182" t="s">
        <v>64</v>
      </c>
      <c r="BS21" s="198"/>
      <c r="BT21" s="29" t="e">
        <f>BQ21+1</f>
        <v>#REF!</v>
      </c>
      <c r="BU21" s="182" t="s">
        <v>64</v>
      </c>
      <c r="BV21" s="198"/>
      <c r="BW21" s="29" t="e">
        <f>BT21+1</f>
        <v>#REF!</v>
      </c>
      <c r="BX21" s="182" t="s">
        <v>64</v>
      </c>
      <c r="BY21" s="198"/>
      <c r="BZ21" s="29" t="e">
        <f>BW21+1</f>
        <v>#REF!</v>
      </c>
      <c r="CA21" s="182" t="s">
        <v>64</v>
      </c>
      <c r="CB21" s="198"/>
      <c r="CC21" s="29" t="e">
        <f>BZ21+1</f>
        <v>#REF!</v>
      </c>
      <c r="CD21" s="29"/>
      <c r="CE21" s="30"/>
    </row>
    <row r="22" spans="1:83" hidden="1">
      <c r="A22" s="31"/>
      <c r="B22" s="31"/>
      <c r="C22" s="31"/>
      <c r="D22" s="31"/>
      <c r="E22" s="31" t="s">
        <v>65</v>
      </c>
      <c r="F22" s="31"/>
      <c r="G22" s="31"/>
      <c r="H22" s="31"/>
      <c r="I22" s="31"/>
      <c r="J22" s="146">
        <v>1</v>
      </c>
      <c r="K22" s="146">
        <v>0</v>
      </c>
      <c r="L22" s="31">
        <v>0</v>
      </c>
      <c r="M22" s="31">
        <v>1</v>
      </c>
      <c r="N22" s="31">
        <v>0</v>
      </c>
      <c r="O22" s="31">
        <v>0</v>
      </c>
      <c r="P22" s="31">
        <v>1</v>
      </c>
      <c r="Q22" s="31">
        <v>0</v>
      </c>
      <c r="R22" s="31">
        <v>0</v>
      </c>
      <c r="S22" s="31">
        <v>1</v>
      </c>
      <c r="T22" s="31">
        <v>0</v>
      </c>
      <c r="U22" s="31">
        <v>0</v>
      </c>
      <c r="V22" s="31">
        <v>1</v>
      </c>
      <c r="W22" s="31">
        <v>0</v>
      </c>
      <c r="X22" s="31">
        <v>0</v>
      </c>
      <c r="Y22" s="31">
        <v>1</v>
      </c>
      <c r="Z22" s="31">
        <v>0</v>
      </c>
      <c r="AA22" s="31">
        <v>0</v>
      </c>
      <c r="AB22" s="31">
        <v>1</v>
      </c>
      <c r="AC22" s="31">
        <v>0</v>
      </c>
      <c r="AD22" s="31">
        <v>0</v>
      </c>
      <c r="AE22" s="31">
        <v>1</v>
      </c>
      <c r="AF22" s="31">
        <v>0</v>
      </c>
      <c r="AG22" s="31">
        <v>0</v>
      </c>
      <c r="AH22" s="31">
        <v>1</v>
      </c>
      <c r="AI22" s="31">
        <v>0</v>
      </c>
      <c r="AJ22" s="31">
        <v>0</v>
      </c>
      <c r="AK22" s="31">
        <v>1</v>
      </c>
      <c r="AL22" s="31">
        <v>0</v>
      </c>
      <c r="AM22" s="31">
        <v>0</v>
      </c>
      <c r="AN22" s="31">
        <v>1</v>
      </c>
      <c r="AO22" s="31">
        <v>0</v>
      </c>
      <c r="AP22" s="31">
        <v>0</v>
      </c>
      <c r="AQ22" s="31">
        <v>1</v>
      </c>
      <c r="AR22" s="31">
        <v>0</v>
      </c>
      <c r="AS22" s="31">
        <v>0</v>
      </c>
      <c r="AT22" s="31">
        <v>1</v>
      </c>
      <c r="AU22" s="31">
        <v>0</v>
      </c>
      <c r="AV22" s="31">
        <v>0</v>
      </c>
      <c r="AW22" s="31">
        <v>1</v>
      </c>
      <c r="AX22" s="31">
        <v>0</v>
      </c>
      <c r="AY22" s="31">
        <v>0</v>
      </c>
      <c r="AZ22" s="31">
        <v>1</v>
      </c>
      <c r="BA22" s="31">
        <v>0</v>
      </c>
      <c r="BB22" s="31">
        <v>0</v>
      </c>
      <c r="BC22" s="31">
        <v>1</v>
      </c>
      <c r="BD22" s="31">
        <v>0</v>
      </c>
      <c r="BE22" s="31">
        <v>0</v>
      </c>
      <c r="BF22" s="31">
        <v>1</v>
      </c>
      <c r="BG22" s="31">
        <v>0</v>
      </c>
      <c r="BH22" s="31">
        <v>0</v>
      </c>
      <c r="BI22" s="31">
        <v>1</v>
      </c>
      <c r="BJ22" s="31">
        <v>0</v>
      </c>
      <c r="BK22" s="31">
        <v>0</v>
      </c>
      <c r="BL22" s="31">
        <v>1</v>
      </c>
      <c r="BM22" s="31">
        <v>0</v>
      </c>
      <c r="BN22" s="31">
        <v>0</v>
      </c>
      <c r="BO22" s="31">
        <v>1</v>
      </c>
      <c r="BP22" s="31">
        <v>0</v>
      </c>
      <c r="BQ22" s="31">
        <v>0</v>
      </c>
      <c r="BR22" s="31">
        <v>1</v>
      </c>
      <c r="BS22" s="31">
        <v>0</v>
      </c>
      <c r="BT22" s="31">
        <v>0</v>
      </c>
      <c r="BU22" s="31">
        <v>1</v>
      </c>
      <c r="BV22" s="31">
        <v>0</v>
      </c>
      <c r="BW22" s="31">
        <v>0</v>
      </c>
      <c r="BX22" s="31">
        <v>1</v>
      </c>
      <c r="BY22" s="31">
        <v>0</v>
      </c>
      <c r="BZ22" s="31">
        <v>0</v>
      </c>
      <c r="CA22" s="31">
        <v>1</v>
      </c>
      <c r="CB22" s="31">
        <v>0</v>
      </c>
      <c r="CC22" s="31">
        <v>0</v>
      </c>
      <c r="CD22" s="31"/>
      <c r="CE22" s="32"/>
    </row>
    <row r="23" spans="1:83" hidden="1">
      <c r="A23" s="33"/>
      <c r="B23" s="33"/>
      <c r="C23" s="33"/>
      <c r="D23" s="33"/>
      <c r="E23" s="31" t="s">
        <v>66</v>
      </c>
      <c r="F23" s="31"/>
      <c r="G23" s="31"/>
      <c r="H23" s="31"/>
      <c r="I23" s="31"/>
      <c r="J23" s="24">
        <v>0</v>
      </c>
      <c r="K23" s="146">
        <v>1</v>
      </c>
      <c r="L23" s="31">
        <v>0</v>
      </c>
      <c r="M23" s="34">
        <v>0</v>
      </c>
      <c r="N23" s="31">
        <v>1</v>
      </c>
      <c r="O23" s="31">
        <v>0</v>
      </c>
      <c r="P23" s="34">
        <v>0</v>
      </c>
      <c r="Q23" s="31">
        <v>1</v>
      </c>
      <c r="R23" s="31">
        <v>0</v>
      </c>
      <c r="S23" s="34">
        <v>0</v>
      </c>
      <c r="T23" s="31">
        <v>1</v>
      </c>
      <c r="U23" s="31">
        <v>0</v>
      </c>
      <c r="V23" s="34">
        <v>0</v>
      </c>
      <c r="W23" s="31">
        <v>1</v>
      </c>
      <c r="X23" s="31">
        <v>0</v>
      </c>
      <c r="Y23" s="34">
        <v>0</v>
      </c>
      <c r="Z23" s="31">
        <v>1</v>
      </c>
      <c r="AA23" s="31">
        <v>0</v>
      </c>
      <c r="AB23" s="34">
        <v>0</v>
      </c>
      <c r="AC23" s="31">
        <v>1</v>
      </c>
      <c r="AD23" s="31">
        <v>0</v>
      </c>
      <c r="AE23" s="34">
        <v>0</v>
      </c>
      <c r="AF23" s="31">
        <v>1</v>
      </c>
      <c r="AG23" s="31">
        <v>0</v>
      </c>
      <c r="AH23" s="34">
        <v>0</v>
      </c>
      <c r="AI23" s="31">
        <v>1</v>
      </c>
      <c r="AJ23" s="31">
        <v>0</v>
      </c>
      <c r="AK23" s="34">
        <v>0</v>
      </c>
      <c r="AL23" s="31">
        <v>1</v>
      </c>
      <c r="AM23" s="31">
        <v>0</v>
      </c>
      <c r="AN23" s="34">
        <v>0</v>
      </c>
      <c r="AO23" s="31">
        <v>1</v>
      </c>
      <c r="AP23" s="31">
        <v>0</v>
      </c>
      <c r="AQ23" s="34">
        <v>0</v>
      </c>
      <c r="AR23" s="31">
        <v>1</v>
      </c>
      <c r="AS23" s="31">
        <v>0</v>
      </c>
      <c r="AT23" s="34">
        <v>0</v>
      </c>
      <c r="AU23" s="31">
        <v>1</v>
      </c>
      <c r="AV23" s="31">
        <v>0</v>
      </c>
      <c r="AW23" s="34">
        <v>0</v>
      </c>
      <c r="AX23" s="31">
        <v>1</v>
      </c>
      <c r="AY23" s="31">
        <v>0</v>
      </c>
      <c r="AZ23" s="34">
        <v>0</v>
      </c>
      <c r="BA23" s="31">
        <v>1</v>
      </c>
      <c r="BB23" s="31">
        <v>0</v>
      </c>
      <c r="BC23" s="34">
        <v>0</v>
      </c>
      <c r="BD23" s="31">
        <v>1</v>
      </c>
      <c r="BE23" s="31">
        <v>0</v>
      </c>
      <c r="BF23" s="34">
        <v>0</v>
      </c>
      <c r="BG23" s="31">
        <v>1</v>
      </c>
      <c r="BH23" s="31">
        <v>0</v>
      </c>
      <c r="BI23" s="34">
        <v>0</v>
      </c>
      <c r="BJ23" s="31">
        <v>1</v>
      </c>
      <c r="BK23" s="31">
        <v>0</v>
      </c>
      <c r="BL23" s="34">
        <v>0</v>
      </c>
      <c r="BM23" s="31">
        <v>1</v>
      </c>
      <c r="BN23" s="31">
        <v>0</v>
      </c>
      <c r="BO23" s="34">
        <v>0</v>
      </c>
      <c r="BP23" s="31">
        <v>1</v>
      </c>
      <c r="BQ23" s="31">
        <v>0</v>
      </c>
      <c r="BR23" s="34">
        <v>0</v>
      </c>
      <c r="BS23" s="31">
        <v>1</v>
      </c>
      <c r="BT23" s="31">
        <v>0</v>
      </c>
      <c r="BU23" s="34">
        <v>0</v>
      </c>
      <c r="BV23" s="31">
        <v>1</v>
      </c>
      <c r="BW23" s="31">
        <v>0</v>
      </c>
      <c r="BX23" s="34">
        <v>0</v>
      </c>
      <c r="BY23" s="31">
        <v>1</v>
      </c>
      <c r="BZ23" s="31">
        <v>0</v>
      </c>
      <c r="CA23" s="34">
        <v>0</v>
      </c>
      <c r="CB23" s="31">
        <v>1</v>
      </c>
      <c r="CC23" s="31">
        <v>0</v>
      </c>
      <c r="CD23" s="31"/>
    </row>
    <row r="24" spans="1:83" hidden="1">
      <c r="A24" s="31"/>
      <c r="B24" s="31"/>
      <c r="C24" s="31"/>
      <c r="D24" s="31"/>
      <c r="E24" s="35" t="s">
        <v>67</v>
      </c>
      <c r="F24" s="31"/>
      <c r="G24" s="31"/>
      <c r="H24" s="31"/>
      <c r="I24" s="31"/>
      <c r="J24" s="24">
        <v>0</v>
      </c>
      <c r="K24" s="146">
        <v>0</v>
      </c>
      <c r="L24" s="31">
        <v>1</v>
      </c>
      <c r="M24" s="34">
        <v>0</v>
      </c>
      <c r="N24" s="31">
        <v>0</v>
      </c>
      <c r="O24" s="31">
        <v>1</v>
      </c>
      <c r="P24" s="34">
        <v>0</v>
      </c>
      <c r="Q24" s="31">
        <v>0</v>
      </c>
      <c r="R24" s="31">
        <v>1</v>
      </c>
      <c r="S24" s="34">
        <v>0</v>
      </c>
      <c r="T24" s="31">
        <v>0</v>
      </c>
      <c r="U24" s="31">
        <v>1</v>
      </c>
      <c r="V24" s="34">
        <v>0</v>
      </c>
      <c r="W24" s="31">
        <v>0</v>
      </c>
      <c r="X24" s="31">
        <v>1</v>
      </c>
      <c r="Y24" s="34">
        <v>0</v>
      </c>
      <c r="Z24" s="31">
        <v>0</v>
      </c>
      <c r="AA24" s="31">
        <v>1</v>
      </c>
      <c r="AB24" s="34">
        <v>0</v>
      </c>
      <c r="AC24" s="31">
        <v>0</v>
      </c>
      <c r="AD24" s="31">
        <v>1</v>
      </c>
      <c r="AE24" s="34">
        <v>0</v>
      </c>
      <c r="AF24" s="31">
        <v>0</v>
      </c>
      <c r="AG24" s="31">
        <v>1</v>
      </c>
      <c r="AH24" s="34">
        <v>0</v>
      </c>
      <c r="AI24" s="31">
        <v>0</v>
      </c>
      <c r="AJ24" s="31">
        <v>1</v>
      </c>
      <c r="AK24" s="34">
        <v>0</v>
      </c>
      <c r="AL24" s="31">
        <v>0</v>
      </c>
      <c r="AM24" s="31">
        <v>1</v>
      </c>
      <c r="AN24" s="34">
        <v>0</v>
      </c>
      <c r="AO24" s="31">
        <v>0</v>
      </c>
      <c r="AP24" s="31">
        <v>1</v>
      </c>
      <c r="AQ24" s="34">
        <v>0</v>
      </c>
      <c r="AR24" s="31">
        <v>0</v>
      </c>
      <c r="AS24" s="31">
        <v>1</v>
      </c>
      <c r="AT24" s="34">
        <v>0</v>
      </c>
      <c r="AU24" s="31">
        <v>0</v>
      </c>
      <c r="AV24" s="31">
        <v>1</v>
      </c>
      <c r="AW24" s="34">
        <v>0</v>
      </c>
      <c r="AX24" s="31">
        <v>0</v>
      </c>
      <c r="AY24" s="31">
        <v>1</v>
      </c>
      <c r="AZ24" s="34">
        <v>0</v>
      </c>
      <c r="BA24" s="31">
        <v>0</v>
      </c>
      <c r="BB24" s="31">
        <v>1</v>
      </c>
      <c r="BC24" s="34">
        <v>0</v>
      </c>
      <c r="BD24" s="31">
        <v>0</v>
      </c>
      <c r="BE24" s="31">
        <v>1</v>
      </c>
      <c r="BF24" s="34">
        <v>0</v>
      </c>
      <c r="BG24" s="31">
        <v>0</v>
      </c>
      <c r="BH24" s="31">
        <v>1</v>
      </c>
      <c r="BI24" s="34">
        <v>0</v>
      </c>
      <c r="BJ24" s="31">
        <v>0</v>
      </c>
      <c r="BK24" s="31">
        <v>1</v>
      </c>
      <c r="BL24" s="34">
        <v>0</v>
      </c>
      <c r="BM24" s="31">
        <v>0</v>
      </c>
      <c r="BN24" s="31">
        <v>1</v>
      </c>
      <c r="BO24" s="34">
        <v>0</v>
      </c>
      <c r="BP24" s="31">
        <v>0</v>
      </c>
      <c r="BQ24" s="31">
        <v>1</v>
      </c>
      <c r="BR24" s="34">
        <v>0</v>
      </c>
      <c r="BS24" s="31">
        <v>0</v>
      </c>
      <c r="BT24" s="31">
        <v>1</v>
      </c>
      <c r="BU24" s="34">
        <v>0</v>
      </c>
      <c r="BV24" s="31">
        <v>0</v>
      </c>
      <c r="BW24" s="31">
        <v>1</v>
      </c>
      <c r="BX24" s="34">
        <v>0</v>
      </c>
      <c r="BY24" s="31">
        <v>0</v>
      </c>
      <c r="BZ24" s="31">
        <v>1</v>
      </c>
      <c r="CA24" s="34">
        <v>0</v>
      </c>
      <c r="CB24" s="31">
        <v>0</v>
      </c>
      <c r="CC24" s="31">
        <v>1</v>
      </c>
      <c r="CD24" s="31"/>
    </row>
    <row r="25" spans="1:83">
      <c r="A25" s="36">
        <v>300</v>
      </c>
      <c r="B25" s="36">
        <v>300</v>
      </c>
      <c r="C25" s="36">
        <v>300</v>
      </c>
      <c r="D25" s="36" t="s">
        <v>68</v>
      </c>
      <c r="E25" s="37" t="s">
        <v>69</v>
      </c>
      <c r="F25" s="37"/>
      <c r="G25" s="37"/>
      <c r="H25" s="37"/>
      <c r="I25" s="8">
        <f>SUBTOTAL(109,I$4:I$20)</f>
        <v>61.5</v>
      </c>
      <c r="J25" s="147">
        <f>SUBTOTAL(109,J$4:J$20)</f>
        <v>4</v>
      </c>
      <c r="K25" s="147">
        <f>SUBTOTAL(109,K$4:K$19)</f>
        <v>52.5</v>
      </c>
      <c r="L25" s="8"/>
      <c r="M25" s="8">
        <f>SUBTOTAL(109,M$4:M$20)</f>
        <v>1.5</v>
      </c>
      <c r="N25" s="8">
        <f>SUBTOTAL(109,N$4:N$19)</f>
        <v>51</v>
      </c>
      <c r="O25" s="8"/>
      <c r="P25" s="8">
        <f>SUBTOTAL(109,P$4:P$20)</f>
        <v>2</v>
      </c>
      <c r="Q25" s="8">
        <f>SUBTOTAL(109,Q$4:Q$19)</f>
        <v>49</v>
      </c>
      <c r="R25" s="8"/>
      <c r="S25" s="8">
        <f>SUBTOTAL(109,S$4:S$20)</f>
        <v>0</v>
      </c>
      <c r="T25" s="8">
        <f>SUBTOTAL(109,T$4:T$19)</f>
        <v>49</v>
      </c>
      <c r="U25" s="8"/>
      <c r="V25" s="8">
        <f>SUBTOTAL(109,V$4:V$20)</f>
        <v>2.5</v>
      </c>
      <c r="W25" s="8">
        <f>SUBTOTAL(109,W$4:W$19)</f>
        <v>46.5</v>
      </c>
      <c r="X25" s="8"/>
      <c r="Y25" s="8">
        <f>SUBTOTAL(109,Y$4:Y$20)</f>
        <v>6</v>
      </c>
      <c r="Z25" s="8">
        <f>SUBTOTAL(109,Z$4:Z$19)</f>
        <v>40.5</v>
      </c>
      <c r="AA25" s="8"/>
      <c r="AB25" s="8">
        <f>SUBTOTAL(109,AB$4:AB$20)</f>
        <v>7</v>
      </c>
      <c r="AC25" s="8">
        <f>SUBTOTAL(109,AC$4:AC$19)</f>
        <v>33.5</v>
      </c>
      <c r="AD25" s="8"/>
      <c r="AE25" s="8">
        <f>SUBTOTAL(109,AE$4:AE$20)</f>
        <v>16</v>
      </c>
      <c r="AF25" s="8">
        <f>SUBTOTAL(109,AF$4:AF$19)</f>
        <v>18.5</v>
      </c>
      <c r="AG25" s="8"/>
      <c r="AH25" s="8">
        <f>SUBTOTAL(109,AH$4:AH$20)</f>
        <v>5</v>
      </c>
      <c r="AI25" s="8">
        <f>SUBTOTAL(109,AI$4:AI$19)</f>
        <v>13.5</v>
      </c>
      <c r="AJ25" s="8"/>
      <c r="AK25" s="8">
        <f>SUBTOTAL(109,AK$4:AK$20)</f>
        <v>3</v>
      </c>
      <c r="AL25" s="8">
        <f>SUBTOTAL(109,AL$4:AL$19)</f>
        <v>11.5</v>
      </c>
      <c r="AM25" s="8"/>
      <c r="AN25" s="8">
        <f>SUBTOTAL(109,AN$4:AN$20)</f>
        <v>6</v>
      </c>
      <c r="AO25" s="8">
        <f>SUBTOTAL(109,AO$4:AO$19)</f>
        <v>7.5</v>
      </c>
      <c r="AP25" s="8"/>
      <c r="AQ25" s="8">
        <f>SUBTOTAL(109,AQ$4:AQ$20)</f>
        <v>0</v>
      </c>
      <c r="AR25" s="8">
        <f>SUBTOTAL(109,AR$4:AR$19)</f>
        <v>7.5</v>
      </c>
      <c r="AS25" s="8"/>
      <c r="AT25" s="8">
        <f>SUBTOTAL(109,AT$4:AT$20)</f>
        <v>3.5</v>
      </c>
      <c r="AU25" s="8">
        <f>SUBTOTAL(109,AU$4:AU$19)</f>
        <v>5</v>
      </c>
      <c r="AV25" s="8"/>
      <c r="AW25" s="8">
        <f>SUBTOTAL(109,AW$4:AW$20)</f>
        <v>1</v>
      </c>
      <c r="AX25" s="8">
        <f>SUBTOTAL(109,AX$4:AX$19)</f>
        <v>4</v>
      </c>
      <c r="AY25" s="8"/>
      <c r="AZ25" s="8">
        <f>SUBTOTAL(109,AZ$4:AZ$19)</f>
        <v>0</v>
      </c>
      <c r="BA25" s="8" t="e">
        <f>SUBTOTAL(109,BA$4:BA$19)</f>
        <v>#REF!</v>
      </c>
      <c r="BB25" s="8" t="e">
        <f>SUBTOTAL(109,BB$4:BB$19)</f>
        <v>#REF!</v>
      </c>
      <c r="BC25" s="8">
        <f>SUBTOTAL(109,BC$4:BC$19)</f>
        <v>0</v>
      </c>
      <c r="BD25" s="8" t="e">
        <f>SUBTOTAL(109,BD$4:BD$19)</f>
        <v>#REF!</v>
      </c>
      <c r="BE25" s="8" t="e">
        <f>SUBTOTAL(109,BE$4:BE$19)</f>
        <v>#REF!</v>
      </c>
      <c r="BF25" s="8">
        <f>SUBTOTAL(109,BF$4:BF$19)</f>
        <v>0</v>
      </c>
      <c r="BG25" s="8" t="e">
        <f>SUBTOTAL(109,BG$4:BG$19)</f>
        <v>#REF!</v>
      </c>
      <c r="BH25" s="8" t="e">
        <f>SUBTOTAL(109,BH$4:BH$19)</f>
        <v>#REF!</v>
      </c>
      <c r="BI25" s="8">
        <f>SUBTOTAL(109,BI$4:BI$19)</f>
        <v>0</v>
      </c>
      <c r="BJ25" s="8" t="e">
        <f>SUBTOTAL(109,BJ$4:BJ$19)</f>
        <v>#REF!</v>
      </c>
      <c r="BK25" s="8" t="e">
        <f>SUBTOTAL(109,BK$4:BK$19)</f>
        <v>#REF!</v>
      </c>
      <c r="BL25" s="8">
        <f>SUBTOTAL(109,BL$4:BL$19)</f>
        <v>0</v>
      </c>
      <c r="BM25" s="8" t="e">
        <f>SUBTOTAL(109,BM$4:BM$19)</f>
        <v>#REF!</v>
      </c>
      <c r="BN25" s="8" t="e">
        <f>SUBTOTAL(109,BN$4:BN$19)</f>
        <v>#REF!</v>
      </c>
      <c r="BO25" s="8">
        <f>SUBTOTAL(109,BO$4:BO$19)</f>
        <v>0</v>
      </c>
      <c r="BP25" s="8" t="e">
        <f>SUBTOTAL(109,BP$4:BP$19)</f>
        <v>#REF!</v>
      </c>
      <c r="BQ25" s="8" t="e">
        <f>SUBTOTAL(109,BQ$4:BQ$19)</f>
        <v>#REF!</v>
      </c>
      <c r="BR25" s="8">
        <f>SUBTOTAL(109,BR$4:BR$19)</f>
        <v>0</v>
      </c>
      <c r="BS25" s="8" t="e">
        <f>SUBTOTAL(109,BS$4:BS$19)</f>
        <v>#REF!</v>
      </c>
      <c r="BT25" s="8" t="e">
        <f>SUBTOTAL(109,BT$4:BT$19)</f>
        <v>#REF!</v>
      </c>
      <c r="BU25" s="8">
        <f>SUBTOTAL(109,BU$4:BU$19)</f>
        <v>0</v>
      </c>
      <c r="BV25" s="8" t="e">
        <f>SUBTOTAL(109,BV$4:BV$19)</f>
        <v>#REF!</v>
      </c>
      <c r="BW25" s="8" t="e">
        <f>SUBTOTAL(109,BW$4:BW$19)</f>
        <v>#REF!</v>
      </c>
      <c r="BX25" s="8">
        <f>SUBTOTAL(109,BX$4:BX$19)</f>
        <v>0</v>
      </c>
      <c r="BY25" s="8" t="e">
        <f>SUBTOTAL(109,BY$4:BY$19)</f>
        <v>#REF!</v>
      </c>
      <c r="BZ25" s="8" t="e">
        <f>SUBTOTAL(109,BZ$4:BZ$19)</f>
        <v>#REF!</v>
      </c>
      <c r="CA25" s="8">
        <f>SUBTOTAL(109,CA$4:CA$19)</f>
        <v>0</v>
      </c>
      <c r="CB25" s="8" t="e">
        <f>SUBTOTAL(109,CB$4:CB$19)</f>
        <v>#REF!</v>
      </c>
      <c r="CC25" s="8" t="e">
        <f>SUBTOTAL(109,CC$4:CC$19)</f>
        <v>#REF!</v>
      </c>
      <c r="CD25" s="37"/>
      <c r="CE25" s="37"/>
    </row>
  </sheetData>
  <autoFilter ref="C3:CE19" xr:uid="{00000000-0009-0000-0000-000000000000}"/>
  <mergeCells count="48">
    <mergeCell ref="AT21:AU21"/>
    <mergeCell ref="AW21:AX21"/>
    <mergeCell ref="AH21:AI21"/>
    <mergeCell ref="AK21:AL21"/>
    <mergeCell ref="AN21:AO21"/>
    <mergeCell ref="AQ21:AR21"/>
    <mergeCell ref="AW1:AY1"/>
    <mergeCell ref="AH1:AJ1"/>
    <mergeCell ref="AK1:AM1"/>
    <mergeCell ref="AN1:AP1"/>
    <mergeCell ref="AQ1:AS1"/>
    <mergeCell ref="AT1:AV1"/>
    <mergeCell ref="V1:X1"/>
    <mergeCell ref="J21:K21"/>
    <mergeCell ref="M21:N21"/>
    <mergeCell ref="P21:Q21"/>
    <mergeCell ref="S21:T21"/>
    <mergeCell ref="V21:W21"/>
    <mergeCell ref="J1:L1"/>
    <mergeCell ref="M1:O1"/>
    <mergeCell ref="P1:R1"/>
    <mergeCell ref="S1:U1"/>
    <mergeCell ref="BL1:BN1"/>
    <mergeCell ref="BL21:BM21"/>
    <mergeCell ref="BO1:BQ1"/>
    <mergeCell ref="BO21:BP21"/>
    <mergeCell ref="AZ1:BB1"/>
    <mergeCell ref="AZ21:BA21"/>
    <mergeCell ref="BC1:BE1"/>
    <mergeCell ref="BC21:BD21"/>
    <mergeCell ref="BF1:BH1"/>
    <mergeCell ref="BF21:BG21"/>
    <mergeCell ref="BI1:BK1"/>
    <mergeCell ref="BI21:BJ21"/>
    <mergeCell ref="BX1:BZ1"/>
    <mergeCell ref="BX21:BY21"/>
    <mergeCell ref="CA1:CC1"/>
    <mergeCell ref="CA21:CB21"/>
    <mergeCell ref="BR1:BT1"/>
    <mergeCell ref="BR21:BS21"/>
    <mergeCell ref="BU1:BW1"/>
    <mergeCell ref="BU21:BV21"/>
    <mergeCell ref="AE21:AF21"/>
    <mergeCell ref="AB21:AC21"/>
    <mergeCell ref="Y21:Z21"/>
    <mergeCell ref="AE1:AG1"/>
    <mergeCell ref="AB1:AD1"/>
    <mergeCell ref="Y1:AA1"/>
  </mergeCells>
  <phoneticPr fontId="2" type="noConversion"/>
  <conditionalFormatting sqref="I25">
    <cfRule type="cellIs" dxfId="51" priority="15" stopIfTrue="1" operator="lessThan">
      <formula>C25*0.75</formula>
    </cfRule>
    <cfRule type="cellIs" dxfId="50" priority="15" stopIfTrue="1" operator="between">
      <formula>C25*0.75</formula>
      <formula>#REF!</formula>
    </cfRule>
    <cfRule type="cellIs" dxfId="49" priority="15" stopIfTrue="1" operator="greaterThan">
      <formula>C25</formula>
    </cfRule>
  </conditionalFormatting>
  <conditionalFormatting sqref="J2:J3 CA2:CA3 BR2:BR3 BU2:BU3 P2:P3 S2:S3 V2:V3 Y2:Y3 AB2:AB3 AE2:AE3 AH2:AH3 AK2:AK3 AN2:AN3 AQ2:AQ3 AT2:AT3 AW2:AW3 AZ2:AZ3 BC2:BC3 BF2:BF3 BI2:BI3 BL2:BL3 BO2:BO3 BX2:BX3 M2:M3">
    <cfRule type="expression" dxfId="48" priority="7" stopIfTrue="1">
      <formula>J$1=TODAY()+DailyScrumDateModifier</formula>
    </cfRule>
  </conditionalFormatting>
  <conditionalFormatting sqref="K2:K3 Q2:Q3 T2:T3 W2:W3 Z2:Z3 AC2:AC3 AF2:AF3 AI2:AI3 AL2:AL3 AO2:AO3 AR2:AR3 AU2:AU3 AX2:AX3 BA2:BA3 BD2:BD3 BG2:BG3 BJ2:BJ3 BM2:BM3 BP2:BP3 BS2:BS3 BV2:BV3 BY2:BY3 CB2:CB3 N2:N3">
    <cfRule type="expression" dxfId="47" priority="8" stopIfTrue="1">
      <formula>J$1=TODAY()+DailyScrumDateModifier</formula>
    </cfRule>
  </conditionalFormatting>
  <conditionalFormatting sqref="L2:L3 R2:R3 U2:U3 X2:X3 AA2:AA3 AD2:AD3 AG2:AG3 AJ2:AJ3 AM2:AM3 AP2:AP3 AS2:AS3 AV2:AV3 AY2:AY3 BB2:BB3 BE2:BE3 BH2:BH3 BK2:BK3 BN2:BN3 BQ2:BQ3 BT2:BT3 BW2:BW3 BZ2:BZ3 CC2:CC3 O2:O3">
    <cfRule type="expression" dxfId="46" priority="9" stopIfTrue="1">
      <formula>J$1=TODAY()+DailyScrumDateModifier</formula>
    </cfRule>
  </conditionalFormatting>
  <conditionalFormatting sqref="S4:S19 AW4:AW19 AT4:AT19 AQ4:AQ19 AN4:AN19 AK4:AK19 AH4:AH19 AE4:AE19 AB4:AB19 Y4:Y19 V4:V19 CA4:CA19 BX4:BX19 BU4:BU19 BR4:BR19 BO4:BO19 BL4:BL19 BI4:BI19 BF4:BF19 BC4:BC19 AZ4:AZ19 M4:M19 J4:J19 P4:P19">
    <cfRule type="expression" dxfId="45" priority="18" stopIfTrue="1">
      <formula>J$1=TODAY()+DailyScrumDateModifier</formula>
    </cfRule>
    <cfRule type="expression" dxfId="44" priority="18" stopIfTrue="1">
      <formula>MOD(ROW(),2)</formula>
    </cfRule>
  </conditionalFormatting>
  <conditionalFormatting sqref="N4:N19 AX4:AX19 AU4:AU19 AR4:AR19 AL4:AL19 AF4:AF19 AC4:AC19 Z4:Z19 W4:W19 Q4:Q19 CB4:CB19 BY4:BY19 BV4:BV19 BS4:BS19 BP4:BP19 BM4:BM19 BJ4:BJ19 BG4:BG19 BD4:BD19 BA4:BA19 K4:K19 T4:T19 AI4:AI19 AO4:AO19">
    <cfRule type="expression" dxfId="43" priority="20" stopIfTrue="1">
      <formula>J$1=TODAY()+DailyScrumDateModifier</formula>
    </cfRule>
    <cfRule type="expression" dxfId="42" priority="20" stopIfTrue="1">
      <formula>MOD(ROW(),2)</formula>
    </cfRule>
  </conditionalFormatting>
  <conditionalFormatting sqref="A14:B18 D15:D18 D4:E4 A4:B11 D5:D11 A12:E15 A19:E19 H4:I19 CE4:CE20">
    <cfRule type="expression" dxfId="41" priority="22" stopIfTrue="1">
      <formula>MOD(ROW(),2)</formula>
    </cfRule>
  </conditionalFormatting>
  <conditionalFormatting sqref="CC4:CC19 BZ4:BZ19 BW4:BW19 BT4:BT19 BQ4:BQ19 BN4:BN19 BK4:BK19 BH4:BH19 BE4:BE19 BB4:BB19 X4:X19 U4:U19 R4:R19 O4:O19 AY4:AY19 AV4:AV19 AS4:AS19 AP4:AP19 AM4:AM19 AJ4:AJ19 AG4:AG19 AD4:AD19 AA4:AA19 L4:L19">
    <cfRule type="cellIs" dxfId="40" priority="23" stopIfTrue="1" operator="equal">
      <formula>"Pending"</formula>
    </cfRule>
    <cfRule type="cellIs" dxfId="39" priority="23" stopIfTrue="1" operator="equal">
      <formula>"In Progress"</formula>
    </cfRule>
    <cfRule type="cellIs" dxfId="38" priority="23" stopIfTrue="1" operator="equal">
      <formula>"Complete"</formula>
    </cfRule>
  </conditionalFormatting>
  <conditionalFormatting sqref="J1:CC1">
    <cfRule type="expression" dxfId="37" priority="10" stopIfTrue="1">
      <formula>J$1=TODAY()+DailyScrumDateModifier</formula>
    </cfRule>
    <cfRule type="expression" dxfId="36" priority="10" stopIfTrue="1">
      <formula>J$1=TODAY()</formula>
    </cfRule>
  </conditionalFormatting>
  <conditionalFormatting sqref="J26:K27 M26:N27">
    <cfRule type="expression" dxfId="35" priority="12" stopIfTrue="1">
      <formula>"I1=TODAY()"</formula>
    </cfRule>
  </conditionalFormatting>
  <conditionalFormatting sqref="G21">
    <cfRule type="cellIs" dxfId="34" priority="13" stopIfTrue="1" operator="equal">
      <formula>"Complete"</formula>
    </cfRule>
    <cfRule type="cellIs" dxfId="33" priority="13" stopIfTrue="1" operator="equal">
      <formula>"In Progress"</formula>
    </cfRule>
  </conditionalFormatting>
  <conditionalFormatting sqref="G4:G19">
    <cfRule type="cellIs" dxfId="32" priority="26" stopIfTrue="1" operator="equal">
      <formula>"Complete"</formula>
    </cfRule>
    <cfRule type="cellIs" dxfId="31" priority="26" stopIfTrue="1" operator="equal">
      <formula>"In Progress"</formula>
    </cfRule>
    <cfRule type="cellIs" dxfId="30" priority="26" stopIfTrue="1" operator="equal">
      <formula>"Pending"</formula>
    </cfRule>
  </conditionalFormatting>
  <conditionalFormatting sqref="E5">
    <cfRule type="expression" dxfId="29" priority="4" stopIfTrue="1">
      <formula>MOD(ROW(),2)</formula>
    </cfRule>
  </conditionalFormatting>
  <conditionalFormatting sqref="E6">
    <cfRule type="expression" dxfId="28" priority="3" stopIfTrue="1">
      <formula>MOD(ROW(),2)</formula>
    </cfRule>
  </conditionalFormatting>
  <conditionalFormatting sqref="E7">
    <cfRule type="expression" dxfId="27" priority="2" stopIfTrue="1">
      <formula>MOD(ROW(),2)</formula>
    </cfRule>
  </conditionalFormatting>
  <conditionalFormatting sqref="E8">
    <cfRule type="expression" dxfId="26" priority="1" stopIfTrue="1">
      <formula>MOD(ROW(),2)</formula>
    </cfRule>
  </conditionalFormatting>
  <dataValidations count="3">
    <dataValidation type="list" allowBlank="1" showInputMessage="1" showErrorMessage="1" sqref="F4:F19" xr:uid="{00000000-0002-0000-0000-000000000000}">
      <formula1>Members</formula1>
    </dataValidation>
    <dataValidation type="list" allowBlank="1" showInputMessage="1" showErrorMessage="1" sqref="A4:A19" xr:uid="{00000000-0002-0000-0000-000001000000}">
      <formula1>Worktype</formula1>
    </dataValidation>
    <dataValidation type="list" allowBlank="1" showInputMessage="1" showErrorMessage="1" sqref="B4:B19" xr:uid="{00000000-0002-0000-0000-000002000000}">
      <formula1>Deliverable</formula1>
    </dataValidation>
  </dataValidations>
  <hyperlinks>
    <hyperlink ref="F10" r:id="rId1" xr:uid="{06D0F60A-BC6B-4422-9075-5B38C7C69EE7}"/>
    <hyperlink ref="F11" r:id="rId2" xr:uid="{1BBD5210-0F54-4B08-8350-67899222EEA6}"/>
    <hyperlink ref="F16" r:id="rId3" xr:uid="{EA306077-3F48-4BC9-AEC2-7FC80AA5840A}"/>
    <hyperlink ref="F17" r:id="rId4" xr:uid="{D4E4D935-D943-49C2-AA91-414699D0C41F}"/>
    <hyperlink ref="F18" r:id="rId5" xr:uid="{E8F1C46F-2B81-4EC6-A463-B7B7055887BD}"/>
    <hyperlink ref="F5" r:id="rId6" xr:uid="{99B3301B-D223-49FA-844D-129CB82A8F63}"/>
    <hyperlink ref="F19" r:id="rId7" xr:uid="{F50FAB34-71B5-4459-BF35-B166DA37779A}"/>
  </hyperlinks>
  <pageMargins left="0.75" right="0.75" top="1" bottom="1" header="0.5" footer="0.5"/>
  <pageSetup orientation="portrait" r:id="rId8"/>
  <headerFooter alignWithMargins="0"/>
  <legacy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AH51"/>
  <sheetViews>
    <sheetView zoomScale="190" zoomScaleNormal="190" workbookViewId="0">
      <selection activeCell="S16" sqref="S16"/>
    </sheetView>
  </sheetViews>
  <sheetFormatPr defaultColWidth="9.140625" defaultRowHeight="12.75"/>
  <cols>
    <col min="1" max="1" width="9.140625" style="6"/>
    <col min="2" max="2" width="9.42578125" style="6" customWidth="1"/>
    <col min="3" max="4" width="9.140625" style="6"/>
    <col min="5" max="18" width="9.28515625" style="6" bestFit="1" customWidth="1"/>
    <col min="19" max="19" width="10.7109375" style="6" bestFit="1" customWidth="1"/>
    <col min="20" max="28" width="9.28515625" style="6" bestFit="1" customWidth="1"/>
    <col min="29" max="29" width="9.7109375" style="6" customWidth="1"/>
    <col min="30" max="34" width="9.28515625" style="6" bestFit="1" customWidth="1"/>
    <col min="35" max="16384" width="9.140625" style="6"/>
  </cols>
  <sheetData>
    <row r="1" spans="1:1">
      <c r="A1" s="140"/>
    </row>
    <row r="19" spans="1:19">
      <c r="A19" s="149" t="str">
        <f>IF(SkipWeekends, "Working Day", "Calendar Day")</f>
        <v>Calendar Day</v>
      </c>
      <c r="B19" s="150"/>
      <c r="C19" s="151"/>
      <c r="D19" s="151"/>
      <c r="E19" s="151">
        <v>1</v>
      </c>
      <c r="F19" s="151">
        <v>2</v>
      </c>
      <c r="G19" s="151">
        <v>3</v>
      </c>
      <c r="H19" s="151">
        <v>4</v>
      </c>
      <c r="I19" s="151">
        <v>5</v>
      </c>
      <c r="J19" s="151">
        <v>6</v>
      </c>
      <c r="K19" s="151">
        <v>7</v>
      </c>
      <c r="L19" s="151">
        <v>8</v>
      </c>
      <c r="M19" s="151">
        <v>9</v>
      </c>
      <c r="N19" s="151">
        <v>10</v>
      </c>
      <c r="O19" s="151">
        <v>11</v>
      </c>
      <c r="P19" s="151">
        <v>12</v>
      </c>
      <c r="Q19" s="151">
        <v>13</v>
      </c>
      <c r="R19" s="151">
        <v>14</v>
      </c>
    </row>
    <row r="20" spans="1:19">
      <c r="A20" s="149" t="s">
        <v>70</v>
      </c>
      <c r="B20" s="150"/>
      <c r="C20" s="151"/>
      <c r="D20" s="151"/>
      <c r="E20" s="152">
        <f t="shared" ref="E20:R20" si="0">INDEX(SprintDates,1,(E19-1)*BurndownColumns+1)</f>
        <v>45337</v>
      </c>
      <c r="F20" s="152">
        <f t="shared" si="0"/>
        <v>45338</v>
      </c>
      <c r="G20" s="152">
        <f t="shared" si="0"/>
        <v>45339</v>
      </c>
      <c r="H20" s="152">
        <f t="shared" si="0"/>
        <v>45340</v>
      </c>
      <c r="I20" s="152">
        <f t="shared" si="0"/>
        <v>45341</v>
      </c>
      <c r="J20" s="152">
        <f t="shared" si="0"/>
        <v>45342</v>
      </c>
      <c r="K20" s="152">
        <f t="shared" si="0"/>
        <v>45343</v>
      </c>
      <c r="L20" s="152">
        <f t="shared" si="0"/>
        <v>45344</v>
      </c>
      <c r="M20" s="152">
        <f t="shared" si="0"/>
        <v>45345</v>
      </c>
      <c r="N20" s="152">
        <f t="shared" si="0"/>
        <v>45346</v>
      </c>
      <c r="O20" s="152">
        <f t="shared" si="0"/>
        <v>45347</v>
      </c>
      <c r="P20" s="152">
        <f t="shared" si="0"/>
        <v>45348</v>
      </c>
      <c r="Q20" s="152">
        <f t="shared" si="0"/>
        <v>45349</v>
      </c>
      <c r="R20" s="152">
        <f t="shared" si="0"/>
        <v>45350</v>
      </c>
      <c r="S20" s="180"/>
    </row>
    <row r="21" spans="1:19">
      <c r="A21" s="149"/>
      <c r="B21" s="150"/>
      <c r="C21" s="151"/>
      <c r="D21" s="151"/>
      <c r="E21" s="152"/>
      <c r="F21" s="152"/>
      <c r="G21" s="152"/>
      <c r="H21" s="152"/>
      <c r="I21" s="152"/>
      <c r="J21" s="152"/>
      <c r="K21" s="152"/>
      <c r="L21" s="152"/>
      <c r="M21" s="152"/>
      <c r="N21" s="152"/>
      <c r="O21" s="152"/>
      <c r="P21" s="152"/>
      <c r="Q21" s="152"/>
      <c r="R21" s="152"/>
    </row>
    <row r="22" spans="1:19">
      <c r="A22" s="149" t="s">
        <v>71</v>
      </c>
      <c r="B22" s="151"/>
      <c r="C22" s="151"/>
      <c r="D22" s="153"/>
      <c r="E22" s="151">
        <f t="shared" ref="E22:R22" ca="1" si="1">IF(E20&gt;TODAY(), #N/A, SUM(INDEX(Burndown,,(E19-1)*BurndownColumns+HoursLeftColumn)))</f>
        <v>52.5</v>
      </c>
      <c r="F22" s="151">
        <f t="shared" ca="1" si="1"/>
        <v>51</v>
      </c>
      <c r="G22" s="151">
        <f t="shared" ca="1" si="1"/>
        <v>49</v>
      </c>
      <c r="H22" s="151">
        <f t="shared" ca="1" si="1"/>
        <v>49</v>
      </c>
      <c r="I22" s="151">
        <f t="shared" ca="1" si="1"/>
        <v>46.5</v>
      </c>
      <c r="J22" s="151">
        <f t="shared" ca="1" si="1"/>
        <v>40.5</v>
      </c>
      <c r="K22" s="151">
        <f t="shared" ca="1" si="1"/>
        <v>33.5</v>
      </c>
      <c r="L22" s="151">
        <f t="shared" ca="1" si="1"/>
        <v>18.5</v>
      </c>
      <c r="M22" s="151">
        <f t="shared" ca="1" si="1"/>
        <v>13.5</v>
      </c>
      <c r="N22" s="151">
        <f t="shared" ca="1" si="1"/>
        <v>11.5</v>
      </c>
      <c r="O22" s="151">
        <f t="shared" ca="1" si="1"/>
        <v>7.5</v>
      </c>
      <c r="P22" s="151">
        <f t="shared" ca="1" si="1"/>
        <v>7.5</v>
      </c>
      <c r="Q22" s="151">
        <f t="shared" ca="1" si="1"/>
        <v>5</v>
      </c>
      <c r="R22" s="151">
        <f t="shared" ca="1" si="1"/>
        <v>4</v>
      </c>
    </row>
    <row r="23" spans="1:19">
      <c r="A23" s="149" t="s">
        <v>72</v>
      </c>
      <c r="B23" s="151"/>
      <c r="C23" s="151"/>
      <c r="D23" s="153"/>
      <c r="E23" s="151">
        <v>0</v>
      </c>
      <c r="F23" s="151">
        <f ca="1">IF(F20&gt;TODAY(), #N/A, SUM(INDEX(Burndown,,(F19-1)*BurndownColumns+HoursSpentColumn)))</f>
        <v>1.5</v>
      </c>
      <c r="G23" s="151">
        <f t="shared" ref="G23:R23" ca="1" si="2">IF(G20&gt;TODAY(), #N/A, SUM(INDEX(Burndown,,(G19-1)*BurndownColumns+HoursSpentColumn)))</f>
        <v>2</v>
      </c>
      <c r="H23" s="151">
        <f t="shared" ca="1" si="2"/>
        <v>0</v>
      </c>
      <c r="I23" s="151">
        <f t="shared" ca="1" si="2"/>
        <v>2.5</v>
      </c>
      <c r="J23" s="151">
        <f t="shared" ca="1" si="2"/>
        <v>6</v>
      </c>
      <c r="K23" s="151">
        <f t="shared" ca="1" si="2"/>
        <v>7</v>
      </c>
      <c r="L23" s="151">
        <f t="shared" ca="1" si="2"/>
        <v>16</v>
      </c>
      <c r="M23" s="151">
        <f t="shared" ca="1" si="2"/>
        <v>5</v>
      </c>
      <c r="N23" s="151">
        <f t="shared" ca="1" si="2"/>
        <v>3</v>
      </c>
      <c r="O23" s="151">
        <f t="shared" ca="1" si="2"/>
        <v>6</v>
      </c>
      <c r="P23" s="151">
        <f t="shared" ca="1" si="2"/>
        <v>0</v>
      </c>
      <c r="Q23" s="151">
        <f t="shared" ca="1" si="2"/>
        <v>3.5</v>
      </c>
      <c r="R23" s="151">
        <f t="shared" ca="1" si="2"/>
        <v>1</v>
      </c>
    </row>
    <row r="24" spans="1:19">
      <c r="A24" s="149" t="s">
        <v>73</v>
      </c>
      <c r="B24" s="151"/>
      <c r="C24" s="151"/>
      <c r="D24" s="153"/>
      <c r="E24" s="151">
        <f ca="1">IF(E20&gt;TODAY(), #N/A, SUM($E23:E23))</f>
        <v>0</v>
      </c>
      <c r="F24" s="151">
        <f ca="1">IF(F20&gt;TODAY(), #N/A, SUM($E23:F23))</f>
        <v>1.5</v>
      </c>
      <c r="G24" s="151">
        <f ca="1">IF(G20&gt;TODAY(), #N/A, SUM($E23:G23))</f>
        <v>3.5</v>
      </c>
      <c r="H24" s="151">
        <f ca="1">IF(H20&gt;TODAY(), #N/A, SUM($E23:H23))</f>
        <v>3.5</v>
      </c>
      <c r="I24" s="151">
        <f ca="1">IF(I20&gt;TODAY(), #N/A, SUM($E23:I23))</f>
        <v>6</v>
      </c>
      <c r="J24" s="151">
        <f ca="1">IF(J20&gt;TODAY(), #N/A, SUM($E23:J23))</f>
        <v>12</v>
      </c>
      <c r="K24" s="151">
        <f ca="1">IF(K20&gt;TODAY(), #N/A, SUM($E23:K23))</f>
        <v>19</v>
      </c>
      <c r="L24" s="151">
        <f ca="1">IF(L20&gt;TODAY(), #N/A, SUM($E23:L23))</f>
        <v>35</v>
      </c>
      <c r="M24" s="151">
        <f ca="1">IF(M20&gt;TODAY(), #N/A, SUM($E23:M23))</f>
        <v>40</v>
      </c>
      <c r="N24" s="151">
        <f ca="1">IF(N20&gt;TODAY(), #N/A, SUM($E23:N23))</f>
        <v>43</v>
      </c>
      <c r="O24" s="151">
        <f ca="1">IF(O20&gt;TODAY(), #N/A, SUM($E23:O23))</f>
        <v>49</v>
      </c>
      <c r="P24" s="151">
        <f ca="1">IF(P20&gt;TODAY(), #N/A, SUM($E23:P23))</f>
        <v>49</v>
      </c>
      <c r="Q24" s="151">
        <f ca="1">IF(Q20&gt;TODAY(), #N/A, SUM($E23:Q23))</f>
        <v>52.5</v>
      </c>
      <c r="R24" s="151">
        <f ca="1">IF(R20&gt;TODAY(), #N/A, SUM($E23:R23))</f>
        <v>53.5</v>
      </c>
    </row>
    <row r="25" spans="1:19">
      <c r="A25" s="149" t="s">
        <v>74</v>
      </c>
      <c r="B25" s="151"/>
      <c r="C25" s="151"/>
      <c r="D25" s="153"/>
      <c r="E25" s="151">
        <f t="shared" ref="E25:R25" ca="1" si="3">IF(E20&gt;TODAY(), #N/A, E22+E24)</f>
        <v>52.5</v>
      </c>
      <c r="F25" s="151">
        <f t="shared" ca="1" si="3"/>
        <v>52.5</v>
      </c>
      <c r="G25" s="151">
        <f t="shared" ca="1" si="3"/>
        <v>52.5</v>
      </c>
      <c r="H25" s="151">
        <f t="shared" ca="1" si="3"/>
        <v>52.5</v>
      </c>
      <c r="I25" s="151">
        <f t="shared" ca="1" si="3"/>
        <v>52.5</v>
      </c>
      <c r="J25" s="151">
        <f t="shared" ca="1" si="3"/>
        <v>52.5</v>
      </c>
      <c r="K25" s="151">
        <f t="shared" ca="1" si="3"/>
        <v>52.5</v>
      </c>
      <c r="L25" s="151">
        <f t="shared" ca="1" si="3"/>
        <v>53.5</v>
      </c>
      <c r="M25" s="151">
        <f t="shared" ca="1" si="3"/>
        <v>53.5</v>
      </c>
      <c r="N25" s="151">
        <f t="shared" ca="1" si="3"/>
        <v>54.5</v>
      </c>
      <c r="O25" s="151">
        <f t="shared" ca="1" si="3"/>
        <v>56.5</v>
      </c>
      <c r="P25" s="151">
        <f t="shared" ca="1" si="3"/>
        <v>56.5</v>
      </c>
      <c r="Q25" s="151">
        <f t="shared" ca="1" si="3"/>
        <v>57.5</v>
      </c>
      <c r="R25" s="151">
        <f t="shared" ca="1" si="3"/>
        <v>57.5</v>
      </c>
    </row>
    <row r="26" spans="1:19">
      <c r="A26" s="149"/>
      <c r="B26" s="151"/>
      <c r="C26" s="151"/>
      <c r="D26" s="153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</row>
    <row r="27" spans="1:19">
      <c r="A27" s="149" t="s">
        <v>75</v>
      </c>
      <c r="B27" s="151"/>
      <c r="C27" s="151"/>
      <c r="D27" s="153"/>
      <c r="E27" s="154">
        <f t="shared" ref="E27:R27" ca="1" si="4">IF(E20&gt;TODAY(), #N/A, E24/E19)</f>
        <v>0</v>
      </c>
      <c r="F27" s="154">
        <f t="shared" ca="1" si="4"/>
        <v>0.75</v>
      </c>
      <c r="G27" s="154">
        <f t="shared" ca="1" si="4"/>
        <v>1.1666666666666667</v>
      </c>
      <c r="H27" s="154">
        <f t="shared" ca="1" si="4"/>
        <v>0.875</v>
      </c>
      <c r="I27" s="154">
        <f t="shared" ca="1" si="4"/>
        <v>1.2</v>
      </c>
      <c r="J27" s="154">
        <f t="shared" ca="1" si="4"/>
        <v>2</v>
      </c>
      <c r="K27" s="154">
        <f t="shared" ca="1" si="4"/>
        <v>2.7142857142857144</v>
      </c>
      <c r="L27" s="154">
        <f t="shared" ca="1" si="4"/>
        <v>4.375</v>
      </c>
      <c r="M27" s="154">
        <f t="shared" ca="1" si="4"/>
        <v>4.4444444444444446</v>
      </c>
      <c r="N27" s="154">
        <f t="shared" ca="1" si="4"/>
        <v>4.3</v>
      </c>
      <c r="O27" s="154">
        <f t="shared" ca="1" si="4"/>
        <v>4.4545454545454541</v>
      </c>
      <c r="P27" s="154">
        <f t="shared" ca="1" si="4"/>
        <v>4.083333333333333</v>
      </c>
      <c r="Q27" s="154">
        <f t="shared" ca="1" si="4"/>
        <v>4.0384615384615383</v>
      </c>
      <c r="R27" s="154">
        <f t="shared" ca="1" si="4"/>
        <v>3.8214285714285716</v>
      </c>
    </row>
    <row r="28" spans="1:19">
      <c r="A28" s="149" t="s">
        <v>76</v>
      </c>
      <c r="B28" s="151"/>
      <c r="C28" s="151"/>
      <c r="D28" s="153"/>
      <c r="E28" s="152">
        <f t="shared" ref="E28:R28" ca="1" si="5">IF(E20&gt;TODAY(), #N/A, IF(E27=0, SprintStart, E20 + (E22/E27)))</f>
        <v>45337</v>
      </c>
      <c r="F28" s="152">
        <f t="shared" ca="1" si="5"/>
        <v>45406</v>
      </c>
      <c r="G28" s="152">
        <f t="shared" ca="1" si="5"/>
        <v>45381</v>
      </c>
      <c r="H28" s="152">
        <f t="shared" ca="1" si="5"/>
        <v>45396</v>
      </c>
      <c r="I28" s="152">
        <f t="shared" ca="1" si="5"/>
        <v>45379.75</v>
      </c>
      <c r="J28" s="152">
        <f t="shared" ca="1" si="5"/>
        <v>45362.25</v>
      </c>
      <c r="K28" s="152">
        <f t="shared" ca="1" si="5"/>
        <v>45355.34210526316</v>
      </c>
      <c r="L28" s="152">
        <f t="shared" ca="1" si="5"/>
        <v>45348.228571428568</v>
      </c>
      <c r="M28" s="152">
        <f t="shared" ca="1" si="5"/>
        <v>45348.037499999999</v>
      </c>
      <c r="N28" s="152">
        <f t="shared" ca="1" si="5"/>
        <v>45348.674418604649</v>
      </c>
      <c r="O28" s="152">
        <f t="shared" ca="1" si="5"/>
        <v>45348.683673469386</v>
      </c>
      <c r="P28" s="152">
        <f t="shared" ca="1" si="5"/>
        <v>45349.836734693876</v>
      </c>
      <c r="Q28" s="152">
        <f t="shared" ca="1" si="5"/>
        <v>45350.238095238092</v>
      </c>
      <c r="R28" s="152">
        <f t="shared" ca="1" si="5"/>
        <v>45351.04672897196</v>
      </c>
    </row>
    <row r="29" spans="1:19">
      <c r="A29" s="149" t="s">
        <v>77</v>
      </c>
      <c r="B29" s="151"/>
      <c r="C29" s="151"/>
      <c r="D29" s="153"/>
      <c r="E29" s="152">
        <f t="shared" ref="E29:R29" ca="1" si="6">IF(E$20&gt;TODAY(), #N/A, IF(E$33&gt;0, SprintStart+((E$25*E$19)/E$33)-1, SprintStart))</f>
        <v>45337</v>
      </c>
      <c r="F29" s="152">
        <f t="shared" ca="1" si="6"/>
        <v>45337</v>
      </c>
      <c r="G29" s="152">
        <f t="shared" ca="1" si="6"/>
        <v>45337</v>
      </c>
      <c r="H29" s="152">
        <f t="shared" ca="1" si="6"/>
        <v>45337</v>
      </c>
      <c r="I29" s="152">
        <f t="shared" ca="1" si="6"/>
        <v>45337</v>
      </c>
      <c r="J29" s="152">
        <f t="shared" ca="1" si="6"/>
        <v>45493.5</v>
      </c>
      <c r="K29" s="152">
        <f t="shared" ca="1" si="6"/>
        <v>45388.5</v>
      </c>
      <c r="L29" s="152">
        <f t="shared" ca="1" si="6"/>
        <v>45357.4</v>
      </c>
      <c r="M29" s="152">
        <f t="shared" ca="1" si="6"/>
        <v>45352.05</v>
      </c>
      <c r="N29" s="152">
        <f t="shared" ca="1" si="6"/>
        <v>45348.38636363636</v>
      </c>
      <c r="O29" s="152">
        <f t="shared" ca="1" si="6"/>
        <v>45347.509259259263</v>
      </c>
      <c r="P29" s="152">
        <f t="shared" ca="1" si="6"/>
        <v>45348.555555555555</v>
      </c>
      <c r="Q29" s="152">
        <f t="shared" ca="1" si="6"/>
        <v>45349.230088495577</v>
      </c>
      <c r="R29" s="152">
        <f t="shared" ca="1" si="6"/>
        <v>45350</v>
      </c>
    </row>
    <row r="30" spans="1:19">
      <c r="A30" s="149"/>
      <c r="B30" s="151"/>
      <c r="C30" s="151"/>
      <c r="D30" s="153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</row>
    <row r="31" spans="1:19">
      <c r="A31" s="149" t="s">
        <v>78</v>
      </c>
      <c r="B31" s="151"/>
      <c r="C31" s="151"/>
      <c r="D31" s="153"/>
      <c r="E31" s="151">
        <f t="shared" ref="E31:R31" ca="1" si="7">IF(E$20&gt;TODAY(), #N/A, SUMIF(INDEX(Burndown,,(E$19-1)*BurndownColumns+StatusColumn), "=Pending",INDEX(Burndown,,(E$19-1)*BurndownColumns+HoursLeftColumn)))</f>
        <v>46.5</v>
      </c>
      <c r="F31" s="151">
        <f t="shared" ca="1" si="7"/>
        <v>42.5</v>
      </c>
      <c r="G31" s="151">
        <f t="shared" ca="1" si="7"/>
        <v>39.5</v>
      </c>
      <c r="H31" s="151">
        <f t="shared" ca="1" si="7"/>
        <v>39.5</v>
      </c>
      <c r="I31" s="151">
        <f t="shared" ca="1" si="7"/>
        <v>39.5</v>
      </c>
      <c r="J31" s="151">
        <f t="shared" ca="1" si="7"/>
        <v>27.5</v>
      </c>
      <c r="K31" s="151">
        <f t="shared" ca="1" si="7"/>
        <v>19.5</v>
      </c>
      <c r="L31" s="151">
        <f t="shared" ca="1" si="7"/>
        <v>10.5</v>
      </c>
      <c r="M31" s="151">
        <f t="shared" ca="1" si="7"/>
        <v>8.5</v>
      </c>
      <c r="N31" s="151">
        <f t="shared" ca="1" si="7"/>
        <v>8.5</v>
      </c>
      <c r="O31" s="151">
        <f t="shared" ca="1" si="7"/>
        <v>7.5</v>
      </c>
      <c r="P31" s="151">
        <f t="shared" ca="1" si="7"/>
        <v>7.5</v>
      </c>
      <c r="Q31" s="151">
        <f t="shared" ca="1" si="7"/>
        <v>5</v>
      </c>
      <c r="R31" s="151">
        <f t="shared" ca="1" si="7"/>
        <v>4</v>
      </c>
    </row>
    <row r="32" spans="1:19">
      <c r="A32" s="149" t="s">
        <v>79</v>
      </c>
      <c r="B32" s="151"/>
      <c r="C32" s="151"/>
      <c r="D32" s="153"/>
      <c r="E32" s="155">
        <f t="shared" ref="E32:R32" ca="1" si="8">E$22-E$31+E$24-E$33</f>
        <v>6</v>
      </c>
      <c r="F32" s="155">
        <f t="shared" ca="1" si="8"/>
        <v>10</v>
      </c>
      <c r="G32" s="155">
        <f t="shared" ca="1" si="8"/>
        <v>13</v>
      </c>
      <c r="H32" s="155">
        <f t="shared" ca="1" si="8"/>
        <v>13</v>
      </c>
      <c r="I32" s="155">
        <f t="shared" ca="1" si="8"/>
        <v>13</v>
      </c>
      <c r="J32" s="155">
        <f t="shared" ca="1" si="8"/>
        <v>23</v>
      </c>
      <c r="K32" s="155">
        <f t="shared" ca="1" si="8"/>
        <v>26</v>
      </c>
      <c r="L32" s="155">
        <f t="shared" ca="1" si="8"/>
        <v>23</v>
      </c>
      <c r="M32" s="155">
        <f t="shared" ca="1" si="8"/>
        <v>15</v>
      </c>
      <c r="N32" s="155">
        <f t="shared" ca="1" si="8"/>
        <v>2</v>
      </c>
      <c r="O32" s="155">
        <f t="shared" ca="1" si="8"/>
        <v>-5</v>
      </c>
      <c r="P32" s="155">
        <f t="shared" ca="1" si="8"/>
        <v>-5</v>
      </c>
      <c r="Q32" s="155">
        <f t="shared" ca="1" si="8"/>
        <v>-4</v>
      </c>
      <c r="R32" s="155">
        <f t="shared" ca="1" si="8"/>
        <v>-4</v>
      </c>
    </row>
    <row r="33" spans="1:34">
      <c r="A33" s="149" t="s">
        <v>80</v>
      </c>
      <c r="B33" s="151"/>
      <c r="C33" s="151"/>
      <c r="D33" s="153"/>
      <c r="E33" s="151">
        <f t="shared" ref="E33:R33" ca="1" si="9">IF(E$20&gt;TODAY(), #N/A, SUMIF(INDEX(Burndown,,(E$19-1)*BurndownColumns+StatusColumn), "=Complete",TotalEffort))</f>
        <v>0</v>
      </c>
      <c r="F33" s="151">
        <f t="shared" ca="1" si="9"/>
        <v>0</v>
      </c>
      <c r="G33" s="151">
        <f t="shared" ca="1" si="9"/>
        <v>0</v>
      </c>
      <c r="H33" s="151">
        <f t="shared" ca="1" si="9"/>
        <v>0</v>
      </c>
      <c r="I33" s="151">
        <f t="shared" ca="1" si="9"/>
        <v>0</v>
      </c>
      <c r="J33" s="151">
        <f t="shared" ca="1" si="9"/>
        <v>2</v>
      </c>
      <c r="K33" s="151">
        <f t="shared" ca="1" si="9"/>
        <v>7</v>
      </c>
      <c r="L33" s="151">
        <f t="shared" ca="1" si="9"/>
        <v>20</v>
      </c>
      <c r="M33" s="151">
        <f t="shared" ca="1" si="9"/>
        <v>30</v>
      </c>
      <c r="N33" s="151">
        <f t="shared" ca="1" si="9"/>
        <v>44</v>
      </c>
      <c r="O33" s="151">
        <f t="shared" ca="1" si="9"/>
        <v>54</v>
      </c>
      <c r="P33" s="151">
        <f t="shared" ca="1" si="9"/>
        <v>54</v>
      </c>
      <c r="Q33" s="151">
        <f t="shared" ca="1" si="9"/>
        <v>56.5</v>
      </c>
      <c r="R33" s="151">
        <f t="shared" ca="1" si="9"/>
        <v>57.5</v>
      </c>
    </row>
    <row r="34" spans="1:34">
      <c r="A34" s="149"/>
      <c r="B34" s="151"/>
      <c r="C34" s="151"/>
      <c r="D34" s="153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</row>
    <row r="35" spans="1:34">
      <c r="A35" s="149" t="s">
        <v>81</v>
      </c>
      <c r="B35" s="151"/>
      <c r="C35" s="151"/>
      <c r="D35" s="153"/>
      <c r="E35" s="151">
        <f t="shared" ref="E35:R35" ca="1" si="10">IF(E20&gt;TODAY(), #N/A, COUNTIF(INDEX(Burndown,,(E19-1)*BurndownColumns+StatusColumn), "=Pending"))</f>
        <v>14</v>
      </c>
      <c r="F35" s="151">
        <f t="shared" ca="1" si="10"/>
        <v>13</v>
      </c>
      <c r="G35" s="151">
        <f t="shared" ca="1" si="10"/>
        <v>12</v>
      </c>
      <c r="H35" s="151">
        <f t="shared" ca="1" si="10"/>
        <v>12</v>
      </c>
      <c r="I35" s="151">
        <f t="shared" ca="1" si="10"/>
        <v>12</v>
      </c>
      <c r="J35" s="151">
        <f t="shared" ca="1" si="10"/>
        <v>9</v>
      </c>
      <c r="K35" s="151">
        <f t="shared" ca="1" si="10"/>
        <v>8</v>
      </c>
      <c r="L35" s="151">
        <f t="shared" ca="1" si="10"/>
        <v>5</v>
      </c>
      <c r="M35" s="151">
        <f t="shared" ca="1" si="10"/>
        <v>4</v>
      </c>
      <c r="N35" s="151">
        <f t="shared" ca="1" si="10"/>
        <v>4</v>
      </c>
      <c r="O35" s="151">
        <f t="shared" ca="1" si="10"/>
        <v>3</v>
      </c>
      <c r="P35" s="151">
        <f t="shared" ca="1" si="10"/>
        <v>3</v>
      </c>
      <c r="Q35" s="151">
        <f t="shared" ca="1" si="10"/>
        <v>2</v>
      </c>
      <c r="R35" s="151">
        <f t="shared" ca="1" si="10"/>
        <v>1</v>
      </c>
    </row>
    <row r="36" spans="1:34">
      <c r="A36" s="149" t="s">
        <v>82</v>
      </c>
      <c r="B36" s="151"/>
      <c r="C36" s="151"/>
      <c r="D36" s="153"/>
      <c r="E36" s="151">
        <f t="shared" ref="E36:R36" ca="1" si="11">IF(E20&gt;TODAY(), #N/A, COUNTIF(INDEX(Burndown,,(E19-1)*BurndownColumns+StatusColumn), "=In Progress"))</f>
        <v>2</v>
      </c>
      <c r="F36" s="151">
        <f t="shared" ca="1" si="11"/>
        <v>3</v>
      </c>
      <c r="G36" s="151">
        <f t="shared" ca="1" si="11"/>
        <v>4</v>
      </c>
      <c r="H36" s="151">
        <f t="shared" ca="1" si="11"/>
        <v>4</v>
      </c>
      <c r="I36" s="151">
        <f t="shared" ca="1" si="11"/>
        <v>4</v>
      </c>
      <c r="J36" s="151">
        <f t="shared" ca="1" si="11"/>
        <v>6</v>
      </c>
      <c r="K36" s="151">
        <f t="shared" ca="1" si="11"/>
        <v>6</v>
      </c>
      <c r="L36" s="151">
        <f t="shared" ca="1" si="11"/>
        <v>5</v>
      </c>
      <c r="M36" s="151">
        <f t="shared" ca="1" si="11"/>
        <v>3</v>
      </c>
      <c r="N36" s="151">
        <f t="shared" ca="1" si="11"/>
        <v>1</v>
      </c>
      <c r="O36" s="151">
        <f t="shared" ca="1" si="11"/>
        <v>0</v>
      </c>
      <c r="P36" s="151">
        <f t="shared" ca="1" si="11"/>
        <v>0</v>
      </c>
      <c r="Q36" s="151">
        <f t="shared" ca="1" si="11"/>
        <v>0</v>
      </c>
      <c r="R36" s="151">
        <f t="shared" ca="1" si="11"/>
        <v>0</v>
      </c>
    </row>
    <row r="37" spans="1:34">
      <c r="A37" s="149" t="s">
        <v>83</v>
      </c>
      <c r="B37" s="151"/>
      <c r="C37" s="151"/>
      <c r="D37" s="153"/>
      <c r="E37" s="151">
        <f t="shared" ref="E37:R37" ca="1" si="12">IF(E20&gt;TODAY(), #N/A, COUNTIF(INDEX(Burndown,,(E19-1)*BurndownColumns+StatusColumn), "=Complete"))</f>
        <v>0</v>
      </c>
      <c r="F37" s="151">
        <f t="shared" ca="1" si="12"/>
        <v>0</v>
      </c>
      <c r="G37" s="151">
        <f t="shared" ca="1" si="12"/>
        <v>0</v>
      </c>
      <c r="H37" s="151">
        <f t="shared" ca="1" si="12"/>
        <v>0</v>
      </c>
      <c r="I37" s="151">
        <f t="shared" ca="1" si="12"/>
        <v>0</v>
      </c>
      <c r="J37" s="151">
        <f t="shared" ca="1" si="12"/>
        <v>1</v>
      </c>
      <c r="K37" s="151">
        <f t="shared" ca="1" si="12"/>
        <v>2</v>
      </c>
      <c r="L37" s="151">
        <f t="shared" ca="1" si="12"/>
        <v>6</v>
      </c>
      <c r="M37" s="151">
        <f t="shared" ca="1" si="12"/>
        <v>9</v>
      </c>
      <c r="N37" s="151">
        <f t="shared" ca="1" si="12"/>
        <v>11</v>
      </c>
      <c r="O37" s="151">
        <f t="shared" ca="1" si="12"/>
        <v>13</v>
      </c>
      <c r="P37" s="151">
        <f t="shared" ca="1" si="12"/>
        <v>13</v>
      </c>
      <c r="Q37" s="151">
        <f t="shared" ca="1" si="12"/>
        <v>14</v>
      </c>
      <c r="R37" s="151">
        <f t="shared" ca="1" si="12"/>
        <v>15</v>
      </c>
    </row>
    <row r="38" spans="1:34">
      <c r="A38" s="141"/>
      <c r="B38" s="141"/>
      <c r="C38" s="141"/>
      <c r="D38" s="141"/>
      <c r="E38" s="141"/>
      <c r="F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</row>
    <row r="39" spans="1:34">
      <c r="A39" s="149" t="s">
        <v>84</v>
      </c>
      <c r="B39" s="151"/>
      <c r="C39" s="151"/>
      <c r="D39" s="151"/>
      <c r="E39" s="151"/>
      <c r="F39" s="151"/>
      <c r="G39" s="149" t="s">
        <v>85</v>
      </c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</row>
    <row r="40" spans="1:34" ht="13.5" customHeight="1">
      <c r="A40" s="149"/>
      <c r="B40" s="151" t="s">
        <v>86</v>
      </c>
      <c r="C40" s="151"/>
      <c r="D40" s="151"/>
      <c r="E40" s="151">
        <v>0</v>
      </c>
      <c r="F40" s="151"/>
      <c r="G40" s="151" t="s">
        <v>87</v>
      </c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</row>
    <row r="41" spans="1:34" ht="13.5" customHeight="1">
      <c r="A41" s="149"/>
      <c r="B41" s="151" t="s">
        <v>88</v>
      </c>
      <c r="C41" s="151"/>
      <c r="D41" s="151"/>
      <c r="E41" s="151">
        <v>0</v>
      </c>
      <c r="F41" s="151"/>
      <c r="G41" s="151" t="s">
        <v>89</v>
      </c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</row>
    <row r="42" spans="1:34">
      <c r="A42" s="149"/>
      <c r="B42" s="151"/>
      <c r="C42" s="151"/>
      <c r="D42" s="151"/>
      <c r="E42" s="151"/>
      <c r="F42" s="151"/>
      <c r="G42" s="156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</row>
    <row r="43" spans="1:34">
      <c r="A43" s="149" t="s">
        <v>90</v>
      </c>
      <c r="B43" s="151"/>
      <c r="C43" s="151"/>
      <c r="D43" s="151"/>
      <c r="E43" s="151"/>
      <c r="F43" s="151"/>
      <c r="G43" s="15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</row>
    <row r="44" spans="1:34">
      <c r="A44" s="151"/>
      <c r="B44" s="151" t="s">
        <v>91</v>
      </c>
      <c r="C44" s="151"/>
      <c r="D44" s="151"/>
      <c r="E44" s="151">
        <v>3</v>
      </c>
      <c r="F44" s="151"/>
      <c r="G44" s="15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</row>
    <row r="45" spans="1:34">
      <c r="A45" s="151"/>
      <c r="B45" s="151" t="s">
        <v>92</v>
      </c>
      <c r="C45" s="151"/>
      <c r="D45" s="151"/>
      <c r="E45" s="151">
        <v>1</v>
      </c>
      <c r="F45" s="151"/>
      <c r="G45" s="156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</row>
    <row r="46" spans="1:34">
      <c r="A46" s="151"/>
      <c r="B46" s="151" t="s">
        <v>93</v>
      </c>
      <c r="C46" s="151"/>
      <c r="D46" s="151"/>
      <c r="E46" s="151">
        <v>2</v>
      </c>
      <c r="F46" s="156"/>
      <c r="G46" s="156"/>
    </row>
    <row r="47" spans="1:34">
      <c r="A47" s="151"/>
      <c r="B47" s="151" t="s">
        <v>94</v>
      </c>
      <c r="C47" s="151"/>
      <c r="D47" s="151"/>
      <c r="E47" s="151">
        <v>3</v>
      </c>
      <c r="F47" s="156"/>
      <c r="G47" s="156"/>
    </row>
    <row r="48" spans="1:34">
      <c r="A48" s="141"/>
      <c r="C48" s="141"/>
      <c r="D48" s="141"/>
    </row>
    <row r="49" spans="1:1">
      <c r="A49" s="142"/>
    </row>
    <row r="50" spans="1:1">
      <c r="A50" s="141"/>
    </row>
    <row r="51" spans="1:1">
      <c r="A51" s="141"/>
    </row>
  </sheetData>
  <phoneticPr fontId="2" type="noConversion"/>
  <conditionalFormatting sqref="D19:R21">
    <cfRule type="expression" dxfId="25" priority="1" stopIfTrue="1">
      <formula>"I1=TODAY()"</formula>
    </cfRule>
  </conditionalFormatting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L45"/>
  <sheetViews>
    <sheetView zoomScaleNormal="75" workbookViewId="0">
      <pane xSplit="7" ySplit="6" topLeftCell="H7" activePane="bottomRight" state="frozen"/>
      <selection pane="bottomRight" activeCell="F36" sqref="F36"/>
      <selection pane="bottomLeft" activeCell="B20" sqref="B20"/>
      <selection pane="topRight" activeCell="B20" sqref="B20"/>
    </sheetView>
  </sheetViews>
  <sheetFormatPr defaultColWidth="9.140625" defaultRowHeight="12.75"/>
  <cols>
    <col min="1" max="1" width="2.28515625" style="38" customWidth="1"/>
    <col min="2" max="2" width="23.42578125" style="39" customWidth="1"/>
    <col min="3" max="4" width="6.42578125" style="39" bestFit="1" customWidth="1"/>
    <col min="5" max="5" width="26.7109375" style="38" customWidth="1"/>
    <col min="6" max="6" width="13.7109375" style="38" customWidth="1"/>
    <col min="7" max="7" width="12.42578125" style="38" customWidth="1"/>
    <col min="8" max="8" width="1.85546875" style="38" customWidth="1"/>
    <col min="9" max="9" width="6.85546875" style="38" bestFit="1" customWidth="1"/>
    <col min="10" max="10" width="3.140625" style="38" customWidth="1"/>
    <col min="11" max="15" width="3.7109375" style="38" customWidth="1"/>
    <col min="16" max="16" width="6.85546875" style="38" bestFit="1" customWidth="1"/>
    <col min="17" max="22" width="3.7109375" style="38" customWidth="1"/>
    <col min="23" max="23" width="4" style="38" customWidth="1"/>
    <col min="24" max="28" width="3" style="38" customWidth="1"/>
    <col min="29" max="38" width="9.140625" style="38"/>
    <col min="39" max="16384" width="9.140625" style="6"/>
  </cols>
  <sheetData>
    <row r="1" spans="2:28" ht="13.5" thickBot="1"/>
    <row r="2" spans="2:28">
      <c r="B2" s="40" t="s">
        <v>95</v>
      </c>
      <c r="C2" s="41"/>
      <c r="D2" s="42" t="str">
        <f ca="1">TEXT(E2,"ddd")</f>
        <v>Thu</v>
      </c>
      <c r="E2" s="43">
        <f ca="1">TODAY()</f>
        <v>45351</v>
      </c>
    </row>
    <row r="3" spans="2:28" ht="13.5" thickBot="1">
      <c r="B3" s="44" t="s">
        <v>96</v>
      </c>
      <c r="C3" s="45"/>
      <c r="D3" s="46" t="str">
        <f>TEXT(E3,"ddd")</f>
        <v>Thu</v>
      </c>
      <c r="E3" s="47">
        <v>45337</v>
      </c>
    </row>
    <row r="4" spans="2:28" ht="13.5" thickBot="1">
      <c r="D4" s="38"/>
      <c r="E4" s="48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</row>
    <row r="5" spans="2:28" ht="15.75" thickBot="1">
      <c r="B5" s="185" t="s">
        <v>97</v>
      </c>
      <c r="C5" s="186"/>
      <c r="D5" s="186"/>
      <c r="E5" s="186"/>
      <c r="F5" s="186"/>
      <c r="G5" s="187"/>
      <c r="I5" s="50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3"/>
      <c r="X5" s="52"/>
      <c r="Y5" s="52"/>
      <c r="Z5" s="52"/>
      <c r="AA5" s="52"/>
      <c r="AB5" s="54"/>
    </row>
    <row r="6" spans="2:28">
      <c r="B6" s="55" t="s">
        <v>98</v>
      </c>
      <c r="C6" s="56">
        <v>35</v>
      </c>
      <c r="D6" s="57"/>
      <c r="E6" s="58" t="s">
        <v>99</v>
      </c>
      <c r="F6" s="59">
        <v>20</v>
      </c>
      <c r="G6" s="60"/>
      <c r="I6" s="61">
        <f>IF(D3="Mon",E3-0,IF(D3="Tue",E3-1,IF(D3="Wed",E3-2,IF(D3="Thu",E3-3,IF(D3="Fri",E3-4,IF(D3="Sat",E3-5,IF(D3="Sun",E3-6,"False")))))))</f>
        <v>45334</v>
      </c>
      <c r="J6" s="62">
        <f t="shared" ref="J6:O6" si="0">I6+1</f>
        <v>45335</v>
      </c>
      <c r="K6" s="62">
        <f t="shared" si="0"/>
        <v>45336</v>
      </c>
      <c r="L6" s="62">
        <f t="shared" si="0"/>
        <v>45337</v>
      </c>
      <c r="M6" s="62">
        <f t="shared" si="0"/>
        <v>45338</v>
      </c>
      <c r="N6" s="63">
        <f t="shared" si="0"/>
        <v>45339</v>
      </c>
      <c r="O6" s="63">
        <f t="shared" si="0"/>
        <v>45340</v>
      </c>
      <c r="P6" s="64">
        <f>I6+7</f>
        <v>45341</v>
      </c>
      <c r="Q6" s="62">
        <f t="shared" ref="Q6:V6" si="1">P6+1</f>
        <v>45342</v>
      </c>
      <c r="R6" s="62">
        <f t="shared" si="1"/>
        <v>45343</v>
      </c>
      <c r="S6" s="62">
        <f t="shared" si="1"/>
        <v>45344</v>
      </c>
      <c r="T6" s="62">
        <f t="shared" si="1"/>
        <v>45345</v>
      </c>
      <c r="U6" s="63">
        <f t="shared" si="1"/>
        <v>45346</v>
      </c>
      <c r="V6" s="63">
        <f t="shared" si="1"/>
        <v>45347</v>
      </c>
      <c r="W6" s="188"/>
      <c r="X6" s="189"/>
      <c r="Y6" s="189"/>
      <c r="Z6" s="189"/>
      <c r="AA6" s="189"/>
      <c r="AB6" s="190"/>
    </row>
    <row r="7" spans="2:28" ht="29.25" customHeight="1" thickBot="1">
      <c r="B7" s="65"/>
      <c r="C7" s="66"/>
      <c r="D7" s="57"/>
      <c r="E7" s="67" t="s">
        <v>100</v>
      </c>
      <c r="F7" s="67" t="s">
        <v>101</v>
      </c>
      <c r="G7" s="68" t="s">
        <v>102</v>
      </c>
      <c r="I7" s="69" t="s">
        <v>103</v>
      </c>
      <c r="J7" s="70" t="s">
        <v>104</v>
      </c>
      <c r="K7" s="70" t="s">
        <v>105</v>
      </c>
      <c r="L7" s="70" t="s">
        <v>104</v>
      </c>
      <c r="M7" s="70" t="s">
        <v>106</v>
      </c>
      <c r="N7" s="71" t="s">
        <v>107</v>
      </c>
      <c r="O7" s="72" t="s">
        <v>107</v>
      </c>
      <c r="P7" s="69" t="s">
        <v>103</v>
      </c>
      <c r="Q7" s="70" t="s">
        <v>104</v>
      </c>
      <c r="R7" s="70" t="s">
        <v>105</v>
      </c>
      <c r="S7" s="70" t="s">
        <v>104</v>
      </c>
      <c r="T7" s="70" t="s">
        <v>106</v>
      </c>
      <c r="U7" s="71" t="s">
        <v>107</v>
      </c>
      <c r="V7" s="72" t="s">
        <v>107</v>
      </c>
      <c r="W7" s="194" t="s">
        <v>108</v>
      </c>
      <c r="X7" s="195"/>
      <c r="Y7" s="195"/>
      <c r="Z7" s="195"/>
      <c r="AA7" s="195"/>
      <c r="AB7" s="196"/>
    </row>
    <row r="8" spans="2:28">
      <c r="B8" s="73" t="s">
        <v>109</v>
      </c>
      <c r="C8" s="74">
        <f>SUM(G8:G25)</f>
        <v>4</v>
      </c>
      <c r="D8" s="75"/>
      <c r="E8" s="170" t="s">
        <v>47</v>
      </c>
      <c r="F8" s="76">
        <v>1</v>
      </c>
      <c r="G8" s="77">
        <f>SUMIF(Sprint!$F$4:$F$1812,E8,Sprint!$AX$4:$AX$1812)</f>
        <v>0</v>
      </c>
      <c r="H8" s="78"/>
      <c r="I8" s="84">
        <f t="shared" ref="I8:J18" ca="1" si="2">IF(I$6&lt;$E$3,0,IF(ISBLANK($E8),0,IF(I$6&lt;$E$2,0,1)))</f>
        <v>0</v>
      </c>
      <c r="J8" s="85">
        <f t="shared" ca="1" si="2"/>
        <v>0</v>
      </c>
      <c r="K8" s="85">
        <f t="shared" ref="K8:M23" ca="1" si="3">IF(K$6&lt;$E$3,0,IF(ISBLANK($E8),0,IF(K$6&lt;$E$2,0,1)))</f>
        <v>0</v>
      </c>
      <c r="L8" s="85">
        <f t="shared" ca="1" si="3"/>
        <v>0</v>
      </c>
      <c r="M8" s="85">
        <f t="shared" ca="1" si="3"/>
        <v>0</v>
      </c>
      <c r="N8" s="79"/>
      <c r="O8" s="80"/>
      <c r="P8" s="84">
        <f t="shared" ref="P8:T18" ca="1" si="4">IF(P$6&lt;$E$3,0,IF(ISBLANK($E8),0,IF(P$6&lt;$E$2,0,1)))</f>
        <v>0</v>
      </c>
      <c r="Q8" s="85">
        <f t="shared" ca="1" si="4"/>
        <v>0</v>
      </c>
      <c r="R8" s="85">
        <f t="shared" ca="1" si="4"/>
        <v>0</v>
      </c>
      <c r="S8" s="85">
        <f t="shared" ca="1" si="4"/>
        <v>0</v>
      </c>
      <c r="T8" s="85">
        <f t="shared" ca="1" si="4"/>
        <v>0</v>
      </c>
      <c r="U8" s="79"/>
      <c r="V8" s="80"/>
      <c r="W8" s="191">
        <v>28</v>
      </c>
      <c r="X8" s="192"/>
      <c r="Y8" s="192"/>
      <c r="Z8" s="192"/>
      <c r="AA8" s="192"/>
      <c r="AB8" s="193"/>
    </row>
    <row r="9" spans="2:28">
      <c r="B9" s="81" t="s">
        <v>110</v>
      </c>
      <c r="C9" s="74">
        <f ca="1">SUM(W8:AB25)</f>
        <v>140</v>
      </c>
      <c r="D9" s="82"/>
      <c r="E9" s="171" t="s">
        <v>41</v>
      </c>
      <c r="F9" s="83">
        <v>1</v>
      </c>
      <c r="G9" s="77">
        <f>SUMIF(Sprint!$F$4:$F$1812,E9,Sprint!$AX$4:$AX$1812)</f>
        <v>0</v>
      </c>
      <c r="H9" s="78"/>
      <c r="I9" s="84">
        <f t="shared" ca="1" si="2"/>
        <v>0</v>
      </c>
      <c r="J9" s="85">
        <f t="shared" ca="1" si="2"/>
        <v>0</v>
      </c>
      <c r="K9" s="85">
        <f t="shared" ca="1" si="3"/>
        <v>0</v>
      </c>
      <c r="L9" s="85">
        <f t="shared" ca="1" si="3"/>
        <v>0</v>
      </c>
      <c r="M9" s="85">
        <f t="shared" ca="1" si="3"/>
        <v>0</v>
      </c>
      <c r="N9" s="86"/>
      <c r="O9" s="87"/>
      <c r="P9" s="84">
        <f t="shared" ca="1" si="4"/>
        <v>0</v>
      </c>
      <c r="Q9" s="85">
        <f t="shared" ca="1" si="4"/>
        <v>0</v>
      </c>
      <c r="R9" s="85">
        <f t="shared" ca="1" si="4"/>
        <v>0</v>
      </c>
      <c r="S9" s="85">
        <f t="shared" ca="1" si="4"/>
        <v>0</v>
      </c>
      <c r="T9" s="85">
        <f t="shared" ca="1" si="4"/>
        <v>0</v>
      </c>
      <c r="U9" s="86"/>
      <c r="V9" s="87"/>
      <c r="W9" s="191">
        <v>28</v>
      </c>
      <c r="X9" s="192"/>
      <c r="Y9" s="192"/>
      <c r="Z9" s="192"/>
      <c r="AA9" s="192"/>
      <c r="AB9" s="193"/>
    </row>
    <row r="10" spans="2:28">
      <c r="B10" s="88" t="s">
        <v>111</v>
      </c>
      <c r="C10" s="89">
        <f ca="1">C8-C9</f>
        <v>-136</v>
      </c>
      <c r="D10" s="57"/>
      <c r="E10" s="171" t="s">
        <v>50</v>
      </c>
      <c r="F10" s="83">
        <v>1</v>
      </c>
      <c r="G10" s="77">
        <f>SUMIF(Sprint!$F$4:$F$1812,E10,Sprint!$AX$4:$AX$1812)</f>
        <v>0</v>
      </c>
      <c r="H10" s="78"/>
      <c r="I10" s="84">
        <f t="shared" ca="1" si="2"/>
        <v>0</v>
      </c>
      <c r="J10" s="85">
        <f t="shared" ca="1" si="2"/>
        <v>0</v>
      </c>
      <c r="K10" s="85">
        <f t="shared" ca="1" si="3"/>
        <v>0</v>
      </c>
      <c r="L10" s="85">
        <f t="shared" ca="1" si="3"/>
        <v>0</v>
      </c>
      <c r="M10" s="85">
        <f t="shared" ca="1" si="3"/>
        <v>0</v>
      </c>
      <c r="N10" s="86"/>
      <c r="O10" s="87"/>
      <c r="P10" s="84">
        <f t="shared" ca="1" si="4"/>
        <v>0</v>
      </c>
      <c r="Q10" s="85">
        <f t="shared" ca="1" si="4"/>
        <v>0</v>
      </c>
      <c r="R10" s="85">
        <f t="shared" ca="1" si="4"/>
        <v>0</v>
      </c>
      <c r="S10" s="85">
        <f t="shared" ca="1" si="4"/>
        <v>0</v>
      </c>
      <c r="T10" s="85">
        <v>1</v>
      </c>
      <c r="U10" s="86"/>
      <c r="V10" s="87"/>
      <c r="W10" s="191">
        <v>28</v>
      </c>
      <c r="X10" s="192"/>
      <c r="Y10" s="192"/>
      <c r="Z10" s="192"/>
      <c r="AA10" s="192"/>
      <c r="AB10" s="193"/>
    </row>
    <row r="11" spans="2:28">
      <c r="B11" s="90"/>
      <c r="D11" s="91"/>
      <c r="E11" s="171" t="s">
        <v>44</v>
      </c>
      <c r="F11" s="83">
        <v>1</v>
      </c>
      <c r="G11" s="77">
        <f>SUMIF(Sprint!$F$4:$F$1812,E11,Sprint!$AX$4:$AX$1812)</f>
        <v>0</v>
      </c>
      <c r="H11" s="78"/>
      <c r="I11" s="84">
        <f t="shared" ca="1" si="2"/>
        <v>0</v>
      </c>
      <c r="J11" s="85">
        <f t="shared" ca="1" si="2"/>
        <v>0</v>
      </c>
      <c r="K11" s="85">
        <f t="shared" ca="1" si="3"/>
        <v>0</v>
      </c>
      <c r="L11" s="85">
        <f t="shared" ca="1" si="3"/>
        <v>0</v>
      </c>
      <c r="M11" s="85">
        <f t="shared" ca="1" si="3"/>
        <v>0</v>
      </c>
      <c r="N11" s="86"/>
      <c r="O11" s="87"/>
      <c r="P11" s="84">
        <f t="shared" ca="1" si="4"/>
        <v>0</v>
      </c>
      <c r="Q11" s="85">
        <f t="shared" ca="1" si="4"/>
        <v>0</v>
      </c>
      <c r="R11" s="85">
        <f t="shared" ca="1" si="4"/>
        <v>0</v>
      </c>
      <c r="S11" s="85">
        <f t="shared" ca="1" si="4"/>
        <v>0</v>
      </c>
      <c r="T11" s="85">
        <f t="shared" ca="1" si="4"/>
        <v>0</v>
      </c>
      <c r="U11" s="86"/>
      <c r="V11" s="87"/>
      <c r="W11" s="191">
        <v>28</v>
      </c>
      <c r="X11" s="192"/>
      <c r="Y11" s="192"/>
      <c r="Z11" s="192"/>
      <c r="AA11" s="192"/>
      <c r="AB11" s="193"/>
    </row>
    <row r="12" spans="2:28">
      <c r="B12" s="90"/>
      <c r="D12" s="91"/>
      <c r="E12" s="171" t="s">
        <v>56</v>
      </c>
      <c r="F12" s="83">
        <v>1</v>
      </c>
      <c r="G12" s="77">
        <f>SUMIF(Sprint!$F$4:$F$1812,E12,Sprint!$AX$4:$AX$1812)</f>
        <v>4</v>
      </c>
      <c r="H12" s="78"/>
      <c r="I12" s="84">
        <f t="shared" ca="1" si="2"/>
        <v>0</v>
      </c>
      <c r="J12" s="85">
        <f t="shared" ca="1" si="2"/>
        <v>0</v>
      </c>
      <c r="K12" s="85">
        <f t="shared" ca="1" si="3"/>
        <v>0</v>
      </c>
      <c r="L12" s="85">
        <f t="shared" ca="1" si="3"/>
        <v>0</v>
      </c>
      <c r="M12" s="85">
        <f t="shared" ca="1" si="3"/>
        <v>0</v>
      </c>
      <c r="N12" s="86"/>
      <c r="O12" s="87"/>
      <c r="P12" s="84">
        <f t="shared" ca="1" si="4"/>
        <v>0</v>
      </c>
      <c r="Q12" s="85">
        <f t="shared" ca="1" si="4"/>
        <v>0</v>
      </c>
      <c r="R12" s="85">
        <f t="shared" ca="1" si="4"/>
        <v>0</v>
      </c>
      <c r="S12" s="85">
        <f t="shared" ca="1" si="4"/>
        <v>0</v>
      </c>
      <c r="T12" s="85">
        <f t="shared" ca="1" si="4"/>
        <v>0</v>
      </c>
      <c r="U12" s="86"/>
      <c r="V12" s="87"/>
      <c r="W12" s="191">
        <v>28</v>
      </c>
      <c r="X12" s="192"/>
      <c r="Y12" s="192"/>
      <c r="Z12" s="192"/>
      <c r="AA12" s="192"/>
      <c r="AB12" s="193"/>
    </row>
    <row r="13" spans="2:28" ht="13.5" thickBot="1">
      <c r="B13" s="90"/>
      <c r="E13" s="18"/>
      <c r="F13" s="83"/>
      <c r="G13" s="77">
        <f>SUMIF(Sprint!$F$4:$F$1812,E13,Sprint!$AX$4:$AX$1812)</f>
        <v>0</v>
      </c>
      <c r="H13" s="78"/>
      <c r="I13" s="84">
        <f t="shared" ca="1" si="2"/>
        <v>0</v>
      </c>
      <c r="J13" s="85">
        <f t="shared" ca="1" si="2"/>
        <v>0</v>
      </c>
      <c r="K13" s="85">
        <f t="shared" ca="1" si="3"/>
        <v>0</v>
      </c>
      <c r="L13" s="85">
        <f t="shared" ca="1" si="3"/>
        <v>0</v>
      </c>
      <c r="M13" s="85">
        <f t="shared" ca="1" si="3"/>
        <v>0</v>
      </c>
      <c r="N13" s="86"/>
      <c r="O13" s="87"/>
      <c r="P13" s="84">
        <f t="shared" ca="1" si="4"/>
        <v>0</v>
      </c>
      <c r="Q13" s="85">
        <f t="shared" ca="1" si="4"/>
        <v>0</v>
      </c>
      <c r="R13" s="85">
        <f t="shared" ca="1" si="4"/>
        <v>0</v>
      </c>
      <c r="S13" s="85">
        <f t="shared" ca="1" si="4"/>
        <v>0</v>
      </c>
      <c r="T13" s="85">
        <f t="shared" ca="1" si="4"/>
        <v>0</v>
      </c>
      <c r="U13" s="86"/>
      <c r="V13" s="87"/>
      <c r="W13" s="191">
        <f t="shared" ref="W13:W25" ca="1" si="5">IF(E13="unassigned",0,(COUNTIF(I13:V13,1)*$C$6)*F13)</f>
        <v>0</v>
      </c>
      <c r="X13" s="192"/>
      <c r="Y13" s="192"/>
      <c r="Z13" s="192"/>
      <c r="AA13" s="192"/>
      <c r="AB13" s="193"/>
    </row>
    <row r="14" spans="2:28" ht="13.5" thickBot="1">
      <c r="B14" s="90"/>
      <c r="D14" s="57"/>
      <c r="E14" s="18"/>
      <c r="F14" s="83"/>
      <c r="G14" s="77">
        <f>SUMIF(Sprint!$F$4:$F$1812,E14,Sprint!$AX$4:$AX$1812)</f>
        <v>0</v>
      </c>
      <c r="H14" s="78"/>
      <c r="I14" s="84">
        <f t="shared" ca="1" si="2"/>
        <v>0</v>
      </c>
      <c r="J14" s="85">
        <f t="shared" ca="1" si="2"/>
        <v>0</v>
      </c>
      <c r="K14" s="85">
        <f t="shared" ca="1" si="3"/>
        <v>0</v>
      </c>
      <c r="L14" s="85">
        <f t="shared" ca="1" si="3"/>
        <v>0</v>
      </c>
      <c r="M14" s="85">
        <f t="shared" ca="1" si="3"/>
        <v>0</v>
      </c>
      <c r="N14" s="86"/>
      <c r="O14" s="87"/>
      <c r="P14" s="84">
        <f t="shared" ca="1" si="4"/>
        <v>0</v>
      </c>
      <c r="Q14" s="85">
        <f t="shared" ca="1" si="4"/>
        <v>0</v>
      </c>
      <c r="R14" s="85">
        <f t="shared" ca="1" si="4"/>
        <v>0</v>
      </c>
      <c r="S14" s="85">
        <f t="shared" ca="1" si="4"/>
        <v>0</v>
      </c>
      <c r="T14" s="85">
        <f t="shared" ca="1" si="4"/>
        <v>0</v>
      </c>
      <c r="U14" s="86"/>
      <c r="V14" s="87"/>
      <c r="W14" s="191">
        <f t="shared" ca="1" si="5"/>
        <v>0</v>
      </c>
      <c r="X14" s="192"/>
      <c r="Y14" s="192"/>
      <c r="Z14" s="192"/>
      <c r="AA14" s="192"/>
      <c r="AB14" s="193"/>
    </row>
    <row r="15" spans="2:28" ht="13.5" thickBot="1">
      <c r="B15" s="90"/>
      <c r="D15" s="57"/>
      <c r="E15" s="18"/>
      <c r="F15" s="83"/>
      <c r="G15" s="77">
        <f>SUMIF(Sprint!$F$4:$F$1812,E15,Sprint!$AX$4:$AX$1812)</f>
        <v>0</v>
      </c>
      <c r="H15" s="78"/>
      <c r="I15" s="84">
        <f t="shared" ca="1" si="2"/>
        <v>0</v>
      </c>
      <c r="J15" s="85">
        <f t="shared" ca="1" si="2"/>
        <v>0</v>
      </c>
      <c r="K15" s="85">
        <f t="shared" ca="1" si="3"/>
        <v>0</v>
      </c>
      <c r="L15" s="85">
        <f t="shared" ca="1" si="3"/>
        <v>0</v>
      </c>
      <c r="M15" s="85">
        <f t="shared" ca="1" si="3"/>
        <v>0</v>
      </c>
      <c r="N15" s="86"/>
      <c r="O15" s="87"/>
      <c r="P15" s="84">
        <f t="shared" ca="1" si="4"/>
        <v>0</v>
      </c>
      <c r="Q15" s="85">
        <f t="shared" ca="1" si="4"/>
        <v>0</v>
      </c>
      <c r="R15" s="85">
        <f t="shared" ca="1" si="4"/>
        <v>0</v>
      </c>
      <c r="S15" s="85">
        <f t="shared" ca="1" si="4"/>
        <v>0</v>
      </c>
      <c r="T15" s="85">
        <f t="shared" ca="1" si="4"/>
        <v>0</v>
      </c>
      <c r="U15" s="86"/>
      <c r="V15" s="87"/>
      <c r="W15" s="191">
        <f t="shared" ca="1" si="5"/>
        <v>0</v>
      </c>
      <c r="X15" s="192"/>
      <c r="Y15" s="192"/>
      <c r="Z15" s="192"/>
      <c r="AA15" s="192"/>
      <c r="AB15" s="193"/>
    </row>
    <row r="16" spans="2:28" ht="13.5" thickBot="1">
      <c r="B16" s="90"/>
      <c r="E16" s="18"/>
      <c r="F16" s="83"/>
      <c r="G16" s="77">
        <f>SUMIF(Sprint!$F$4:$F$1812,E16,Sprint!$AX$4:$AX$1812)</f>
        <v>0</v>
      </c>
      <c r="H16" s="78"/>
      <c r="I16" s="84">
        <f t="shared" ca="1" si="2"/>
        <v>0</v>
      </c>
      <c r="J16" s="85">
        <f t="shared" ca="1" si="2"/>
        <v>0</v>
      </c>
      <c r="K16" s="85">
        <f t="shared" ca="1" si="3"/>
        <v>0</v>
      </c>
      <c r="L16" s="85">
        <f t="shared" ca="1" si="3"/>
        <v>0</v>
      </c>
      <c r="M16" s="85">
        <f t="shared" ca="1" si="3"/>
        <v>0</v>
      </c>
      <c r="N16" s="86"/>
      <c r="O16" s="87"/>
      <c r="P16" s="84">
        <f t="shared" ca="1" si="4"/>
        <v>0</v>
      </c>
      <c r="Q16" s="85">
        <f t="shared" ca="1" si="4"/>
        <v>0</v>
      </c>
      <c r="R16" s="85">
        <f t="shared" ca="1" si="4"/>
        <v>0</v>
      </c>
      <c r="S16" s="85">
        <f t="shared" ca="1" si="4"/>
        <v>0</v>
      </c>
      <c r="T16" s="85">
        <f t="shared" ca="1" si="4"/>
        <v>0</v>
      </c>
      <c r="U16" s="86"/>
      <c r="V16" s="87"/>
      <c r="W16" s="191">
        <f t="shared" ca="1" si="5"/>
        <v>0</v>
      </c>
      <c r="X16" s="192"/>
      <c r="Y16" s="192"/>
      <c r="Z16" s="192"/>
      <c r="AA16" s="192"/>
      <c r="AB16" s="193"/>
    </row>
    <row r="17" spans="2:28" ht="13.5" thickBot="1">
      <c r="B17" s="90"/>
      <c r="E17" s="18"/>
      <c r="F17" s="83"/>
      <c r="G17" s="77">
        <f>SUMIF(Sprint!$F$4:$F$1812,E17,Sprint!$AX$4:$AX$1812)</f>
        <v>0</v>
      </c>
      <c r="H17" s="92"/>
      <c r="I17" s="84">
        <f t="shared" ca="1" si="2"/>
        <v>0</v>
      </c>
      <c r="J17" s="85">
        <f t="shared" ca="1" si="2"/>
        <v>0</v>
      </c>
      <c r="K17" s="85">
        <f t="shared" ca="1" si="3"/>
        <v>0</v>
      </c>
      <c r="L17" s="85">
        <f t="shared" ca="1" si="3"/>
        <v>0</v>
      </c>
      <c r="M17" s="85">
        <f t="shared" ca="1" si="3"/>
        <v>0</v>
      </c>
      <c r="N17" s="86"/>
      <c r="O17" s="87"/>
      <c r="P17" s="84">
        <f t="shared" ca="1" si="4"/>
        <v>0</v>
      </c>
      <c r="Q17" s="85">
        <f t="shared" ca="1" si="4"/>
        <v>0</v>
      </c>
      <c r="R17" s="85">
        <f t="shared" ca="1" si="4"/>
        <v>0</v>
      </c>
      <c r="S17" s="85">
        <f t="shared" ca="1" si="4"/>
        <v>0</v>
      </c>
      <c r="T17" s="85">
        <f t="shared" ca="1" si="4"/>
        <v>0</v>
      </c>
      <c r="U17" s="86"/>
      <c r="V17" s="87"/>
      <c r="W17" s="191">
        <f t="shared" ca="1" si="5"/>
        <v>0</v>
      </c>
      <c r="X17" s="192"/>
      <c r="Y17" s="192"/>
      <c r="Z17" s="192"/>
      <c r="AA17" s="192"/>
      <c r="AB17" s="193"/>
    </row>
    <row r="18" spans="2:28" ht="13.5" thickBot="1">
      <c r="B18" s="90"/>
      <c r="E18" s="18"/>
      <c r="F18" s="83"/>
      <c r="G18" s="77">
        <f>SUMIF(Sprint!$F$4:$F$1812,E18,Sprint!$AX$4:$AX$1812)</f>
        <v>0</v>
      </c>
      <c r="H18" s="92"/>
      <c r="I18" s="84">
        <f t="shared" ca="1" si="2"/>
        <v>0</v>
      </c>
      <c r="J18" s="85">
        <f t="shared" ca="1" si="2"/>
        <v>0</v>
      </c>
      <c r="K18" s="85">
        <f t="shared" ca="1" si="3"/>
        <v>0</v>
      </c>
      <c r="L18" s="85">
        <f t="shared" ca="1" si="3"/>
        <v>0</v>
      </c>
      <c r="M18" s="85">
        <f t="shared" ca="1" si="3"/>
        <v>0</v>
      </c>
      <c r="N18" s="86"/>
      <c r="O18" s="87"/>
      <c r="P18" s="84">
        <f t="shared" ca="1" si="4"/>
        <v>0</v>
      </c>
      <c r="Q18" s="85">
        <f t="shared" ca="1" si="4"/>
        <v>0</v>
      </c>
      <c r="R18" s="85">
        <f t="shared" ca="1" si="4"/>
        <v>0</v>
      </c>
      <c r="S18" s="85">
        <f t="shared" ca="1" si="4"/>
        <v>0</v>
      </c>
      <c r="T18" s="85">
        <f t="shared" ca="1" si="4"/>
        <v>0</v>
      </c>
      <c r="U18" s="86"/>
      <c r="V18" s="87"/>
      <c r="W18" s="191">
        <f t="shared" ca="1" si="5"/>
        <v>0</v>
      </c>
      <c r="X18" s="192"/>
      <c r="Y18" s="192"/>
      <c r="Z18" s="192"/>
      <c r="AA18" s="192"/>
      <c r="AB18" s="193"/>
    </row>
    <row r="19" spans="2:28" ht="13.5" thickBot="1">
      <c r="B19" s="90"/>
      <c r="E19" s="18"/>
      <c r="F19" s="83"/>
      <c r="G19" s="77">
        <f>SUMIF(Sprint!$F$4:$F$1812,E19,Sprint!$AX$4:$AX$1812)</f>
        <v>0</v>
      </c>
      <c r="H19" s="92"/>
      <c r="I19" s="84">
        <f t="shared" ref="I19:I25" ca="1" si="6">IF(I$6&lt;$E$3,0,IF(ISBLANK($E19),0,IF(I$6&lt;$E$2,0,1)))</f>
        <v>0</v>
      </c>
      <c r="J19" s="85">
        <f t="shared" ref="J19:J25" ca="1" si="7">IF(J$6&lt;$E$3,0,IF(ISBLANK($E19),0,IF(J$6&lt;$E$2,0,1)))</f>
        <v>0</v>
      </c>
      <c r="K19" s="85">
        <f t="shared" ca="1" si="3"/>
        <v>0</v>
      </c>
      <c r="L19" s="85">
        <f t="shared" ca="1" si="3"/>
        <v>0</v>
      </c>
      <c r="M19" s="85">
        <f t="shared" ca="1" si="3"/>
        <v>0</v>
      </c>
      <c r="N19" s="86"/>
      <c r="O19" s="87"/>
      <c r="P19" s="84">
        <f t="shared" ref="P19:Q25" ca="1" si="8">IF(P$6&lt;$E$3,0,IF(ISBLANK($E19),0,IF(P$6&lt;$E$2,0,1)))</f>
        <v>0</v>
      </c>
      <c r="Q19" s="85">
        <f t="shared" ca="1" si="8"/>
        <v>0</v>
      </c>
      <c r="R19" s="85">
        <f t="shared" ref="R19:T23" ca="1" si="9">IF(R$6&lt;$E$3,0,IF(ISBLANK($E19),0,IF(R$6&lt;$E$2,0,1)))</f>
        <v>0</v>
      </c>
      <c r="S19" s="85">
        <f t="shared" ca="1" si="9"/>
        <v>0</v>
      </c>
      <c r="T19" s="85">
        <f t="shared" ca="1" si="9"/>
        <v>0</v>
      </c>
      <c r="U19" s="86"/>
      <c r="V19" s="87"/>
      <c r="W19" s="191">
        <f t="shared" ca="1" si="5"/>
        <v>0</v>
      </c>
      <c r="X19" s="192"/>
      <c r="Y19" s="192"/>
      <c r="Z19" s="192"/>
      <c r="AA19" s="192"/>
      <c r="AB19" s="193"/>
    </row>
    <row r="20" spans="2:28" ht="13.5" thickBot="1">
      <c r="B20" s="90"/>
      <c r="E20" s="18"/>
      <c r="F20" s="83"/>
      <c r="G20" s="77">
        <f>SUMIF(Sprint!$F$4:$F$1812,E20,Sprint!$AX$4:$AX$1812)</f>
        <v>0</v>
      </c>
      <c r="H20" s="92"/>
      <c r="I20" s="84">
        <f t="shared" ca="1" si="6"/>
        <v>0</v>
      </c>
      <c r="J20" s="85">
        <f t="shared" ca="1" si="7"/>
        <v>0</v>
      </c>
      <c r="K20" s="85">
        <f t="shared" ca="1" si="3"/>
        <v>0</v>
      </c>
      <c r="L20" s="85">
        <f t="shared" ca="1" si="3"/>
        <v>0</v>
      </c>
      <c r="M20" s="85">
        <f t="shared" ca="1" si="3"/>
        <v>0</v>
      </c>
      <c r="N20" s="86"/>
      <c r="O20" s="87"/>
      <c r="P20" s="84">
        <f t="shared" ca="1" si="8"/>
        <v>0</v>
      </c>
      <c r="Q20" s="85">
        <f t="shared" ca="1" si="8"/>
        <v>0</v>
      </c>
      <c r="R20" s="85">
        <f t="shared" ca="1" si="9"/>
        <v>0</v>
      </c>
      <c r="S20" s="85">
        <f t="shared" ca="1" si="9"/>
        <v>0</v>
      </c>
      <c r="T20" s="85">
        <f t="shared" ca="1" si="9"/>
        <v>0</v>
      </c>
      <c r="U20" s="86"/>
      <c r="V20" s="87"/>
      <c r="W20" s="191">
        <f t="shared" ca="1" si="5"/>
        <v>0</v>
      </c>
      <c r="X20" s="192"/>
      <c r="Y20" s="192"/>
      <c r="Z20" s="192"/>
      <c r="AA20" s="192"/>
      <c r="AB20" s="193"/>
    </row>
    <row r="21" spans="2:28" ht="13.5" thickBot="1">
      <c r="B21" s="90"/>
      <c r="C21" s="38"/>
      <c r="E21" s="18"/>
      <c r="F21" s="83"/>
      <c r="G21" s="77">
        <f>SUMIF(Sprint!$F$4:$F$1812,E21,Sprint!$AX$4:$AX$1812)</f>
        <v>0</v>
      </c>
      <c r="H21" s="92"/>
      <c r="I21" s="84">
        <f t="shared" ca="1" si="6"/>
        <v>0</v>
      </c>
      <c r="J21" s="85">
        <f t="shared" ca="1" si="7"/>
        <v>0</v>
      </c>
      <c r="K21" s="85">
        <f t="shared" ca="1" si="3"/>
        <v>0</v>
      </c>
      <c r="L21" s="85">
        <f t="shared" ca="1" si="3"/>
        <v>0</v>
      </c>
      <c r="M21" s="85">
        <f t="shared" ca="1" si="3"/>
        <v>0</v>
      </c>
      <c r="N21" s="86"/>
      <c r="O21" s="87"/>
      <c r="P21" s="84">
        <f t="shared" ca="1" si="8"/>
        <v>0</v>
      </c>
      <c r="Q21" s="85">
        <f t="shared" ca="1" si="8"/>
        <v>0</v>
      </c>
      <c r="R21" s="85">
        <f t="shared" ca="1" si="9"/>
        <v>0</v>
      </c>
      <c r="S21" s="85">
        <f t="shared" ca="1" si="9"/>
        <v>0</v>
      </c>
      <c r="T21" s="85">
        <f t="shared" ca="1" si="9"/>
        <v>0</v>
      </c>
      <c r="U21" s="86"/>
      <c r="V21" s="87"/>
      <c r="W21" s="191">
        <f t="shared" ca="1" si="5"/>
        <v>0</v>
      </c>
      <c r="X21" s="192"/>
      <c r="Y21" s="192"/>
      <c r="Z21" s="192"/>
      <c r="AA21" s="192"/>
      <c r="AB21" s="193"/>
    </row>
    <row r="22" spans="2:28" ht="13.5" thickBot="1">
      <c r="B22" s="65"/>
      <c r="C22" s="93"/>
      <c r="E22" s="18"/>
      <c r="F22" s="94"/>
      <c r="G22" s="77">
        <f>SUMIF(Sprint!$F$4:$F$1812,E22,Sprint!$AX$4:$AX$1812)</f>
        <v>0</v>
      </c>
      <c r="H22" s="92"/>
      <c r="I22" s="84">
        <f t="shared" ca="1" si="6"/>
        <v>0</v>
      </c>
      <c r="J22" s="85">
        <f t="shared" ca="1" si="7"/>
        <v>0</v>
      </c>
      <c r="K22" s="85">
        <f t="shared" ca="1" si="3"/>
        <v>0</v>
      </c>
      <c r="L22" s="85">
        <f t="shared" ca="1" si="3"/>
        <v>0</v>
      </c>
      <c r="M22" s="85">
        <f t="shared" ca="1" si="3"/>
        <v>0</v>
      </c>
      <c r="N22" s="86"/>
      <c r="O22" s="87"/>
      <c r="P22" s="84">
        <f t="shared" ca="1" si="8"/>
        <v>0</v>
      </c>
      <c r="Q22" s="85">
        <f t="shared" ca="1" si="8"/>
        <v>0</v>
      </c>
      <c r="R22" s="85">
        <f t="shared" ca="1" si="9"/>
        <v>0</v>
      </c>
      <c r="S22" s="85">
        <f t="shared" ca="1" si="9"/>
        <v>0</v>
      </c>
      <c r="T22" s="85">
        <f t="shared" ca="1" si="9"/>
        <v>0</v>
      </c>
      <c r="U22" s="86"/>
      <c r="V22" s="87"/>
      <c r="W22" s="191">
        <f t="shared" ca="1" si="5"/>
        <v>0</v>
      </c>
      <c r="X22" s="192"/>
      <c r="Y22" s="192"/>
      <c r="Z22" s="192"/>
      <c r="AA22" s="192"/>
      <c r="AB22" s="193"/>
    </row>
    <row r="23" spans="2:28" ht="13.5" thickBot="1">
      <c r="B23" s="65"/>
      <c r="E23" s="18"/>
      <c r="F23" s="94"/>
      <c r="G23" s="77">
        <f>SUMIF(Sprint!$F$4:$F$1812,E23,Sprint!$AX$4:$AX$1812)</f>
        <v>0</v>
      </c>
      <c r="H23" s="92"/>
      <c r="I23" s="84">
        <f t="shared" ca="1" si="6"/>
        <v>0</v>
      </c>
      <c r="J23" s="85">
        <f t="shared" ca="1" si="7"/>
        <v>0</v>
      </c>
      <c r="K23" s="85">
        <f t="shared" ca="1" si="3"/>
        <v>0</v>
      </c>
      <c r="L23" s="85">
        <f t="shared" ca="1" si="3"/>
        <v>0</v>
      </c>
      <c r="M23" s="85">
        <f t="shared" ca="1" si="3"/>
        <v>0</v>
      </c>
      <c r="N23" s="86"/>
      <c r="O23" s="87"/>
      <c r="P23" s="84">
        <f t="shared" ca="1" si="8"/>
        <v>0</v>
      </c>
      <c r="Q23" s="85">
        <f t="shared" ca="1" si="8"/>
        <v>0</v>
      </c>
      <c r="R23" s="85">
        <f t="shared" ca="1" si="9"/>
        <v>0</v>
      </c>
      <c r="S23" s="85">
        <f t="shared" ca="1" si="9"/>
        <v>0</v>
      </c>
      <c r="T23" s="85">
        <f t="shared" ca="1" si="9"/>
        <v>0</v>
      </c>
      <c r="U23" s="86"/>
      <c r="V23" s="87"/>
      <c r="W23" s="191">
        <f t="shared" ca="1" si="5"/>
        <v>0</v>
      </c>
      <c r="X23" s="192"/>
      <c r="Y23" s="192"/>
      <c r="Z23" s="192"/>
      <c r="AA23" s="192"/>
      <c r="AB23" s="193"/>
    </row>
    <row r="24" spans="2:28" ht="13.5" thickBot="1">
      <c r="B24" s="90"/>
      <c r="E24" s="18"/>
      <c r="F24" s="94"/>
      <c r="G24" s="77">
        <f>SUMIF(Sprint!$F$4:$F$1812,E24,Sprint!$AX$4:$AX$1812)</f>
        <v>0</v>
      </c>
      <c r="H24" s="92"/>
      <c r="I24" s="84">
        <f t="shared" ca="1" si="6"/>
        <v>0</v>
      </c>
      <c r="J24" s="85">
        <f t="shared" ca="1" si="7"/>
        <v>0</v>
      </c>
      <c r="K24" s="85">
        <f t="shared" ref="K24:M25" ca="1" si="10">IF(K$6&lt;$E$3,0,IF(ISBLANK($E24),0,IF(K$6&lt;$E$2,0,1)))</f>
        <v>0</v>
      </c>
      <c r="L24" s="85">
        <f t="shared" ca="1" si="10"/>
        <v>0</v>
      </c>
      <c r="M24" s="85">
        <f t="shared" ca="1" si="10"/>
        <v>0</v>
      </c>
      <c r="N24" s="86"/>
      <c r="O24" s="87"/>
      <c r="P24" s="84">
        <f t="shared" ca="1" si="8"/>
        <v>0</v>
      </c>
      <c r="Q24" s="85">
        <f t="shared" ca="1" si="8"/>
        <v>0</v>
      </c>
      <c r="R24" s="85">
        <f t="shared" ref="R24:T25" ca="1" si="11">IF(R$6&lt;$E$3,0,IF(ISBLANK($E24),0,IF(R$6&lt;$E$2,0,1)))</f>
        <v>0</v>
      </c>
      <c r="S24" s="85">
        <f t="shared" ca="1" si="11"/>
        <v>0</v>
      </c>
      <c r="T24" s="85">
        <f t="shared" ca="1" si="11"/>
        <v>0</v>
      </c>
      <c r="U24" s="86"/>
      <c r="V24" s="87"/>
      <c r="W24" s="191">
        <f t="shared" ca="1" si="5"/>
        <v>0</v>
      </c>
      <c r="X24" s="192"/>
      <c r="Y24" s="192"/>
      <c r="Z24" s="192"/>
      <c r="AA24" s="192"/>
      <c r="AB24" s="193"/>
    </row>
    <row r="25" spans="2:28" ht="13.5" thickBot="1">
      <c r="B25" s="90"/>
      <c r="E25" s="95"/>
      <c r="F25" s="96"/>
      <c r="G25" s="77">
        <f>SUMIF(Sprint!$F$4:$F$1812,E25,Sprint!$AX$4:$AX$1812)</f>
        <v>0</v>
      </c>
      <c r="H25" s="92"/>
      <c r="I25" s="97">
        <f t="shared" ca="1" si="6"/>
        <v>0</v>
      </c>
      <c r="J25" s="98">
        <f t="shared" ca="1" si="7"/>
        <v>0</v>
      </c>
      <c r="K25" s="98">
        <f t="shared" ca="1" si="10"/>
        <v>0</v>
      </c>
      <c r="L25" s="98">
        <f t="shared" ca="1" si="10"/>
        <v>0</v>
      </c>
      <c r="M25" s="98">
        <f t="shared" ca="1" si="10"/>
        <v>0</v>
      </c>
      <c r="N25" s="99"/>
      <c r="O25" s="100"/>
      <c r="P25" s="97">
        <f t="shared" ca="1" si="8"/>
        <v>0</v>
      </c>
      <c r="Q25" s="98">
        <f t="shared" ca="1" si="8"/>
        <v>0</v>
      </c>
      <c r="R25" s="98">
        <f t="shared" ca="1" si="11"/>
        <v>0</v>
      </c>
      <c r="S25" s="98">
        <f t="shared" ca="1" si="11"/>
        <v>0</v>
      </c>
      <c r="T25" s="98">
        <f t="shared" ca="1" si="11"/>
        <v>0</v>
      </c>
      <c r="U25" s="99"/>
      <c r="V25" s="100"/>
      <c r="W25" s="191">
        <f t="shared" ca="1" si="5"/>
        <v>0</v>
      </c>
      <c r="X25" s="192"/>
      <c r="Y25" s="192"/>
      <c r="Z25" s="192"/>
      <c r="AA25" s="192"/>
      <c r="AB25" s="193"/>
    </row>
    <row r="26" spans="2:28">
      <c r="B26" s="90"/>
      <c r="E26" s="101"/>
      <c r="G26" s="102"/>
      <c r="I26" s="103"/>
      <c r="J26" s="104"/>
      <c r="K26" s="104"/>
      <c r="L26" s="104"/>
      <c r="M26" s="104"/>
      <c r="N26" s="105"/>
      <c r="O26" s="105"/>
      <c r="P26" s="104"/>
      <c r="Q26" s="104"/>
      <c r="R26" s="104"/>
      <c r="S26" s="104"/>
      <c r="T26" s="104"/>
      <c r="U26" s="105"/>
      <c r="V26" s="105"/>
      <c r="W26" s="106"/>
      <c r="X26" s="106"/>
      <c r="Y26" s="106"/>
      <c r="Z26" s="106"/>
      <c r="AA26" s="106"/>
      <c r="AB26" s="107"/>
    </row>
    <row r="27" spans="2:28" ht="13.5" thickBot="1">
      <c r="B27" s="108"/>
      <c r="C27" s="109"/>
      <c r="D27" s="109"/>
      <c r="E27" s="110"/>
      <c r="F27" s="110"/>
      <c r="G27" s="111"/>
      <c r="I27" s="112"/>
      <c r="J27" s="110"/>
      <c r="K27" s="110"/>
      <c r="L27" s="110"/>
      <c r="M27" s="113"/>
      <c r="N27" s="113"/>
      <c r="O27" s="113"/>
      <c r="P27" s="113"/>
      <c r="Q27" s="113"/>
      <c r="R27" s="110"/>
      <c r="S27" s="110"/>
      <c r="T27" s="113"/>
      <c r="U27" s="113"/>
      <c r="V27" s="113"/>
      <c r="W27" s="110"/>
      <c r="X27" s="110"/>
      <c r="Y27" s="110"/>
      <c r="Z27" s="110"/>
      <c r="AA27" s="110"/>
      <c r="AB27" s="111"/>
    </row>
    <row r="29" spans="2:28">
      <c r="I29" s="114" t="s">
        <v>112</v>
      </c>
      <c r="J29" s="38" t="s">
        <v>113</v>
      </c>
      <c r="K29" s="38" t="s">
        <v>114</v>
      </c>
      <c r="Q29" s="114" t="s">
        <v>115</v>
      </c>
      <c r="R29" s="38" t="s">
        <v>113</v>
      </c>
      <c r="S29" s="38" t="s">
        <v>116</v>
      </c>
    </row>
    <row r="30" spans="2:28">
      <c r="C30" s="115"/>
      <c r="D30" s="115"/>
    </row>
    <row r="31" spans="2:28">
      <c r="C31" s="115"/>
      <c r="D31" s="115"/>
      <c r="E31" s="116"/>
      <c r="J31" s="6"/>
    </row>
    <row r="32" spans="2:28">
      <c r="C32" s="115"/>
      <c r="D32" s="115"/>
      <c r="E32" s="116"/>
      <c r="F32" s="48"/>
    </row>
    <row r="37" spans="2:22">
      <c r="I37" s="117"/>
    </row>
    <row r="38" spans="2:22">
      <c r="J38" s="118"/>
      <c r="K38" s="101"/>
      <c r="L38" s="101"/>
      <c r="M38" s="101"/>
      <c r="N38" s="101"/>
      <c r="O38" s="101"/>
      <c r="Q38" s="118"/>
      <c r="R38" s="101"/>
      <c r="S38" s="101"/>
      <c r="T38" s="101"/>
      <c r="U38" s="101"/>
      <c r="V38" s="101"/>
    </row>
    <row r="40" spans="2:22">
      <c r="E40" s="6"/>
    </row>
    <row r="45" spans="2:22">
      <c r="B45" s="119"/>
      <c r="E45" s="117"/>
    </row>
  </sheetData>
  <mergeCells count="21">
    <mergeCell ref="W21:AB21"/>
    <mergeCell ref="W23:AB23"/>
    <mergeCell ref="W24:AB24"/>
    <mergeCell ref="W25:AB25"/>
    <mergeCell ref="W22:AB22"/>
    <mergeCell ref="W20:AB20"/>
    <mergeCell ref="W16:AB16"/>
    <mergeCell ref="W17:AB17"/>
    <mergeCell ref="W18:AB18"/>
    <mergeCell ref="W13:AB13"/>
    <mergeCell ref="W14:AB14"/>
    <mergeCell ref="W15:AB15"/>
    <mergeCell ref="W19:AB19"/>
    <mergeCell ref="B5:G5"/>
    <mergeCell ref="W6:AB6"/>
    <mergeCell ref="W12:AB12"/>
    <mergeCell ref="W11:AB11"/>
    <mergeCell ref="W7:AB7"/>
    <mergeCell ref="W8:AB8"/>
    <mergeCell ref="W9:AB9"/>
    <mergeCell ref="W10:AB10"/>
  </mergeCells>
  <phoneticPr fontId="0" type="noConversion"/>
  <conditionalFormatting sqref="G8:G25">
    <cfRule type="expression" dxfId="24" priority="2" stopIfTrue="1">
      <formula>G8&gt;W8</formula>
    </cfRule>
  </conditionalFormatting>
  <conditionalFormatting sqref="I8:M25 P8:T25">
    <cfRule type="cellIs" dxfId="23" priority="5" stopIfTrue="1" operator="equal">
      <formula>"H"</formula>
    </cfRule>
    <cfRule type="cellIs" dxfId="22" priority="6" stopIfTrue="1" operator="equal">
      <formula>"V"</formula>
    </cfRule>
    <cfRule type="expression" dxfId="21" priority="7" stopIfTrue="1">
      <formula>IF(I$6&lt;$E$2,1,0)</formula>
    </cfRule>
  </conditionalFormatting>
  <conditionalFormatting sqref="X30:X34 X26:X28 J32:J34 J26:J30 I26:I34 Q29 T26:W34 N8:O25 K26:O34 U8:V25 P30:S34 P26:S28">
    <cfRule type="cellIs" dxfId="20" priority="13" stopIfTrue="1" operator="equal">
      <formula>"DIO"</formula>
    </cfRule>
    <cfRule type="cellIs" dxfId="19" priority="14" stopIfTrue="1" operator="equal">
      <formula>"H"</formula>
    </cfRule>
    <cfRule type="cellIs" dxfId="18" priority="15" stopIfTrue="1" operator="equal">
      <formula>"V"</formula>
    </cfRule>
  </conditionalFormatting>
  <conditionalFormatting sqref="P6">
    <cfRule type="expression" dxfId="17" priority="21" stopIfTrue="1">
      <formula>P$6=TODAY()</formula>
    </cfRule>
    <cfRule type="expression" dxfId="16" priority="22" stopIfTrue="1">
      <formula>IF((P$6+1-$E$3)=$F$6,1,0)</formula>
    </cfRule>
  </conditionalFormatting>
  <conditionalFormatting sqref="Q6:V6 J6:O6">
    <cfRule type="expression" dxfId="15" priority="23" stopIfTrue="1">
      <formula>J$6=TODAY()</formula>
    </cfRule>
    <cfRule type="expression" dxfId="14" priority="24" stopIfTrue="1">
      <formula>IF((J$6+1-$E$3)=$F$6,1,0)</formula>
    </cfRule>
  </conditionalFormatting>
  <conditionalFormatting sqref="I6">
    <cfRule type="expression" dxfId="13" priority="25" stopIfTrue="1">
      <formula>I$6=TODAY()</formula>
    </cfRule>
    <cfRule type="expression" dxfId="12" priority="26" stopIfTrue="1">
      <formula>IF((J$6+1-$E$3)=$F$6,1,0)</formula>
    </cfRule>
  </conditionalFormatting>
  <conditionalFormatting sqref="F26:F27 F8:F21">
    <cfRule type="expression" dxfId="11" priority="1" stopIfTrue="1">
      <formula>H8&gt;X8</formula>
    </cfRule>
  </conditionalFormatting>
  <conditionalFormatting sqref="F30:F33">
    <cfRule type="expression" dxfId="10" priority="4" stopIfTrue="1">
      <formula>H28&gt;X28</formula>
    </cfRule>
  </conditionalFormatting>
  <conditionalFormatting sqref="C10">
    <cfRule type="cellIs" dxfId="9" priority="8" stopIfTrue="1" operator="greaterThan">
      <formula>0</formula>
    </cfRule>
    <cfRule type="cellIs" dxfId="8" priority="9" stopIfTrue="1" operator="lessThanOrEqual">
      <formula>0</formula>
    </cfRule>
  </conditionalFormatting>
  <conditionalFormatting sqref="C22 D14:D15 D6:D12 C6:C9">
    <cfRule type="cellIs" dxfId="7" priority="10" stopIfTrue="1" operator="equal">
      <formula>"3A"</formula>
    </cfRule>
    <cfRule type="cellIs" dxfId="6" priority="11" stopIfTrue="1" operator="equal">
      <formula>"3B"</formula>
    </cfRule>
  </conditionalFormatting>
  <conditionalFormatting sqref="G32:G34 G6">
    <cfRule type="cellIs" dxfId="5" priority="12" stopIfTrue="1" operator="equal">
      <formula>"Done"</formula>
    </cfRule>
  </conditionalFormatting>
  <conditionalFormatting sqref="I7:K7 M7:W7">
    <cfRule type="cellIs" dxfId="4" priority="16" stopIfTrue="1" operator="equal">
      <formula>"DIO"</formula>
    </cfRule>
    <cfRule type="cellIs" dxfId="3" priority="17" stopIfTrue="1" operator="equal">
      <formula>"H"</formula>
    </cfRule>
    <cfRule type="cellIs" dxfId="2" priority="18" stopIfTrue="1" operator="equal">
      <formula>"V"</formula>
    </cfRule>
  </conditionalFormatting>
  <conditionalFormatting sqref="L7">
    <cfRule type="cellIs" dxfId="1" priority="19" stopIfTrue="1" operator="equal">
      <formula>"DIO"</formula>
    </cfRule>
    <cfRule type="cellIs" dxfId="0" priority="20" stopIfTrue="1" operator="equal">
      <formula>"H"</formula>
    </cfRule>
  </conditionalFormatting>
  <dataValidations count="1">
    <dataValidation type="list" allowBlank="1" showInputMessage="1" showErrorMessage="1" sqref="B30 E8:E25" xr:uid="{00000000-0002-0000-0200-000000000000}">
      <formula1>Members</formula1>
    </dataValidation>
  </dataValidations>
  <hyperlinks>
    <hyperlink ref="E8" r:id="rId1" xr:uid="{E89521EF-D685-4977-96BA-AEB6BC2F728B}"/>
    <hyperlink ref="E9" r:id="rId2" xr:uid="{77059488-95F7-4831-8A19-5659C8238962}"/>
    <hyperlink ref="E10" r:id="rId3" xr:uid="{F5F8F8BD-A8C3-4610-90D9-5BD1791D0389}"/>
    <hyperlink ref="E11" r:id="rId4" xr:uid="{64DCF32A-2E9A-4ECD-B2D1-131DF2EEAF08}"/>
    <hyperlink ref="E12" r:id="rId5" xr:uid="{73855643-E41A-46F8-8B09-F54DEC53DFF8}"/>
  </hyperlinks>
  <printOptions horizontalCentered="1" verticalCentered="1"/>
  <pageMargins left="0.75" right="0.75" top="1" bottom="1" header="0.5" footer="0.5"/>
  <pageSetup scale="50" orientation="landscape" horizontalDpi="300" verticalDpi="300" r:id="rId6"/>
  <headerFooter alignWithMargins="0"/>
  <rowBreaks count="1" manualBreakCount="1">
    <brk id="3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B4:I51"/>
  <sheetViews>
    <sheetView tabSelected="1" topLeftCell="B1" workbookViewId="0">
      <selection activeCell="C4" sqref="C4"/>
    </sheetView>
  </sheetViews>
  <sheetFormatPr defaultColWidth="9.140625" defaultRowHeight="12.75"/>
  <cols>
    <col min="1" max="1" width="2.7109375" style="38" customWidth="1"/>
    <col min="2" max="2" width="18.42578125" style="38" bestFit="1" customWidth="1"/>
    <col min="3" max="3" width="14.140625" style="38" bestFit="1" customWidth="1"/>
    <col min="4" max="4" width="27.42578125" style="38" customWidth="1"/>
    <col min="5" max="5" width="15.140625" style="38" bestFit="1" customWidth="1"/>
    <col min="6" max="6" width="13.140625" style="38" customWidth="1"/>
    <col min="7" max="7" width="24.28515625" style="38" customWidth="1"/>
    <col min="8" max="8" width="28.7109375" style="38" customWidth="1"/>
    <col min="9" max="9" width="2.85546875" style="38" bestFit="1" customWidth="1"/>
    <col min="10" max="16384" width="9.140625" style="38"/>
  </cols>
  <sheetData>
    <row r="4" spans="2:8">
      <c r="B4" s="120" t="s">
        <v>117</v>
      </c>
      <c r="C4" s="38" t="s">
        <v>118</v>
      </c>
    </row>
    <row r="5" spans="2:8" ht="13.5" thickBot="1"/>
    <row r="6" spans="2:8" ht="14.25" thickTop="1" thickBot="1">
      <c r="B6" s="120" t="s">
        <v>119</v>
      </c>
      <c r="C6" s="121" t="s">
        <v>120</v>
      </c>
      <c r="D6" s="122" t="s">
        <v>121</v>
      </c>
      <c r="E6" s="123" t="s">
        <v>122</v>
      </c>
      <c r="F6" s="124" t="s">
        <v>123</v>
      </c>
      <c r="G6" s="124" t="s">
        <v>124</v>
      </c>
      <c r="H6" s="125" t="s">
        <v>125</v>
      </c>
    </row>
    <row r="7" spans="2:8" ht="13.5" thickTop="1">
      <c r="C7" s="126"/>
      <c r="D7" s="127" t="s">
        <v>126</v>
      </c>
      <c r="E7" s="128"/>
      <c r="F7" s="129"/>
      <c r="G7" s="129"/>
      <c r="H7" s="130"/>
    </row>
    <row r="8" spans="2:8">
      <c r="C8" s="131" t="s">
        <v>127</v>
      </c>
      <c r="D8" s="168" t="s">
        <v>47</v>
      </c>
      <c r="E8" s="132" t="s">
        <v>128</v>
      </c>
      <c r="F8" s="133">
        <v>7740038593</v>
      </c>
      <c r="G8" s="168" t="s">
        <v>129</v>
      </c>
      <c r="H8" s="132" t="s">
        <v>130</v>
      </c>
    </row>
    <row r="9" spans="2:8">
      <c r="C9" s="131" t="s">
        <v>131</v>
      </c>
      <c r="D9" s="168" t="s">
        <v>41</v>
      </c>
      <c r="E9" s="132" t="s">
        <v>128</v>
      </c>
      <c r="F9" s="133">
        <v>7533244400</v>
      </c>
      <c r="G9" s="168" t="s">
        <v>132</v>
      </c>
      <c r="H9" s="132" t="s">
        <v>130</v>
      </c>
    </row>
    <row r="10" spans="2:8" ht="11.25" customHeight="1">
      <c r="C10" s="131" t="s">
        <v>133</v>
      </c>
      <c r="D10" s="169" t="s">
        <v>50</v>
      </c>
      <c r="E10" s="132" t="s">
        <v>128</v>
      </c>
      <c r="F10" s="133">
        <v>7490814418</v>
      </c>
      <c r="G10" s="169" t="s">
        <v>134</v>
      </c>
      <c r="H10" s="132" t="s">
        <v>130</v>
      </c>
    </row>
    <row r="11" spans="2:8">
      <c r="C11" s="131" t="s">
        <v>135</v>
      </c>
      <c r="D11" s="168" t="s">
        <v>44</v>
      </c>
      <c r="E11" s="132" t="s">
        <v>128</v>
      </c>
      <c r="F11" s="133">
        <v>7534720369</v>
      </c>
      <c r="G11" s="168" t="s">
        <v>136</v>
      </c>
      <c r="H11" s="132" t="s">
        <v>130</v>
      </c>
    </row>
    <row r="12" spans="2:8">
      <c r="C12" s="131" t="s">
        <v>137</v>
      </c>
      <c r="D12" s="168" t="s">
        <v>56</v>
      </c>
      <c r="E12" s="132">
        <v>7495499119</v>
      </c>
      <c r="F12" s="133">
        <v>7495499119</v>
      </c>
      <c r="G12" s="168" t="s">
        <v>138</v>
      </c>
      <c r="H12" s="132" t="s">
        <v>130</v>
      </c>
    </row>
    <row r="13" spans="2:8">
      <c r="C13" s="131"/>
      <c r="D13" s="132"/>
      <c r="E13" s="132"/>
      <c r="F13" s="133"/>
      <c r="G13" s="132"/>
      <c r="H13" s="132"/>
    </row>
    <row r="14" spans="2:8">
      <c r="C14" s="131"/>
      <c r="D14" s="132"/>
      <c r="E14" s="132"/>
      <c r="F14" s="133"/>
      <c r="G14" s="132"/>
      <c r="H14" s="132"/>
    </row>
    <row r="15" spans="2:8">
      <c r="C15" s="131"/>
      <c r="D15" s="132"/>
      <c r="E15" s="132"/>
      <c r="F15" s="133"/>
      <c r="G15" s="132"/>
      <c r="H15" s="132"/>
    </row>
    <row r="16" spans="2:8">
      <c r="C16" s="131"/>
      <c r="D16" s="132"/>
      <c r="E16" s="132"/>
      <c r="F16" s="133"/>
      <c r="G16" s="132"/>
      <c r="H16" s="132"/>
    </row>
    <row r="17" spans="3:8">
      <c r="C17" s="131"/>
      <c r="D17" s="132"/>
      <c r="E17" s="132"/>
      <c r="F17" s="133"/>
      <c r="G17" s="132"/>
      <c r="H17" s="132"/>
    </row>
    <row r="18" spans="3:8">
      <c r="C18" s="131"/>
      <c r="D18" s="132"/>
      <c r="E18" s="132"/>
      <c r="F18" s="133"/>
      <c r="G18" s="132"/>
      <c r="H18" s="132"/>
    </row>
    <row r="19" spans="3:8">
      <c r="C19" s="131"/>
      <c r="D19" s="132"/>
      <c r="E19" s="132"/>
      <c r="F19" s="133"/>
      <c r="G19" s="132"/>
      <c r="H19" s="132"/>
    </row>
    <row r="20" spans="3:8">
      <c r="C20" s="131"/>
      <c r="D20" s="132"/>
      <c r="E20" s="132"/>
      <c r="F20" s="133"/>
      <c r="G20" s="132"/>
      <c r="H20" s="132"/>
    </row>
    <row r="21" spans="3:8">
      <c r="C21" s="131"/>
      <c r="D21" s="132"/>
      <c r="E21" s="132"/>
      <c r="F21" s="133"/>
      <c r="G21" s="132"/>
      <c r="H21" s="132"/>
    </row>
    <row r="22" spans="3:8">
      <c r="C22" s="131"/>
      <c r="D22" s="132"/>
      <c r="E22" s="132"/>
      <c r="F22" s="133"/>
      <c r="G22" s="132"/>
      <c r="H22" s="132"/>
    </row>
    <row r="23" spans="3:8">
      <c r="C23" s="131"/>
      <c r="D23" s="132"/>
      <c r="E23" s="132"/>
      <c r="F23" s="133"/>
      <c r="G23" s="132"/>
      <c r="H23" s="132"/>
    </row>
    <row r="24" spans="3:8">
      <c r="C24" s="131"/>
      <c r="D24" s="132"/>
      <c r="E24" s="132"/>
      <c r="F24" s="133"/>
      <c r="G24" s="132"/>
      <c r="H24" s="132"/>
    </row>
    <row r="25" spans="3:8" ht="13.5" thickBot="1">
      <c r="C25" s="134"/>
      <c r="D25" s="135"/>
      <c r="E25" s="135"/>
      <c r="F25" s="136"/>
      <c r="G25" s="137"/>
      <c r="H25" s="138"/>
    </row>
    <row r="26" spans="3:8" ht="13.5" thickTop="1"/>
    <row r="41" spans="7:9">
      <c r="G41" s="120"/>
      <c r="I41" s="139"/>
    </row>
    <row r="43" spans="7:9">
      <c r="G43" s="120"/>
      <c r="H43" s="139"/>
      <c r="I43" s="139"/>
    </row>
    <row r="51" spans="4:4">
      <c r="D51" s="6"/>
    </row>
  </sheetData>
  <phoneticPr fontId="2" type="noConversion"/>
  <hyperlinks>
    <hyperlink ref="D8" r:id="rId1" xr:uid="{D8A21B87-AEAF-4E2F-AD0D-C88FD1AEFBCC}"/>
    <hyperlink ref="G8" r:id="rId2" xr:uid="{E9638B9D-1CB7-4413-ACF9-8F06DBA62103}"/>
    <hyperlink ref="D9" r:id="rId3" xr:uid="{E62DC7FB-ACC1-466D-8095-B943F2DCB584}"/>
    <hyperlink ref="D10" r:id="rId4" xr:uid="{2F19D34C-E5F2-43A2-ACD0-FEF4EE031AD3}"/>
    <hyperlink ref="G10" r:id="rId5" xr:uid="{E51974E5-E4AA-434C-BD1A-C886ADF49D80}"/>
    <hyperlink ref="G9" r:id="rId6" xr:uid="{86FD9F51-BFDE-4463-9D2E-EA9DD77C870B}"/>
    <hyperlink ref="D11" r:id="rId7" xr:uid="{9B3946BA-9FF6-431B-A986-E2B46A453860}"/>
    <hyperlink ref="G11" r:id="rId8" xr:uid="{41AB7B99-D798-44D0-877B-2D8D9D5E04AF}"/>
    <hyperlink ref="D12" r:id="rId9" xr:uid="{16A1B456-7467-4FC8-B382-B2AF3837E00E}"/>
    <hyperlink ref="G12" r:id="rId10" xr:uid="{5A56DCA2-1A29-44EB-A551-83DE0F8E4784}"/>
  </hyperlinks>
  <pageMargins left="0.75" right="0.75" top="1" bottom="1" header="0.5" footer="0.5"/>
  <pageSetup paperSize="9" orientation="portrait" r:id="rId1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21"/>
  <sheetViews>
    <sheetView workbookViewId="0">
      <selection activeCell="A15" sqref="A15"/>
    </sheetView>
  </sheetViews>
  <sheetFormatPr defaultColWidth="8.85546875" defaultRowHeight="12.75"/>
  <cols>
    <col min="1" max="1" width="21.42578125" bestFit="1" customWidth="1"/>
    <col min="2" max="2" width="6.7109375" bestFit="1" customWidth="1"/>
    <col min="3" max="3" width="7.28515625" bestFit="1" customWidth="1"/>
  </cols>
  <sheetData>
    <row r="1" spans="1:3" ht="15">
      <c r="A1" s="157" t="s">
        <v>139</v>
      </c>
      <c r="B1" s="158"/>
    </row>
    <row r="2" spans="1:3" ht="15">
      <c r="A2" s="159" t="s">
        <v>37</v>
      </c>
      <c r="B2" s="160">
        <f>COUNTIF(Sprint!$A$4:$A$50, "Feature")</f>
        <v>0</v>
      </c>
      <c r="C2" s="164" t="e">
        <f>B2/$B$6</f>
        <v>#DIV/0!</v>
      </c>
    </row>
    <row r="3" spans="1:3" ht="15">
      <c r="A3" s="159" t="s">
        <v>140</v>
      </c>
      <c r="B3" s="160">
        <f>COUNTIF(Sprint!$A$4:$A$50, "Tax")</f>
        <v>0</v>
      </c>
      <c r="C3" s="164" t="e">
        <f t="shared" ref="C3:C5" si="0">B3/$B$6</f>
        <v>#DIV/0!</v>
      </c>
    </row>
    <row r="4" spans="1:3" ht="15">
      <c r="A4" s="159" t="s">
        <v>53</v>
      </c>
      <c r="B4" s="160">
        <f>COUNTIF(Sprint!$A$4:$A$50, "Precondition")</f>
        <v>0</v>
      </c>
      <c r="C4" s="164" t="e">
        <f t="shared" si="0"/>
        <v>#DIV/0!</v>
      </c>
    </row>
    <row r="5" spans="1:3" ht="15">
      <c r="A5" s="159" t="s">
        <v>141</v>
      </c>
      <c r="B5" s="160">
        <f>COUNTIF(Sprint!$A$4:$A$50, "Spike")</f>
        <v>0</v>
      </c>
      <c r="C5" s="164" t="e">
        <f t="shared" si="0"/>
        <v>#DIV/0!</v>
      </c>
    </row>
    <row r="6" spans="1:3" ht="15">
      <c r="A6" s="161" t="s">
        <v>142</v>
      </c>
      <c r="B6" s="165">
        <f>SUM(B2:B5)</f>
        <v>0</v>
      </c>
      <c r="C6" s="166" t="e">
        <f>SUM(C2:C5)</f>
        <v>#DIV/0!</v>
      </c>
    </row>
    <row r="7" spans="1:3" ht="15">
      <c r="A7" s="160"/>
      <c r="B7" s="160"/>
    </row>
    <row r="8" spans="1:3" ht="15">
      <c r="A8" s="161" t="s">
        <v>143</v>
      </c>
      <c r="B8" s="160"/>
    </row>
    <row r="9" spans="1:3" ht="15">
      <c r="A9" s="159" t="s">
        <v>38</v>
      </c>
      <c r="B9" s="160">
        <f>COUNTIF(Sprint!$B$4:$B$167, "Deployment")</f>
        <v>0</v>
      </c>
      <c r="C9" s="164" t="e">
        <f>B9/$B$13</f>
        <v>#DIV/0!</v>
      </c>
    </row>
    <row r="10" spans="1:3" ht="15">
      <c r="A10" s="159" t="s">
        <v>144</v>
      </c>
      <c r="B10" s="160">
        <f>COUNTIF(Sprint!$B$4:$B$167, "Documentation")</f>
        <v>0</v>
      </c>
      <c r="C10" s="164" t="e">
        <f>B10/$B$13</f>
        <v>#DIV/0!</v>
      </c>
    </row>
    <row r="11" spans="1:3" ht="15">
      <c r="A11" s="159" t="s">
        <v>145</v>
      </c>
      <c r="B11" s="160">
        <f>COUNTIF(Sprint!$B$4:$B$167, "Testing")</f>
        <v>0</v>
      </c>
      <c r="C11" s="164" t="e">
        <f>B11/$B$13</f>
        <v>#DIV/0!</v>
      </c>
    </row>
    <row r="12" spans="1:3" ht="15">
      <c r="A12" s="159" t="s">
        <v>146</v>
      </c>
      <c r="B12" s="160">
        <f>COUNTIF(Sprint!$B$4:$B$167, "Project Mgt")</f>
        <v>0</v>
      </c>
      <c r="C12" s="164" t="e">
        <f>B12/$B$13</f>
        <v>#DIV/0!</v>
      </c>
    </row>
    <row r="13" spans="1:3" ht="15">
      <c r="A13" s="161" t="s">
        <v>142</v>
      </c>
      <c r="B13" s="163">
        <f>SUM(B9:B12)</f>
        <v>0</v>
      </c>
      <c r="C13" s="164" t="e">
        <f>SUM(C9:C12)</f>
        <v>#DIV/0!</v>
      </c>
    </row>
    <row r="15" spans="1:3" ht="15">
      <c r="A15" s="161" t="s">
        <v>147</v>
      </c>
    </row>
    <row r="16" spans="1:3" ht="15">
      <c r="A16" s="159" t="s">
        <v>57</v>
      </c>
      <c r="B16" s="160">
        <f>COUNTIF(Sprint!$G$4:$G$50, "Complete")</f>
        <v>15</v>
      </c>
      <c r="C16" s="164">
        <f>B16/$B$21</f>
        <v>0.9375</v>
      </c>
    </row>
    <row r="17" spans="1:3" ht="15">
      <c r="A17" s="159" t="s">
        <v>148</v>
      </c>
      <c r="B17" s="160">
        <f>COUNTIF(Sprint!$G$4:$G$50, "In Progress")</f>
        <v>0</v>
      </c>
      <c r="C17" s="164">
        <f t="shared" ref="C17:C20" si="1">B17/$B$21</f>
        <v>0</v>
      </c>
    </row>
    <row r="18" spans="1:3" ht="15">
      <c r="A18" s="159" t="s">
        <v>63</v>
      </c>
      <c r="B18" s="160">
        <f>COUNTIF(Sprint!$G$4:$G$50, "Pending")</f>
        <v>1</v>
      </c>
      <c r="C18" s="164">
        <f t="shared" si="1"/>
        <v>6.25E-2</v>
      </c>
    </row>
    <row r="19" spans="1:3" ht="15">
      <c r="A19" s="159" t="s">
        <v>149</v>
      </c>
      <c r="B19" s="160">
        <f>COUNTIF(Sprint!$G$4:$G$50, "Postponed")</f>
        <v>0</v>
      </c>
      <c r="C19" s="164">
        <f t="shared" si="1"/>
        <v>0</v>
      </c>
    </row>
    <row r="20" spans="1:3" ht="15">
      <c r="A20" s="159" t="s">
        <v>150</v>
      </c>
      <c r="B20" s="160">
        <f>COUNTIF(Sprint!$G$4:$G$50, "Cancelled")</f>
        <v>0</v>
      </c>
      <c r="C20" s="164">
        <f t="shared" si="1"/>
        <v>0</v>
      </c>
    </row>
    <row r="21" spans="1:3" ht="15">
      <c r="A21" s="161" t="s">
        <v>142</v>
      </c>
      <c r="B21" s="165">
        <f>SUM(B16:B20)</f>
        <v>16</v>
      </c>
      <c r="C21" s="167">
        <f>SUM(C16:C20)</f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9601560-d82e-4d3f-b045-50d21210eba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9419BD334C3A42BDDAF285F2A4C698" ma:contentTypeVersion="11" ma:contentTypeDescription="Create a new document." ma:contentTypeScope="" ma:versionID="9a3c931c06e7f58d05f68a85b5766b7e">
  <xsd:schema xmlns:xsd="http://www.w3.org/2001/XMLSchema" xmlns:xs="http://www.w3.org/2001/XMLSchema" xmlns:p="http://schemas.microsoft.com/office/2006/metadata/properties" xmlns:ns2="d9601560-d82e-4d3f-b045-50d21210eba3" targetNamespace="http://schemas.microsoft.com/office/2006/metadata/properties" ma:root="true" ma:fieldsID="e297de895b07d2b64b08cd53a752f0b3" ns2:_="">
    <xsd:import namespace="d9601560-d82e-4d3f-b045-50d21210eb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601560-d82e-4d3f-b045-50d21210eb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e49ff12-39f2-416e-aa91-245a66e610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667D3C-D4EE-4F9F-B6E1-1A326D9F2879}"/>
</file>

<file path=customXml/itemProps2.xml><?xml version="1.0" encoding="utf-8"?>
<ds:datastoreItem xmlns:ds="http://schemas.openxmlformats.org/officeDocument/2006/customXml" ds:itemID="{604080C9-E421-45CB-8308-70BDF88E9873}"/>
</file>

<file path=customXml/itemProps3.xml><?xml version="1.0" encoding="utf-8"?>
<ds:datastoreItem xmlns:ds="http://schemas.openxmlformats.org/officeDocument/2006/customXml" ds:itemID="{AC107B80-4800-46B0-B146-EE7B97851B5D}"/>
</file>

<file path=docMetadata/LabelInfo.xml><?xml version="1.0" encoding="utf-8"?>
<clbl:labelList xmlns:clbl="http://schemas.microsoft.com/office/2020/mipLabelMetadata">
  <clbl:label id="{eaab77ea-b4a5-49e3-a1e8-d6dd23a1f286}" enabled="0" method="" siteId="{eaab77ea-b4a5-49e3-a1e8-d6dd23a1f28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and Sprint Backlog</dc:title>
  <dc:subject>Agile Project Tracking</dc:subject>
  <dc:creator>Mitch Lacey</dc:creator>
  <cp:keywords/>
  <dc:description/>
  <cp:lastModifiedBy>Simon Cameron-Leckey</cp:lastModifiedBy>
  <cp:revision>1</cp:revision>
  <dcterms:created xsi:type="dcterms:W3CDTF">2005-01-26T21:50:47Z</dcterms:created>
  <dcterms:modified xsi:type="dcterms:W3CDTF">2024-02-29T11:42:32Z</dcterms:modified>
  <cp:category>Project Management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 Category">
    <vt:lpwstr>01 Planning Doc</vt:lpwstr>
  </property>
  <property fmtid="{D5CDD505-2E9C-101B-9397-08002B2CF9AE}" pid="3" name="At a Glance">
    <vt:lpwstr>0</vt:lpwstr>
  </property>
  <property fmtid="{D5CDD505-2E9C-101B-9397-08002B2CF9AE}" pid="4" name="Project Category">
    <vt:lpwstr>Entertainment (depth)</vt:lpwstr>
  </property>
  <property fmtid="{D5CDD505-2E9C-101B-9397-08002B2CF9AE}" pid="5" name="ContentTypeId">
    <vt:lpwstr>0x010100169419BD334C3A42BDDAF285F2A4C698</vt:lpwstr>
  </property>
  <property fmtid="{D5CDD505-2E9C-101B-9397-08002B2CF9AE}" pid="6" name="MediaServiceImageTags">
    <vt:lpwstr/>
  </property>
</Properties>
</file>