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Xiao\Desktop\Cluster code_Seattle\"/>
    </mc:Choice>
  </mc:AlternateContent>
  <bookViews>
    <workbookView xWindow="0" yWindow="0" windowWidth="28800" windowHeight="12000" firstSheet="2" activeTab="5"/>
  </bookViews>
  <sheets>
    <sheet name="ATL - 17 Targets - Working" sheetId="9" r:id="rId1"/>
    <sheet name="BAL - 17 Targets - Working" sheetId="8" r:id="rId2"/>
    <sheet name="LA - 17 Targets - Working" sheetId="5" r:id="rId3"/>
    <sheet name="MIA - 17 Targets - Working" sheetId="10" r:id="rId4"/>
    <sheet name="NYC - 17 Targets - Working" sheetId="11" r:id="rId5"/>
    <sheet name="SEA - 17 Targets - Working" sheetId="7" r:id="rId6"/>
    <sheet name="NYC" sheetId="1" r:id="rId7"/>
    <sheet name="NYC outside percent" sheetId="2" r:id="rId8"/>
    <sheet name="LA - 17 Targets" sheetId="6" state="hidden" r:id="rId9"/>
  </sheets>
  <definedNames>
    <definedName name="_xlnm._FilterDatabase" localSheetId="0" hidden="1">'ATL - 17 Targets - Working'!#REF!</definedName>
    <definedName name="_xlnm._FilterDatabase" localSheetId="1" hidden="1">'BAL - 17 Targets - Working'!#REF!</definedName>
    <definedName name="_xlnm._FilterDatabase" localSheetId="8" hidden="1">'LA - 17 Targets'!#REF!</definedName>
    <definedName name="_xlnm._FilterDatabase" localSheetId="2" hidden="1">'LA - 17 Targets - Working'!#REF!</definedName>
    <definedName name="_xlnm._FilterDatabase" localSheetId="3" hidden="1">'MIA - 17 Targets - Working'!#REF!</definedName>
    <definedName name="_xlnm._FilterDatabase" localSheetId="6" hidden="1">NYC!$A$1:$J$857</definedName>
    <definedName name="_xlnm._FilterDatabase" localSheetId="4" hidden="1">'NYC - 17 Targets - Working'!#REF!</definedName>
    <definedName name="_xlnm._FilterDatabase" localSheetId="7" hidden="1">'NYC outside percent'!$A$1:$F$91</definedName>
    <definedName name="_xlnm._FilterDatabase" localSheetId="5" hidden="1">'SEA - 17 Targets - Working'!#REF!</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84" i="7" l="1"/>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13" i="5"/>
  <c r="R4" i="5"/>
  <c r="R5" i="5"/>
  <c r="R6" i="5"/>
  <c r="R7" i="5"/>
  <c r="R8" i="5"/>
  <c r="R9" i="5"/>
  <c r="R10" i="5"/>
  <c r="R11" i="5"/>
  <c r="R12" i="5"/>
  <c r="K305" i="7"/>
  <c r="J305" i="7"/>
  <c r="K298" i="7"/>
  <c r="J298" i="7"/>
  <c r="K291" i="7"/>
  <c r="J291" i="7"/>
  <c r="K284" i="7"/>
  <c r="K337" i="10"/>
  <c r="J337" i="10"/>
  <c r="F337" i="10"/>
  <c r="K330" i="10"/>
  <c r="J330" i="10"/>
  <c r="F330" i="10"/>
  <c r="K323" i="10"/>
  <c r="J323" i="10"/>
  <c r="F323" i="10"/>
  <c r="J316" i="10"/>
  <c r="K316" i="10"/>
  <c r="F316" i="10"/>
  <c r="L305" i="5"/>
  <c r="K305" i="5"/>
  <c r="G305" i="5"/>
  <c r="L298" i="5"/>
  <c r="K298" i="5"/>
  <c r="G298" i="5"/>
  <c r="L291" i="5"/>
  <c r="K291" i="5"/>
  <c r="G291" i="5"/>
  <c r="K284" i="5"/>
  <c r="L284" i="5"/>
  <c r="G284" i="5"/>
  <c r="F291" i="8"/>
  <c r="K305" i="8"/>
  <c r="J305" i="8"/>
  <c r="F305" i="8"/>
  <c r="K298" i="8"/>
  <c r="J298" i="8"/>
  <c r="F298" i="8"/>
  <c r="K291" i="8"/>
  <c r="J291" i="8"/>
  <c r="K284" i="8"/>
  <c r="J284" i="8"/>
  <c r="F284" i="8"/>
  <c r="K305" i="9"/>
  <c r="J305" i="9"/>
  <c r="F305" i="9"/>
  <c r="F298" i="9"/>
  <c r="K298" i="9"/>
  <c r="J298" i="9"/>
  <c r="K291" i="9"/>
  <c r="J291" i="9"/>
  <c r="F291" i="9"/>
  <c r="J284" i="9"/>
  <c r="K284" i="9"/>
  <c r="F284" i="9"/>
  <c r="F42" i="9"/>
  <c r="J39" i="7"/>
  <c r="J40" i="7"/>
  <c r="J2" i="9"/>
  <c r="F64" i="9"/>
  <c r="F65" i="9"/>
  <c r="F66" i="9"/>
  <c r="F127" i="9"/>
  <c r="F128" i="9"/>
  <c r="F129" i="9"/>
  <c r="F193" i="9"/>
  <c r="F194" i="9"/>
  <c r="F195" i="9"/>
  <c r="F199" i="9"/>
  <c r="F206" i="9"/>
  <c r="F210" i="9"/>
  <c r="F262" i="9"/>
  <c r="F263" i="9"/>
  <c r="F264" i="9"/>
  <c r="J217" i="9"/>
  <c r="J237" i="9"/>
  <c r="J233" i="9"/>
  <c r="J229" i="9"/>
  <c r="J222" i="9"/>
  <c r="J218" i="9"/>
  <c r="J85" i="9"/>
  <c r="J89" i="9"/>
  <c r="J96" i="9"/>
  <c r="J21" i="9"/>
  <c r="J25" i="9"/>
  <c r="J32" i="9"/>
  <c r="J241" i="9"/>
  <c r="J242" i="9"/>
  <c r="J243" i="9"/>
  <c r="J106" i="9"/>
  <c r="J107" i="9"/>
  <c r="J108" i="9"/>
  <c r="J57" i="9"/>
  <c r="J53" i="9"/>
  <c r="J46" i="9"/>
  <c r="F65" i="5"/>
  <c r="F66" i="5"/>
  <c r="F67" i="5"/>
  <c r="F68" i="5"/>
  <c r="F69" i="5"/>
  <c r="F70" i="5"/>
  <c r="F71" i="5"/>
  <c r="F72" i="5"/>
  <c r="F73" i="5"/>
  <c r="F74" i="5"/>
  <c r="F75" i="5"/>
  <c r="F76" i="5"/>
  <c r="F77" i="5"/>
  <c r="F78" i="5"/>
  <c r="F79" i="5"/>
  <c r="F80" i="5"/>
  <c r="F81" i="5"/>
  <c r="F82" i="5"/>
  <c r="F83" i="5"/>
  <c r="F84" i="5"/>
  <c r="F64" i="5"/>
  <c r="F128" i="5"/>
  <c r="F129" i="5"/>
  <c r="F130" i="5"/>
  <c r="F131" i="5"/>
  <c r="F132" i="5"/>
  <c r="F133" i="5"/>
  <c r="F134" i="5"/>
  <c r="F135" i="5"/>
  <c r="F136" i="5"/>
  <c r="F137" i="5"/>
  <c r="F138" i="5"/>
  <c r="F139" i="5"/>
  <c r="F140" i="5"/>
  <c r="F141" i="5"/>
  <c r="F142" i="5"/>
  <c r="F143" i="5"/>
  <c r="F144" i="5"/>
  <c r="F145" i="5"/>
  <c r="F146" i="5"/>
  <c r="F147" i="5"/>
  <c r="F127" i="5"/>
  <c r="F194" i="5"/>
  <c r="F195" i="5"/>
  <c r="F196" i="5"/>
  <c r="F197" i="5"/>
  <c r="F198" i="5"/>
  <c r="F199" i="5"/>
  <c r="F200" i="5"/>
  <c r="F201" i="5"/>
  <c r="F202" i="5"/>
  <c r="F203" i="5"/>
  <c r="F204" i="5"/>
  <c r="F205" i="5"/>
  <c r="F206" i="5"/>
  <c r="F207" i="5"/>
  <c r="F208" i="5"/>
  <c r="F209" i="5"/>
  <c r="F210" i="5"/>
  <c r="F211" i="5"/>
  <c r="F212" i="5"/>
  <c r="F213" i="5"/>
  <c r="F214" i="5"/>
  <c r="F215" i="5"/>
  <c r="F216" i="5"/>
  <c r="F193" i="5"/>
  <c r="F263" i="5"/>
  <c r="F264" i="5"/>
  <c r="F265" i="5"/>
  <c r="F266" i="5"/>
  <c r="F267" i="5"/>
  <c r="F268" i="5"/>
  <c r="F269" i="5"/>
  <c r="F270" i="5"/>
  <c r="F271" i="5"/>
  <c r="F272" i="5"/>
  <c r="F273" i="5"/>
  <c r="F274" i="5"/>
  <c r="F275" i="5"/>
  <c r="F276" i="5"/>
  <c r="F277" i="5"/>
  <c r="F278" i="5"/>
  <c r="F279" i="5"/>
  <c r="F280" i="5"/>
  <c r="F281" i="5"/>
  <c r="F282" i="5"/>
  <c r="F262" i="5"/>
  <c r="F2" i="10"/>
  <c r="F21" i="10"/>
  <c r="F25" i="10"/>
  <c r="F32" i="10"/>
  <c r="F93" i="10"/>
  <c r="F97" i="10"/>
  <c r="F104" i="10"/>
  <c r="F164" i="10"/>
  <c r="F184" i="10"/>
  <c r="F180" i="10"/>
  <c r="F241" i="10"/>
  <c r="F261" i="10"/>
  <c r="F257" i="10"/>
  <c r="F253" i="10"/>
  <c r="F246" i="10"/>
  <c r="F242" i="10"/>
  <c r="F176" i="10"/>
  <c r="F169" i="10"/>
  <c r="F165" i="10"/>
  <c r="J128" i="8"/>
  <c r="J210" i="8"/>
  <c r="J206" i="8"/>
  <c r="J199" i="8"/>
  <c r="J194" i="8"/>
  <c r="J263" i="8"/>
  <c r="J65" i="8"/>
  <c r="F286" i="10"/>
  <c r="F287" i="10"/>
  <c r="F288" i="10"/>
  <c r="F289" i="10"/>
  <c r="F290" i="10"/>
  <c r="F291" i="10"/>
  <c r="F292" i="10"/>
  <c r="F293" i="10"/>
  <c r="F294" i="10"/>
  <c r="F295" i="10"/>
  <c r="F210" i="10"/>
  <c r="F209" i="10"/>
  <c r="F211" i="10"/>
  <c r="F212" i="10"/>
  <c r="F213" i="10"/>
  <c r="F214" i="10"/>
  <c r="F215" i="10"/>
  <c r="F216" i="10"/>
  <c r="F217" i="10"/>
  <c r="F218" i="10"/>
  <c r="F136" i="10"/>
  <c r="F137" i="10"/>
  <c r="F138" i="10"/>
  <c r="F139" i="10"/>
  <c r="F140" i="10"/>
  <c r="F141" i="10"/>
  <c r="F142" i="10"/>
  <c r="F143" i="10"/>
  <c r="F144" i="10"/>
  <c r="F145" i="10"/>
  <c r="F65" i="10"/>
  <c r="F66" i="10"/>
  <c r="F67" i="10"/>
  <c r="F71" i="10"/>
  <c r="F72" i="10"/>
  <c r="F73" i="10"/>
  <c r="F69" i="10"/>
  <c r="F70" i="10"/>
  <c r="F135" i="10"/>
  <c r="F161" i="11"/>
  <c r="F162" i="11"/>
  <c r="F163" i="11"/>
  <c r="F223" i="11"/>
  <c r="F224" i="11"/>
  <c r="F225" i="11"/>
  <c r="F99" i="11"/>
  <c r="F100" i="11"/>
  <c r="F101" i="11"/>
  <c r="F40" i="11"/>
  <c r="F264" i="11"/>
  <c r="F263" i="11"/>
  <c r="F262" i="11"/>
  <c r="F261" i="11"/>
  <c r="F260" i="11"/>
  <c r="F259" i="11"/>
  <c r="F258" i="11"/>
  <c r="F257" i="11"/>
  <c r="F256" i="11"/>
  <c r="F255" i="11"/>
  <c r="F254" i="11"/>
  <c r="F253" i="11"/>
  <c r="F252" i="11"/>
  <c r="F251" i="11"/>
  <c r="F250" i="11"/>
  <c r="F249" i="11"/>
  <c r="F248" i="11"/>
  <c r="F247" i="11"/>
  <c r="F243" i="11"/>
  <c r="F242" i="11"/>
  <c r="F241" i="11"/>
  <c r="F240" i="11"/>
  <c r="F239" i="11"/>
  <c r="F238" i="11"/>
  <c r="F237" i="11"/>
  <c r="F236" i="11"/>
  <c r="F235" i="11"/>
  <c r="F234" i="11"/>
  <c r="F233" i="11"/>
  <c r="F232" i="11"/>
  <c r="F231" i="11"/>
  <c r="F230" i="11"/>
  <c r="F229" i="11"/>
  <c r="F228" i="11"/>
  <c r="F227" i="11"/>
  <c r="F226" i="11"/>
  <c r="F222" i="11"/>
  <c r="F221" i="11"/>
  <c r="F220" i="11"/>
  <c r="F219" i="11"/>
  <c r="F218" i="11"/>
  <c r="F217" i="11"/>
  <c r="F216" i="11"/>
  <c r="F215" i="11"/>
  <c r="F214" i="11"/>
  <c r="F213" i="11"/>
  <c r="F212" i="11"/>
  <c r="F211" i="11"/>
  <c r="F210" i="11"/>
  <c r="F209" i="11"/>
  <c r="F208" i="11"/>
  <c r="F207" i="11"/>
  <c r="F206" i="11"/>
  <c r="F205" i="11"/>
  <c r="F202" i="11"/>
  <c r="F201" i="11"/>
  <c r="F200" i="11"/>
  <c r="F199" i="11"/>
  <c r="F198" i="11"/>
  <c r="F197" i="11"/>
  <c r="F196" i="11"/>
  <c r="F195" i="11"/>
  <c r="F194" i="11"/>
  <c r="F193" i="11"/>
  <c r="F192" i="11"/>
  <c r="F191" i="11"/>
  <c r="F190" i="11"/>
  <c r="F189" i="11"/>
  <c r="F188" i="11"/>
  <c r="F187" i="11"/>
  <c r="F186" i="11"/>
  <c r="F185" i="11"/>
  <c r="F181" i="11"/>
  <c r="F180" i="11"/>
  <c r="F179" i="11"/>
  <c r="F178" i="11"/>
  <c r="F177" i="11"/>
  <c r="F176" i="11"/>
  <c r="F175" i="11"/>
  <c r="F174" i="11"/>
  <c r="F173" i="11"/>
  <c r="F172" i="11"/>
  <c r="F171" i="11"/>
  <c r="F170" i="11"/>
  <c r="F169" i="11"/>
  <c r="F168" i="11"/>
  <c r="F167" i="11"/>
  <c r="F166" i="11"/>
  <c r="F165" i="11"/>
  <c r="F164" i="11"/>
  <c r="F160" i="11"/>
  <c r="F159" i="11"/>
  <c r="F158" i="11"/>
  <c r="F157" i="11"/>
  <c r="F156" i="11"/>
  <c r="F155" i="11"/>
  <c r="F154" i="11"/>
  <c r="F153" i="11"/>
  <c r="F152" i="11"/>
  <c r="F151" i="11"/>
  <c r="F150" i="11"/>
  <c r="F149" i="11"/>
  <c r="F148" i="11"/>
  <c r="F147" i="11"/>
  <c r="F146" i="11"/>
  <c r="F145" i="11"/>
  <c r="F144" i="11"/>
  <c r="F143" i="11"/>
  <c r="F140" i="11"/>
  <c r="F139" i="11"/>
  <c r="F138" i="11"/>
  <c r="F137" i="11"/>
  <c r="F136" i="11"/>
  <c r="F135" i="11"/>
  <c r="F134" i="11"/>
  <c r="F133" i="11"/>
  <c r="F132" i="11"/>
  <c r="F131" i="11"/>
  <c r="F130" i="11"/>
  <c r="F129" i="11"/>
  <c r="F128" i="11"/>
  <c r="F127" i="11"/>
  <c r="F126" i="11"/>
  <c r="F125" i="11"/>
  <c r="F124" i="11"/>
  <c r="F123" i="11"/>
  <c r="F119" i="11"/>
  <c r="F118" i="11"/>
  <c r="F117" i="11"/>
  <c r="F116" i="11"/>
  <c r="F115" i="11"/>
  <c r="F114" i="11"/>
  <c r="F113" i="11"/>
  <c r="F112" i="11"/>
  <c r="F111" i="11"/>
  <c r="F110" i="11"/>
  <c r="F109" i="11"/>
  <c r="F108" i="11"/>
  <c r="F107" i="11"/>
  <c r="F106" i="11"/>
  <c r="F105" i="11"/>
  <c r="F104" i="11"/>
  <c r="F103" i="11"/>
  <c r="F102"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58" i="11"/>
  <c r="F57" i="11"/>
  <c r="F56" i="11"/>
  <c r="F55" i="11"/>
  <c r="F54" i="11"/>
  <c r="F53" i="11"/>
  <c r="F52" i="11"/>
  <c r="F51" i="11"/>
  <c r="F50" i="11"/>
  <c r="F49" i="11"/>
  <c r="F48" i="11"/>
  <c r="F47" i="11"/>
  <c r="F46" i="11"/>
  <c r="F45" i="11"/>
  <c r="F44" i="11"/>
  <c r="F43" i="11"/>
  <c r="F42" i="11"/>
  <c r="F41" i="11"/>
  <c r="F39" i="11"/>
  <c r="F38" i="11"/>
  <c r="F37" i="11"/>
  <c r="F36" i="11"/>
  <c r="F35" i="11"/>
  <c r="F34" i="11"/>
  <c r="F33" i="11"/>
  <c r="F32" i="11"/>
  <c r="F31" i="11"/>
  <c r="F30" i="11"/>
  <c r="F29" i="11"/>
  <c r="F28" i="11"/>
  <c r="F27" i="11"/>
  <c r="F26" i="11"/>
  <c r="F25" i="11"/>
  <c r="F24" i="11"/>
  <c r="F23" i="11"/>
  <c r="F22" i="11"/>
  <c r="F20" i="11"/>
  <c r="F19" i="11"/>
  <c r="F18" i="11"/>
  <c r="F17" i="11"/>
  <c r="F16" i="11"/>
  <c r="F15" i="11"/>
  <c r="F14" i="11"/>
  <c r="F13" i="11"/>
  <c r="F12" i="11"/>
  <c r="F11" i="11"/>
  <c r="F10" i="11"/>
  <c r="F9" i="11"/>
  <c r="F8" i="11"/>
  <c r="F7" i="11"/>
  <c r="F6" i="11"/>
  <c r="F5" i="11"/>
  <c r="F4" i="11"/>
  <c r="F3" i="11"/>
  <c r="F21" i="11"/>
  <c r="F141" i="11"/>
  <c r="F142" i="11"/>
  <c r="F203" i="11"/>
  <c r="F204" i="11"/>
  <c r="F183" i="11"/>
  <c r="F2" i="11"/>
  <c r="F244" i="11"/>
  <c r="F246" i="11"/>
  <c r="F184" i="11"/>
  <c r="F182" i="11"/>
  <c r="F245" i="11"/>
  <c r="F122" i="11"/>
  <c r="F120" i="11"/>
  <c r="F121" i="11"/>
  <c r="F61" i="11"/>
  <c r="F59" i="11"/>
  <c r="F60" i="11"/>
  <c r="K148" i="5"/>
  <c r="K85" i="5"/>
  <c r="K21" i="5"/>
  <c r="K2" i="5"/>
  <c r="J173" i="9"/>
  <c r="J172" i="9"/>
  <c r="J174" i="9"/>
  <c r="J164" i="10"/>
  <c r="J184" i="10"/>
  <c r="J180" i="10"/>
  <c r="J176" i="10"/>
  <c r="J169" i="10"/>
  <c r="J165" i="10"/>
  <c r="J261" i="10"/>
  <c r="J257" i="10"/>
  <c r="J246" i="10"/>
  <c r="J57" i="10"/>
  <c r="J46" i="10"/>
  <c r="J266" i="10"/>
  <c r="J267" i="10"/>
  <c r="J188" i="10"/>
  <c r="J189" i="10"/>
  <c r="J190" i="10"/>
  <c r="J114" i="10"/>
  <c r="J115" i="10"/>
  <c r="J116" i="10"/>
  <c r="J22" i="7"/>
  <c r="J153" i="7"/>
  <c r="J167" i="7"/>
  <c r="J166" i="7"/>
  <c r="J169" i="7"/>
  <c r="J168" i="7"/>
  <c r="J171" i="7"/>
  <c r="J170" i="7"/>
  <c r="J150" i="7"/>
  <c r="J149" i="7"/>
  <c r="J161" i="7"/>
  <c r="J160" i="7"/>
  <c r="J154" i="7"/>
  <c r="J157" i="7"/>
  <c r="J165" i="7"/>
  <c r="J164" i="7"/>
  <c r="J148" i="7"/>
  <c r="F314" i="10"/>
  <c r="F313" i="10"/>
  <c r="F312" i="10"/>
  <c r="F311" i="10"/>
  <c r="F310" i="10"/>
  <c r="F309" i="10"/>
  <c r="F308" i="10"/>
  <c r="F307" i="10"/>
  <c r="F306" i="10"/>
  <c r="F305" i="10"/>
  <c r="F304" i="10"/>
  <c r="F303" i="10"/>
  <c r="F302" i="10"/>
  <c r="F301" i="10"/>
  <c r="F300" i="10"/>
  <c r="F299" i="10"/>
  <c r="F298" i="10"/>
  <c r="F297" i="10"/>
  <c r="F29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0" i="10"/>
  <c r="F259" i="10"/>
  <c r="F258" i="10"/>
  <c r="F256" i="10"/>
  <c r="F255" i="10"/>
  <c r="F254" i="10"/>
  <c r="F252" i="10"/>
  <c r="F251" i="10"/>
  <c r="F250" i="10"/>
  <c r="F249" i="10"/>
  <c r="F248" i="10"/>
  <c r="F247" i="10"/>
  <c r="F245" i="10"/>
  <c r="F244" i="10"/>
  <c r="F243" i="10"/>
  <c r="F240" i="10"/>
  <c r="F239" i="10"/>
  <c r="F238" i="10"/>
  <c r="F237" i="10"/>
  <c r="F236" i="10"/>
  <c r="F235" i="10"/>
  <c r="F234" i="10"/>
  <c r="F233" i="10"/>
  <c r="F232" i="10"/>
  <c r="F231" i="10"/>
  <c r="F230" i="10"/>
  <c r="F229" i="10"/>
  <c r="F228" i="10"/>
  <c r="F227" i="10"/>
  <c r="F226" i="10"/>
  <c r="F225" i="10"/>
  <c r="F224" i="10"/>
  <c r="F223" i="10"/>
  <c r="F222" i="10"/>
  <c r="F221" i="10"/>
  <c r="F220" i="10"/>
  <c r="F21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3" i="10"/>
  <c r="F182" i="10"/>
  <c r="F181" i="10"/>
  <c r="F179" i="10"/>
  <c r="F178" i="10"/>
  <c r="F177" i="10"/>
  <c r="F175" i="10"/>
  <c r="F174" i="10"/>
  <c r="F173" i="10"/>
  <c r="F172" i="10"/>
  <c r="F171" i="10"/>
  <c r="F170" i="10"/>
  <c r="F168" i="10"/>
  <c r="F167" i="10"/>
  <c r="F166" i="10"/>
  <c r="F163" i="10"/>
  <c r="F162" i="10"/>
  <c r="F161" i="10"/>
  <c r="F160" i="10"/>
  <c r="F159" i="10"/>
  <c r="F158" i="10"/>
  <c r="F157" i="10"/>
  <c r="F156" i="10"/>
  <c r="F155" i="10"/>
  <c r="F154" i="10"/>
  <c r="F153" i="10"/>
  <c r="F152" i="10"/>
  <c r="F151" i="10"/>
  <c r="F150" i="10"/>
  <c r="F149" i="10"/>
  <c r="F148" i="10"/>
  <c r="F147" i="10"/>
  <c r="F146"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3" i="10"/>
  <c r="F102" i="10"/>
  <c r="F101" i="10"/>
  <c r="F100" i="10"/>
  <c r="F99" i="10"/>
  <c r="F98" i="10"/>
  <c r="F96" i="10"/>
  <c r="F95" i="10"/>
  <c r="F94" i="10"/>
  <c r="F92" i="10"/>
  <c r="F91" i="10"/>
  <c r="F90" i="10"/>
  <c r="F89" i="10"/>
  <c r="F88" i="10"/>
  <c r="F87" i="10"/>
  <c r="F86" i="10"/>
  <c r="F85" i="10"/>
  <c r="F84" i="10"/>
  <c r="F83" i="10"/>
  <c r="F82" i="10"/>
  <c r="F81" i="10"/>
  <c r="F80" i="10"/>
  <c r="F79" i="10"/>
  <c r="F78" i="10"/>
  <c r="F77" i="10"/>
  <c r="F76" i="10"/>
  <c r="F75" i="10"/>
  <c r="F74" i="10"/>
  <c r="F68"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1" i="10"/>
  <c r="F30" i="10"/>
  <c r="F29" i="10"/>
  <c r="F28" i="10"/>
  <c r="F27" i="10"/>
  <c r="F26" i="10"/>
  <c r="F24" i="10"/>
  <c r="F23" i="10"/>
  <c r="F22" i="10"/>
  <c r="F20" i="10"/>
  <c r="F19" i="10"/>
  <c r="F18" i="10"/>
  <c r="F17" i="10"/>
  <c r="F16" i="10"/>
  <c r="F15" i="10"/>
  <c r="F14" i="10"/>
  <c r="F13" i="10"/>
  <c r="F12" i="10"/>
  <c r="F11" i="10"/>
  <c r="F10" i="10"/>
  <c r="F9" i="10"/>
  <c r="F8" i="10"/>
  <c r="F7" i="10"/>
  <c r="F6" i="10"/>
  <c r="F5" i="10"/>
  <c r="F4" i="10"/>
  <c r="F3" i="10"/>
  <c r="F282" i="9"/>
  <c r="F281" i="9"/>
  <c r="F280" i="9"/>
  <c r="F279" i="9"/>
  <c r="F278" i="9"/>
  <c r="F277" i="9"/>
  <c r="F276" i="9"/>
  <c r="F275" i="9"/>
  <c r="F274" i="9"/>
  <c r="F273" i="9"/>
  <c r="F272" i="9"/>
  <c r="F271" i="9"/>
  <c r="F270" i="9"/>
  <c r="F269" i="9"/>
  <c r="F268" i="9"/>
  <c r="F267" i="9"/>
  <c r="F266" i="9"/>
  <c r="F265" i="9"/>
  <c r="F261" i="9"/>
  <c r="F260" i="9"/>
  <c r="F259" i="9"/>
  <c r="F258" i="9"/>
  <c r="F257" i="9"/>
  <c r="F256" i="9"/>
  <c r="F255" i="9"/>
  <c r="F254" i="9"/>
  <c r="F253" i="9"/>
  <c r="F252" i="9"/>
  <c r="F251" i="9"/>
  <c r="F250" i="9"/>
  <c r="F249" i="9"/>
  <c r="F248" i="9"/>
  <c r="F247" i="9"/>
  <c r="F246" i="9"/>
  <c r="F245" i="9"/>
  <c r="F244" i="9"/>
  <c r="F243" i="9"/>
  <c r="F242" i="9"/>
  <c r="F241" i="9"/>
  <c r="F240" i="9"/>
  <c r="F239" i="9"/>
  <c r="F238" i="9"/>
  <c r="F23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09" i="9"/>
  <c r="F208" i="9"/>
  <c r="F207" i="9"/>
  <c r="F205" i="9"/>
  <c r="F204" i="9"/>
  <c r="F203" i="9"/>
  <c r="F202" i="9"/>
  <c r="F201" i="9"/>
  <c r="F200" i="9"/>
  <c r="F198" i="9"/>
  <c r="F197" i="9"/>
  <c r="F196" i="9"/>
  <c r="F192" i="9"/>
  <c r="F191" i="9"/>
  <c r="F190" i="9"/>
  <c r="F189" i="9"/>
  <c r="F188" i="9"/>
  <c r="F187" i="9"/>
  <c r="F186" i="9"/>
  <c r="F185" i="9"/>
  <c r="F184" i="9"/>
  <c r="F183" i="9"/>
  <c r="F182" i="9"/>
  <c r="F181" i="9"/>
  <c r="F180" i="9"/>
  <c r="F179" i="9"/>
  <c r="F178" i="9"/>
  <c r="F177" i="9"/>
  <c r="F176" i="9"/>
  <c r="F175" i="9"/>
  <c r="F174" i="9"/>
  <c r="F173" i="9"/>
  <c r="F172" i="9"/>
  <c r="F171" i="9"/>
  <c r="F170" i="9"/>
  <c r="F169" i="9"/>
  <c r="F167" i="9"/>
  <c r="F166" i="9"/>
  <c r="F165" i="9"/>
  <c r="F163" i="9"/>
  <c r="F162" i="9"/>
  <c r="F161" i="9"/>
  <c r="F159" i="9"/>
  <c r="F158" i="9"/>
  <c r="F157" i="9"/>
  <c r="F156" i="9"/>
  <c r="F155" i="9"/>
  <c r="F154" i="9"/>
  <c r="F152" i="9"/>
  <c r="F151" i="9"/>
  <c r="F150" i="9"/>
  <c r="F147" i="9"/>
  <c r="F146" i="9"/>
  <c r="F145" i="9"/>
  <c r="F144" i="9"/>
  <c r="F143" i="9"/>
  <c r="F142" i="9"/>
  <c r="F141" i="9"/>
  <c r="F140" i="9"/>
  <c r="F139" i="9"/>
  <c r="F138" i="9"/>
  <c r="F137" i="9"/>
  <c r="F136" i="9"/>
  <c r="F135" i="9"/>
  <c r="F134" i="9"/>
  <c r="F133" i="9"/>
  <c r="F132" i="9"/>
  <c r="F131" i="9"/>
  <c r="F130"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3" i="9"/>
  <c r="F62" i="9"/>
  <c r="F61" i="9"/>
  <c r="F60" i="9"/>
  <c r="F59" i="9"/>
  <c r="F58" i="9"/>
  <c r="F57" i="9"/>
  <c r="F56" i="9"/>
  <c r="F55" i="9"/>
  <c r="F54" i="9"/>
  <c r="F53" i="9"/>
  <c r="F52" i="9"/>
  <c r="F51" i="9"/>
  <c r="F50" i="9"/>
  <c r="F49" i="9"/>
  <c r="F48" i="9"/>
  <c r="F47" i="9"/>
  <c r="F46" i="9"/>
  <c r="F45" i="9"/>
  <c r="F44" i="9"/>
  <c r="F43"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64" i="9"/>
  <c r="F168" i="9"/>
  <c r="F153" i="9"/>
  <c r="F149" i="9"/>
  <c r="F148" i="9"/>
  <c r="F160" i="9"/>
  <c r="F282" i="8"/>
  <c r="F281" i="8"/>
  <c r="F280" i="8"/>
  <c r="F279" i="8"/>
  <c r="F278" i="8"/>
  <c r="F277" i="8"/>
  <c r="F276" i="8"/>
  <c r="F275" i="8"/>
  <c r="F274" i="8"/>
  <c r="F273" i="8"/>
  <c r="F272"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0" i="8"/>
  <c r="F239" i="8"/>
  <c r="F238" i="8"/>
  <c r="F236" i="8"/>
  <c r="F235" i="8"/>
  <c r="F234" i="8"/>
  <c r="F232" i="8"/>
  <c r="F231" i="8"/>
  <c r="F230" i="8"/>
  <c r="F229" i="8"/>
  <c r="F228" i="8"/>
  <c r="F227" i="8"/>
  <c r="F226" i="8"/>
  <c r="F225" i="8"/>
  <c r="F224" i="8"/>
  <c r="F223" i="8"/>
  <c r="F221" i="8"/>
  <c r="F220" i="8"/>
  <c r="F219" i="8"/>
  <c r="F216" i="8"/>
  <c r="F215" i="8"/>
  <c r="F214" i="8"/>
  <c r="F213" i="8"/>
  <c r="F212" i="8"/>
  <c r="F211" i="8"/>
  <c r="F210" i="8"/>
  <c r="F209" i="8"/>
  <c r="F208" i="8"/>
  <c r="F207" i="8"/>
  <c r="F206" i="8"/>
  <c r="F205" i="8"/>
  <c r="F204" i="8"/>
  <c r="F203" i="8"/>
  <c r="F202" i="8"/>
  <c r="F201" i="8"/>
  <c r="F200" i="8"/>
  <c r="F199" i="8"/>
  <c r="F198" i="8"/>
  <c r="F197" i="8"/>
  <c r="F196" i="8"/>
  <c r="F195" i="8"/>
  <c r="F194" i="8"/>
  <c r="F193" i="8"/>
  <c r="F192" i="8"/>
  <c r="F191" i="8"/>
  <c r="F190" i="8"/>
  <c r="F189" i="8"/>
  <c r="F188" i="8"/>
  <c r="F187" i="8"/>
  <c r="F186" i="8"/>
  <c r="F185" i="8"/>
  <c r="F184" i="8"/>
  <c r="F183" i="8"/>
  <c r="F182" i="8"/>
  <c r="F181" i="8"/>
  <c r="F180" i="8"/>
  <c r="F179" i="8"/>
  <c r="F178" i="8"/>
  <c r="F177" i="8"/>
  <c r="F176" i="8"/>
  <c r="F175" i="8"/>
  <c r="F171" i="8"/>
  <c r="F170" i="8"/>
  <c r="F169" i="8"/>
  <c r="F167" i="8"/>
  <c r="F166" i="8"/>
  <c r="F165" i="8"/>
  <c r="F164" i="8"/>
  <c r="F163" i="8"/>
  <c r="F162" i="8"/>
  <c r="F161" i="8"/>
  <c r="F160" i="8"/>
  <c r="F159" i="8"/>
  <c r="F158" i="8"/>
  <c r="F157" i="8"/>
  <c r="F156" i="8"/>
  <c r="F155" i="8"/>
  <c r="F154" i="8"/>
  <c r="F152" i="8"/>
  <c r="F151" i="8"/>
  <c r="F150" i="8"/>
  <c r="F147" i="8"/>
  <c r="F146" i="8"/>
  <c r="F145" i="8"/>
  <c r="F144" i="8"/>
  <c r="F143" i="8"/>
  <c r="F142" i="8"/>
  <c r="F141" i="8"/>
  <c r="F140" i="8"/>
  <c r="F139" i="8"/>
  <c r="F138" i="8"/>
  <c r="F137" i="8"/>
  <c r="F136" i="8"/>
  <c r="F135" i="8"/>
  <c r="F134" i="8"/>
  <c r="F133" i="8"/>
  <c r="F132" i="8"/>
  <c r="F131" i="8"/>
  <c r="F130" i="8"/>
  <c r="F129" i="8"/>
  <c r="F128" i="8"/>
  <c r="F127" i="8"/>
  <c r="F126" i="8"/>
  <c r="F125" i="8"/>
  <c r="F124" i="8"/>
  <c r="F123" i="8"/>
  <c r="F122" i="8"/>
  <c r="F121" i="8"/>
  <c r="F120" i="8"/>
  <c r="F119" i="8"/>
  <c r="F118" i="8"/>
  <c r="F117" i="8"/>
  <c r="F116" i="8"/>
  <c r="F115" i="8"/>
  <c r="F114" i="8"/>
  <c r="F113" i="8"/>
  <c r="F112" i="8"/>
  <c r="F111" i="8"/>
  <c r="F110" i="8"/>
  <c r="F109" i="8"/>
  <c r="F105" i="8"/>
  <c r="F104" i="8"/>
  <c r="F102" i="8"/>
  <c r="F100" i="8"/>
  <c r="F99" i="8"/>
  <c r="F98" i="8"/>
  <c r="F97" i="8"/>
  <c r="F96" i="8"/>
  <c r="F95" i="8"/>
  <c r="F94" i="8"/>
  <c r="F93" i="8"/>
  <c r="F92" i="8"/>
  <c r="F91" i="8"/>
  <c r="F90" i="8"/>
  <c r="F88" i="8"/>
  <c r="F87" i="8"/>
  <c r="F86" i="8"/>
  <c r="F84" i="8"/>
  <c r="F83" i="8"/>
  <c r="F82" i="8"/>
  <c r="F81" i="8"/>
  <c r="F80" i="8"/>
  <c r="F79" i="8"/>
  <c r="F78" i="8"/>
  <c r="F77" i="8"/>
  <c r="F76" i="8"/>
  <c r="F75" i="8"/>
  <c r="F74" i="8"/>
  <c r="F73" i="8"/>
  <c r="F72" i="8"/>
  <c r="F71" i="8"/>
  <c r="F70" i="8"/>
  <c r="F69" i="8"/>
  <c r="F68" i="8"/>
  <c r="F67" i="8"/>
  <c r="F66" i="8"/>
  <c r="F65" i="8"/>
  <c r="F64" i="8"/>
  <c r="F63" i="8"/>
  <c r="F62" i="8"/>
  <c r="F61" i="8"/>
  <c r="F60" i="8"/>
  <c r="F59" i="8"/>
  <c r="F58" i="8"/>
  <c r="F56" i="8"/>
  <c r="F55" i="8"/>
  <c r="F54" i="8"/>
  <c r="F52" i="8"/>
  <c r="F51" i="8"/>
  <c r="F50" i="8"/>
  <c r="F49" i="8"/>
  <c r="F48" i="8"/>
  <c r="F47" i="8"/>
  <c r="F45" i="8"/>
  <c r="F44" i="8"/>
  <c r="F43" i="8"/>
  <c r="F41" i="8"/>
  <c r="F40" i="8"/>
  <c r="F38" i="8"/>
  <c r="F37" i="8"/>
  <c r="F35" i="8"/>
  <c r="F34" i="8"/>
  <c r="F33" i="8"/>
  <c r="F31" i="8"/>
  <c r="F30" i="8"/>
  <c r="F39" i="8"/>
  <c r="F28" i="8"/>
  <c r="F27" i="8"/>
  <c r="F26" i="8"/>
  <c r="F24" i="8"/>
  <c r="F23" i="8"/>
  <c r="F22" i="8"/>
  <c r="F20" i="8"/>
  <c r="F17" i="8"/>
  <c r="F14" i="8"/>
  <c r="F13" i="8"/>
  <c r="F12" i="8"/>
  <c r="F11" i="8"/>
  <c r="F10" i="8"/>
  <c r="F9" i="8"/>
  <c r="F8" i="8"/>
  <c r="F7" i="8"/>
  <c r="F6" i="8"/>
  <c r="F5" i="8"/>
  <c r="F4" i="8"/>
  <c r="F3" i="8"/>
  <c r="F42" i="8"/>
  <c r="F174" i="8"/>
  <c r="F172" i="8"/>
  <c r="F32" i="8"/>
  <c r="F53" i="8"/>
  <c r="F153" i="8"/>
  <c r="F173" i="8"/>
  <c r="F237" i="8"/>
  <c r="F107" i="8"/>
  <c r="F218" i="8"/>
  <c r="F217" i="8"/>
  <c r="F108" i="8"/>
  <c r="F106" i="8"/>
  <c r="F25" i="8"/>
  <c r="F46" i="8"/>
  <c r="F21" i="8"/>
  <c r="F89" i="8"/>
  <c r="F57" i="8"/>
  <c r="F241" i="8"/>
  <c r="F243" i="8"/>
  <c r="F222" i="8"/>
  <c r="F242" i="8"/>
  <c r="F168" i="8"/>
  <c r="F148" i="8"/>
  <c r="F149" i="8"/>
  <c r="F233" i="8"/>
  <c r="F15" i="8"/>
  <c r="F16" i="8"/>
  <c r="F2" i="8"/>
  <c r="F19" i="8"/>
  <c r="F18" i="8"/>
  <c r="F101" i="8"/>
  <c r="F85" i="8"/>
  <c r="F29" i="8"/>
  <c r="F36" i="8"/>
  <c r="F103" i="8"/>
  <c r="J20" i="7"/>
  <c r="J17" i="7"/>
  <c r="J13" i="7"/>
  <c r="J16" i="7"/>
  <c r="J10" i="7"/>
  <c r="J19" i="7"/>
  <c r="J6" i="7"/>
  <c r="J3" i="7"/>
  <c r="J41" i="7"/>
  <c r="J38" i="7"/>
  <c r="J37" i="7"/>
  <c r="J25" i="7"/>
  <c r="J33" i="7"/>
  <c r="J29" i="7"/>
  <c r="J26" i="7"/>
  <c r="J102" i="7"/>
  <c r="J101" i="7"/>
  <c r="J105" i="7"/>
  <c r="J104" i="7"/>
  <c r="J97" i="7"/>
  <c r="J96" i="7"/>
  <c r="J86" i="7"/>
  <c r="J90" i="7"/>
  <c r="J89" i="7"/>
  <c r="J93" i="7"/>
  <c r="J36" i="7"/>
  <c r="J21" i="7"/>
  <c r="J103" i="7"/>
  <c r="J15" i="7"/>
  <c r="J12" i="7"/>
  <c r="J9" i="7"/>
  <c r="J100" i="7"/>
  <c r="J238" i="7"/>
  <c r="J240" i="7"/>
  <c r="J239" i="7"/>
  <c r="J234" i="7"/>
  <c r="J233" i="7"/>
  <c r="J236" i="7"/>
  <c r="J235" i="7"/>
  <c r="J230" i="7"/>
  <c r="J226" i="7"/>
  <c r="J223" i="7"/>
  <c r="J18" i="7"/>
  <c r="J237" i="7"/>
  <c r="G196" i="5"/>
  <c r="G197" i="5"/>
  <c r="G198" i="5"/>
  <c r="G199" i="5"/>
  <c r="G200" i="5"/>
  <c r="G201" i="5"/>
  <c r="G202" i="5"/>
  <c r="G203" i="5"/>
  <c r="G204" i="5"/>
  <c r="G205" i="5"/>
  <c r="G206" i="5"/>
  <c r="G207" i="5"/>
  <c r="G208" i="5"/>
  <c r="G209" i="5"/>
  <c r="G210" i="5"/>
  <c r="G211" i="5"/>
  <c r="G212" i="5"/>
  <c r="G213" i="5"/>
  <c r="G214" i="5"/>
  <c r="G215" i="5"/>
  <c r="G216" i="5"/>
  <c r="J217" i="7"/>
  <c r="G265" i="5"/>
  <c r="G266" i="5"/>
  <c r="G267" i="5"/>
  <c r="G268" i="5"/>
  <c r="G269" i="5"/>
  <c r="G270" i="5"/>
  <c r="G271" i="5"/>
  <c r="G272" i="5"/>
  <c r="G273" i="5"/>
  <c r="G274" i="5"/>
  <c r="G275" i="5"/>
  <c r="G276" i="5"/>
  <c r="G277" i="5"/>
  <c r="G278" i="5"/>
  <c r="G279" i="5"/>
  <c r="G280" i="5"/>
  <c r="G281" i="5"/>
  <c r="G282" i="5"/>
  <c r="G130" i="5"/>
  <c r="G131" i="5"/>
  <c r="G132" i="5"/>
  <c r="G133" i="5"/>
  <c r="G134" i="5"/>
  <c r="G135" i="5"/>
  <c r="G136" i="5"/>
  <c r="G137" i="5"/>
  <c r="G138" i="5"/>
  <c r="G139" i="5"/>
  <c r="G140" i="5"/>
  <c r="G141" i="5"/>
  <c r="G142" i="5"/>
  <c r="G143" i="5"/>
  <c r="G144" i="5"/>
  <c r="G145" i="5"/>
  <c r="G146" i="5"/>
  <c r="G147" i="5"/>
  <c r="G67" i="5"/>
  <c r="G68" i="5"/>
  <c r="G69" i="5"/>
  <c r="G70" i="5"/>
  <c r="G71" i="5"/>
  <c r="G72" i="5"/>
  <c r="G73" i="5"/>
  <c r="G74" i="5"/>
  <c r="G75" i="5"/>
  <c r="G76" i="5"/>
  <c r="G77" i="5"/>
  <c r="G78" i="5"/>
  <c r="G79" i="5"/>
  <c r="G80" i="5"/>
  <c r="G81" i="5"/>
  <c r="G82" i="5"/>
  <c r="G83" i="5"/>
  <c r="G84" i="5"/>
  <c r="G244" i="5"/>
  <c r="G245" i="5"/>
  <c r="G246" i="5"/>
  <c r="G247" i="5"/>
  <c r="G248" i="5"/>
  <c r="G249" i="5"/>
  <c r="G250" i="5"/>
  <c r="G251" i="5"/>
  <c r="G252" i="5"/>
  <c r="G253" i="5"/>
  <c r="G254" i="5"/>
  <c r="G255" i="5"/>
  <c r="G256" i="5"/>
  <c r="G257" i="5"/>
  <c r="G258" i="5"/>
  <c r="G259" i="5"/>
  <c r="G260" i="5"/>
  <c r="G261" i="5"/>
  <c r="G33" i="5"/>
  <c r="G34" i="5"/>
  <c r="G35" i="5"/>
  <c r="G26" i="5"/>
  <c r="G27" i="5"/>
  <c r="G28" i="5"/>
  <c r="G29" i="5"/>
  <c r="G30" i="5"/>
  <c r="G31" i="5"/>
  <c r="G230" i="5"/>
  <c r="G231" i="5"/>
  <c r="G232" i="5"/>
  <c r="G223" i="5"/>
  <c r="G224" i="5"/>
  <c r="G225" i="5"/>
  <c r="G226" i="5"/>
  <c r="G227" i="5"/>
  <c r="G228" i="5"/>
  <c r="G175" i="5"/>
  <c r="G176" i="5"/>
  <c r="G177" i="5"/>
  <c r="G178" i="5"/>
  <c r="G179" i="5"/>
  <c r="G180" i="5"/>
  <c r="G181" i="5"/>
  <c r="G182" i="5"/>
  <c r="G183" i="5"/>
  <c r="G184" i="5"/>
  <c r="G185" i="5"/>
  <c r="G186" i="5"/>
  <c r="G187" i="5"/>
  <c r="G188" i="5"/>
  <c r="G189" i="5"/>
  <c r="G190" i="5"/>
  <c r="G191" i="5"/>
  <c r="G192" i="5"/>
  <c r="G161" i="5"/>
  <c r="G162" i="5"/>
  <c r="G163" i="5"/>
  <c r="G154" i="5"/>
  <c r="G155" i="5"/>
  <c r="G156" i="5"/>
  <c r="G157" i="5"/>
  <c r="G158" i="5"/>
  <c r="G159" i="5"/>
  <c r="G97" i="5"/>
  <c r="G98" i="5"/>
  <c r="G99" i="5"/>
  <c r="G90" i="5"/>
  <c r="G91" i="5"/>
  <c r="G92" i="5"/>
  <c r="G93" i="5"/>
  <c r="G94" i="5"/>
  <c r="G95" i="5"/>
  <c r="G109" i="5"/>
  <c r="G110" i="5"/>
  <c r="G111" i="5"/>
  <c r="G112" i="5"/>
  <c r="G113" i="5"/>
  <c r="G114" i="5"/>
  <c r="G115" i="5"/>
  <c r="G116" i="5"/>
  <c r="G117" i="5"/>
  <c r="G118" i="5"/>
  <c r="G119" i="5"/>
  <c r="G120" i="5"/>
  <c r="G121" i="5"/>
  <c r="G122" i="5"/>
  <c r="G123" i="5"/>
  <c r="G124" i="5"/>
  <c r="G125" i="5"/>
  <c r="G126" i="5"/>
  <c r="G57" i="5"/>
  <c r="G53" i="5"/>
  <c r="G46" i="5"/>
  <c r="G42" i="5"/>
  <c r="Y195" i="5"/>
  <c r="G3" i="5"/>
  <c r="G4" i="5"/>
  <c r="G5" i="5"/>
  <c r="G6" i="5"/>
  <c r="G7" i="5"/>
  <c r="G8" i="5"/>
  <c r="G9" i="5"/>
  <c r="G10" i="5"/>
  <c r="G11" i="5"/>
  <c r="G12" i="5"/>
  <c r="G13" i="5"/>
  <c r="G14" i="5"/>
  <c r="G15" i="5"/>
  <c r="G16" i="5"/>
  <c r="G17" i="5"/>
  <c r="G18" i="5"/>
  <c r="G19" i="5"/>
  <c r="G20" i="5"/>
  <c r="G22" i="5"/>
  <c r="G23" i="5"/>
  <c r="G24" i="5"/>
  <c r="G25" i="5"/>
  <c r="G32" i="5"/>
  <c r="G36" i="5"/>
  <c r="G37" i="5"/>
  <c r="G38" i="5"/>
  <c r="G39" i="5"/>
  <c r="G40" i="5"/>
  <c r="G41" i="5"/>
  <c r="G43" i="5"/>
  <c r="G44" i="5"/>
  <c r="G45" i="5"/>
  <c r="G47" i="5"/>
  <c r="G48" i="5"/>
  <c r="G49" i="5"/>
  <c r="G50" i="5"/>
  <c r="G51" i="5"/>
  <c r="G52" i="5"/>
  <c r="G54" i="5"/>
  <c r="G55" i="5"/>
  <c r="G56" i="5"/>
  <c r="G58" i="5"/>
  <c r="G59" i="5"/>
  <c r="G60" i="5"/>
  <c r="G61" i="5"/>
  <c r="G62" i="5"/>
  <c r="G63" i="5"/>
  <c r="G64" i="5"/>
  <c r="G65" i="5"/>
  <c r="G66" i="5"/>
  <c r="G86" i="5"/>
  <c r="G87" i="5"/>
  <c r="G88" i="5"/>
  <c r="G89" i="5"/>
  <c r="G96" i="5"/>
  <c r="G100" i="5"/>
  <c r="G101" i="5"/>
  <c r="G102" i="5"/>
  <c r="G103" i="5"/>
  <c r="G104" i="5"/>
  <c r="G105" i="5"/>
  <c r="G106" i="5"/>
  <c r="G107" i="5"/>
  <c r="G108" i="5"/>
  <c r="G127" i="5"/>
  <c r="G128" i="5"/>
  <c r="G129" i="5"/>
  <c r="G149" i="5"/>
  <c r="G150" i="5"/>
  <c r="G151" i="5"/>
  <c r="G152" i="5"/>
  <c r="G153" i="5"/>
  <c r="G160" i="5"/>
  <c r="G164" i="5"/>
  <c r="G165" i="5"/>
  <c r="G166" i="5"/>
  <c r="G167" i="5"/>
  <c r="G168" i="5"/>
  <c r="G169" i="5"/>
  <c r="G170" i="5"/>
  <c r="G171" i="5"/>
  <c r="G172" i="5"/>
  <c r="G173" i="5"/>
  <c r="G174" i="5"/>
  <c r="G193" i="5"/>
  <c r="G194" i="5"/>
  <c r="G195" i="5"/>
  <c r="G217" i="5"/>
  <c r="G218" i="5"/>
  <c r="G219" i="5"/>
  <c r="G220" i="5"/>
  <c r="G221" i="5"/>
  <c r="G222" i="5"/>
  <c r="G229" i="5"/>
  <c r="G233" i="5"/>
  <c r="G234" i="5"/>
  <c r="G235" i="5"/>
  <c r="G236" i="5"/>
  <c r="G237" i="5"/>
  <c r="G238" i="5"/>
  <c r="G239" i="5"/>
  <c r="G240" i="5"/>
  <c r="G241" i="5"/>
  <c r="G242" i="5"/>
  <c r="G243" i="5"/>
  <c r="G262" i="5"/>
  <c r="G263" i="5"/>
  <c r="G264" i="5"/>
  <c r="G85" i="5"/>
  <c r="G148" i="5"/>
  <c r="G21" i="5"/>
  <c r="G2" i="5"/>
  <c r="W3" i="5"/>
  <c r="AA4" i="5"/>
  <c r="W4" i="5"/>
  <c r="AA5" i="5"/>
  <c r="W5" i="5"/>
  <c r="AA6" i="5"/>
  <c r="W6" i="5"/>
  <c r="AA7" i="5"/>
  <c r="W7" i="5"/>
  <c r="AA8" i="5"/>
  <c r="W8" i="5"/>
  <c r="AA9" i="5"/>
  <c r="W9" i="5"/>
  <c r="AA10" i="5"/>
  <c r="W10" i="5"/>
  <c r="AA11" i="5"/>
  <c r="W11" i="5"/>
  <c r="AA12" i="5"/>
  <c r="W12" i="5"/>
  <c r="AA13" i="5"/>
  <c r="W13" i="5"/>
  <c r="AA14" i="5"/>
  <c r="W14" i="5"/>
  <c r="AA15" i="5"/>
  <c r="W15" i="5"/>
  <c r="AA16" i="5"/>
  <c r="W16" i="5"/>
  <c r="AA17" i="5"/>
  <c r="W17" i="5"/>
  <c r="AA18" i="5"/>
  <c r="W18" i="5"/>
  <c r="AA19" i="5"/>
  <c r="W19" i="5"/>
  <c r="AA20" i="5"/>
  <c r="W20" i="5"/>
  <c r="AA3" i="5"/>
  <c r="V2" i="5"/>
  <c r="W22" i="5"/>
  <c r="AA23" i="5"/>
  <c r="W23" i="5"/>
  <c r="AA24" i="5"/>
  <c r="W24" i="5"/>
  <c r="AA25" i="5"/>
  <c r="W25" i="5"/>
  <c r="AA32" i="5"/>
  <c r="W32" i="5"/>
  <c r="AA36" i="5"/>
  <c r="W36" i="5"/>
  <c r="AA37" i="5"/>
  <c r="W37" i="5"/>
  <c r="AA38" i="5"/>
  <c r="W38" i="5"/>
  <c r="AA39" i="5"/>
  <c r="W39" i="5"/>
  <c r="AA40" i="5"/>
  <c r="W40" i="5"/>
  <c r="AA41" i="5"/>
  <c r="W41" i="5"/>
  <c r="AA22" i="5"/>
  <c r="V21" i="5"/>
  <c r="AA87" i="5"/>
  <c r="W87" i="5"/>
  <c r="AA88" i="5"/>
  <c r="W88" i="5"/>
  <c r="AA89" i="5"/>
  <c r="W89" i="5"/>
  <c r="AA96" i="5"/>
  <c r="W96" i="5"/>
  <c r="AA100" i="5"/>
  <c r="W100" i="5"/>
  <c r="AA101" i="5"/>
  <c r="W101" i="5"/>
  <c r="AA102" i="5"/>
  <c r="W102" i="5"/>
  <c r="AA103" i="5"/>
  <c r="W103" i="5"/>
  <c r="AA104" i="5"/>
  <c r="W104" i="5"/>
  <c r="AA105" i="5"/>
  <c r="W105" i="5"/>
  <c r="AA86" i="5"/>
  <c r="W86" i="5"/>
  <c r="V85" i="5"/>
  <c r="W149" i="5"/>
  <c r="AA150" i="5"/>
  <c r="W150" i="5"/>
  <c r="AA153" i="5"/>
  <c r="W153" i="5"/>
  <c r="AA160" i="5"/>
  <c r="W160" i="5"/>
  <c r="AA164" i="5"/>
  <c r="W164" i="5"/>
  <c r="AA165" i="5"/>
  <c r="W165" i="5"/>
  <c r="AA168" i="5"/>
  <c r="W168" i="5"/>
  <c r="AA169" i="5"/>
  <c r="W169" i="5"/>
  <c r="AA149" i="5"/>
  <c r="V148" i="5"/>
  <c r="W218" i="5"/>
  <c r="AA219" i="5"/>
  <c r="W219" i="5"/>
  <c r="AA222" i="5"/>
  <c r="W222" i="5"/>
  <c r="AA229" i="5"/>
  <c r="W229" i="5"/>
  <c r="AA233" i="5"/>
  <c r="W233" i="5"/>
  <c r="AA234" i="5"/>
  <c r="W234" i="5"/>
  <c r="AA237" i="5"/>
  <c r="W237" i="5"/>
  <c r="AA238" i="5"/>
  <c r="W238" i="5"/>
  <c r="AA218" i="5"/>
  <c r="M683" i="6"/>
  <c r="M686" i="6"/>
  <c r="M729" i="6"/>
  <c r="M732" i="6"/>
  <c r="M774" i="6"/>
  <c r="M777" i="6"/>
  <c r="M819" i="6"/>
  <c r="M822" i="6"/>
  <c r="M910" i="6"/>
  <c r="M913" i="6"/>
  <c r="V66" i="5"/>
  <c r="Y66" i="5"/>
  <c r="X65" i="5"/>
  <c r="V54" i="5"/>
  <c r="V50" i="5"/>
  <c r="V47" i="5"/>
  <c r="V43" i="5"/>
  <c r="V63" i="5"/>
  <c r="V62" i="5"/>
  <c r="V60" i="5"/>
  <c r="V59" i="5"/>
  <c r="V61" i="5"/>
  <c r="V58" i="5"/>
  <c r="AA58" i="5"/>
  <c r="W58" i="5"/>
  <c r="V20" i="5"/>
  <c r="V19" i="5"/>
  <c r="V17" i="5"/>
  <c r="V16" i="5"/>
  <c r="V12" i="5"/>
  <c r="V9" i="5"/>
  <c r="V6" i="5"/>
  <c r="V3" i="5"/>
  <c r="V15" i="5"/>
  <c r="V18" i="5"/>
  <c r="AA60" i="5"/>
  <c r="W60" i="5"/>
  <c r="AA44" i="5"/>
  <c r="W44" i="5"/>
  <c r="AA59" i="5"/>
  <c r="W59" i="5"/>
  <c r="AA55" i="5"/>
  <c r="W55" i="5"/>
  <c r="AA54" i="5"/>
  <c r="W54" i="5"/>
  <c r="AA43" i="5"/>
  <c r="W43" i="5"/>
  <c r="AA50" i="5"/>
  <c r="W50" i="5"/>
  <c r="AA45" i="5"/>
  <c r="W45" i="5"/>
  <c r="AA51" i="5"/>
  <c r="W51" i="5"/>
  <c r="AA49" i="5"/>
  <c r="W49" i="5"/>
  <c r="AA56" i="5"/>
  <c r="W56" i="5"/>
  <c r="AA62" i="5"/>
  <c r="W62" i="5"/>
  <c r="AA48" i="5"/>
  <c r="W48" i="5"/>
  <c r="AA47" i="5"/>
  <c r="W47" i="5"/>
  <c r="AA52" i="5"/>
  <c r="W52" i="5"/>
  <c r="AA61" i="5"/>
  <c r="W61" i="5"/>
  <c r="AA63" i="5"/>
  <c r="W63" i="5"/>
  <c r="X239" i="5"/>
  <c r="X240" i="5"/>
  <c r="X238" i="5"/>
  <c r="X235" i="5"/>
  <c r="X236" i="5"/>
  <c r="X234" i="5"/>
  <c r="X220" i="5"/>
  <c r="X221" i="5"/>
  <c r="X219" i="5"/>
  <c r="X167" i="5"/>
  <c r="X170" i="5"/>
  <c r="X171" i="5"/>
  <c r="X169" i="5"/>
  <c r="X166" i="5"/>
  <c r="X165" i="5"/>
  <c r="X151" i="5"/>
  <c r="X152" i="5"/>
  <c r="X150" i="5"/>
  <c r="X66" i="5"/>
  <c r="Y129" i="5"/>
  <c r="Y194" i="5"/>
  <c r="Y128" i="5"/>
  <c r="V105" i="5"/>
  <c r="V104" i="5"/>
  <c r="V103" i="5"/>
  <c r="V102" i="5"/>
  <c r="V101" i="5"/>
  <c r="Y101" i="5"/>
  <c r="V100" i="5"/>
  <c r="V41" i="5"/>
  <c r="V40" i="5"/>
  <c r="V39" i="5"/>
  <c r="V38" i="5"/>
  <c r="V37" i="5"/>
  <c r="V36" i="5"/>
  <c r="V22" i="5"/>
  <c r="Y24" i="5"/>
  <c r="V86" i="5"/>
  <c r="Y87" i="5"/>
  <c r="V1127" i="5"/>
  <c r="V1126" i="5"/>
  <c r="V1125" i="5"/>
  <c r="V1124" i="5"/>
  <c r="V1123" i="5"/>
  <c r="V1122" i="5"/>
  <c r="V1121" i="5"/>
  <c r="V1120" i="5"/>
  <c r="V1119" i="5"/>
  <c r="V1118" i="5"/>
  <c r="V1116" i="5"/>
  <c r="V1115" i="5"/>
  <c r="V1114" i="5"/>
  <c r="V1113" i="5"/>
  <c r="V1112" i="5"/>
  <c r="V1111" i="5"/>
  <c r="V1110" i="5"/>
  <c r="V1109" i="5"/>
  <c r="V1108" i="5"/>
  <c r="V1107" i="5"/>
  <c r="AG1088" i="5"/>
  <c r="V1105" i="5"/>
  <c r="AG1085" i="5"/>
  <c r="V1097" i="5"/>
  <c r="V1082" i="5"/>
  <c r="V1081" i="5"/>
  <c r="V1080" i="5"/>
  <c r="V1079" i="5"/>
  <c r="V1078" i="5"/>
  <c r="V1077" i="5"/>
  <c r="V1076" i="5"/>
  <c r="V1075" i="5"/>
  <c r="V1074" i="5"/>
  <c r="V1073" i="5"/>
  <c r="V1071" i="5"/>
  <c r="V1070" i="5"/>
  <c r="V1069" i="5"/>
  <c r="V1068" i="5"/>
  <c r="V1067" i="5"/>
  <c r="V1066" i="5"/>
  <c r="V1065" i="5"/>
  <c r="V1064" i="5"/>
  <c r="V1063" i="5"/>
  <c r="V1062" i="5"/>
  <c r="V1060" i="5"/>
  <c r="V1059" i="5"/>
  <c r="V1058" i="5"/>
  <c r="V1057" i="5"/>
  <c r="V1056" i="5"/>
  <c r="V1055" i="5"/>
  <c r="V1054" i="5"/>
  <c r="V1053" i="5"/>
  <c r="V1052" i="5"/>
  <c r="V1051" i="5"/>
  <c r="AG997" i="5"/>
  <c r="V1012" i="5"/>
  <c r="V1023" i="5"/>
  <c r="V1034" i="5"/>
  <c r="AG994" i="5"/>
  <c r="V1009" i="5"/>
  <c r="V1020" i="5"/>
  <c r="V1031" i="5"/>
  <c r="V991" i="5"/>
  <c r="V990" i="5"/>
  <c r="V989" i="5"/>
  <c r="V988" i="5"/>
  <c r="V987" i="5"/>
  <c r="V986" i="5"/>
  <c r="V985" i="5"/>
  <c r="V984" i="5"/>
  <c r="V983" i="5"/>
  <c r="V982" i="5"/>
  <c r="V980" i="5"/>
  <c r="V979" i="5"/>
  <c r="V978" i="5"/>
  <c r="V977" i="5"/>
  <c r="V976" i="5"/>
  <c r="V975" i="5"/>
  <c r="V974" i="5"/>
  <c r="V973" i="5"/>
  <c r="V972" i="5"/>
  <c r="V971" i="5"/>
  <c r="AG952" i="5"/>
  <c r="V967" i="5"/>
  <c r="AG949" i="5"/>
  <c r="V964" i="5"/>
  <c r="V946" i="5"/>
  <c r="V945" i="5"/>
  <c r="V944" i="5"/>
  <c r="V943" i="5"/>
  <c r="V942" i="5"/>
  <c r="V941" i="5"/>
  <c r="V940" i="5"/>
  <c r="V939" i="5"/>
  <c r="V938" i="5"/>
  <c r="V937" i="5"/>
  <c r="V935" i="5"/>
  <c r="V934" i="5"/>
  <c r="V933" i="5"/>
  <c r="V932" i="5"/>
  <c r="V931" i="5"/>
  <c r="V930" i="5"/>
  <c r="V929" i="5"/>
  <c r="V928" i="5"/>
  <c r="V927" i="5"/>
  <c r="V926" i="5"/>
  <c r="AG907" i="5"/>
  <c r="V922" i="5"/>
  <c r="AG904" i="5"/>
  <c r="V919" i="5"/>
  <c r="V900" i="5"/>
  <c r="V899" i="5"/>
  <c r="V898" i="5"/>
  <c r="V897" i="5"/>
  <c r="V896" i="5"/>
  <c r="V895" i="5"/>
  <c r="V894" i="5"/>
  <c r="V893" i="5"/>
  <c r="V892" i="5"/>
  <c r="V891" i="5"/>
  <c r="V889" i="5"/>
  <c r="V888" i="5"/>
  <c r="V887" i="5"/>
  <c r="V886" i="5"/>
  <c r="V885" i="5"/>
  <c r="V884" i="5"/>
  <c r="V883" i="5"/>
  <c r="V882" i="5"/>
  <c r="V881" i="5"/>
  <c r="V880" i="5"/>
  <c r="V871" i="5"/>
  <c r="V869" i="5"/>
  <c r="AG861" i="5"/>
  <c r="V876" i="5"/>
  <c r="AG858" i="5"/>
  <c r="V873" i="5"/>
  <c r="Y41" i="5"/>
  <c r="Y40" i="5"/>
  <c r="Y65" i="5"/>
  <c r="V65" i="5"/>
  <c r="Y37" i="5"/>
  <c r="Y166" i="5"/>
  <c r="V166" i="5"/>
  <c r="AA166" i="5"/>
  <c r="W166" i="5"/>
  <c r="Y38" i="5"/>
  <c r="Y104" i="5"/>
  <c r="V870" i="5"/>
  <c r="Y22" i="5"/>
  <c r="Y150" i="5"/>
  <c r="Y23" i="5"/>
  <c r="Y151" i="5"/>
  <c r="Y220" i="5"/>
  <c r="V220" i="5"/>
  <c r="AA220" i="5"/>
  <c r="W220" i="5"/>
  <c r="V872" i="5"/>
  <c r="Y102" i="5"/>
  <c r="Y39" i="5"/>
  <c r="V874" i="5"/>
  <c r="Y103" i="5"/>
  <c r="Y105" i="5"/>
  <c r="Y86" i="5"/>
  <c r="Y88" i="5"/>
  <c r="Y152" i="5"/>
  <c r="V875" i="5"/>
  <c r="Y36" i="5"/>
  <c r="Y100" i="5"/>
  <c r="V920" i="5"/>
  <c r="V968" i="5"/>
  <c r="V1008" i="5"/>
  <c r="V1019" i="5"/>
  <c r="V1030" i="5"/>
  <c r="V966" i="5"/>
  <c r="V1099" i="5"/>
  <c r="V917" i="5"/>
  <c r="V918" i="5"/>
  <c r="V1005" i="5"/>
  <c r="V1016" i="5"/>
  <c r="V1027" i="5"/>
  <c r="V921" i="5"/>
  <c r="V969" i="5"/>
  <c r="V1006" i="5"/>
  <c r="V1017" i="5"/>
  <c r="V1028" i="5"/>
  <c r="V1096" i="5"/>
  <c r="V923" i="5"/>
  <c r="V960" i="5"/>
  <c r="V1007" i="5"/>
  <c r="V1018" i="5"/>
  <c r="V1029" i="5"/>
  <c r="V1098" i="5"/>
  <c r="V877" i="5"/>
  <c r="V915" i="5"/>
  <c r="V962" i="5"/>
  <c r="V1010" i="5"/>
  <c r="V1021" i="5"/>
  <c r="V1032" i="5"/>
  <c r="V1100" i="5"/>
  <c r="V924" i="5"/>
  <c r="V961" i="5"/>
  <c r="V878" i="5"/>
  <c r="V916" i="5"/>
  <c r="V963" i="5"/>
  <c r="V1011" i="5"/>
  <c r="V1022" i="5"/>
  <c r="V1033" i="5"/>
  <c r="V1101" i="5"/>
  <c r="V965" i="5"/>
  <c r="V1013" i="5"/>
  <c r="V1024" i="5"/>
  <c r="V1035" i="5"/>
  <c r="V1014" i="5"/>
  <c r="V1025" i="5"/>
  <c r="V1036" i="5"/>
  <c r="V1102" i="5"/>
  <c r="V1103" i="5"/>
  <c r="V1104" i="5"/>
  <c r="Y235" i="5"/>
  <c r="V235" i="5"/>
  <c r="AA235" i="5"/>
  <c r="W235" i="5"/>
  <c r="Y171" i="5"/>
  <c r="V171" i="5"/>
  <c r="AA171" i="5"/>
  <c r="W171" i="5"/>
  <c r="V151" i="5"/>
  <c r="AA151" i="5"/>
  <c r="W151" i="5"/>
  <c r="Y170" i="5"/>
  <c r="Y239" i="5"/>
  <c r="V239" i="5"/>
  <c r="AA239" i="5"/>
  <c r="W239" i="5"/>
  <c r="Y167" i="5"/>
  <c r="Y236" i="5"/>
  <c r="V236" i="5"/>
  <c r="AA236" i="5"/>
  <c r="W236" i="5"/>
  <c r="Y165" i="5"/>
  <c r="V165" i="5"/>
  <c r="Y169" i="5"/>
  <c r="Y221" i="5"/>
  <c r="V221" i="5"/>
  <c r="AA221" i="5"/>
  <c r="W221" i="5"/>
  <c r="V152" i="5"/>
  <c r="AA152" i="5"/>
  <c r="W152" i="5"/>
  <c r="Y238" i="5"/>
  <c r="V238" i="5"/>
  <c r="V169" i="5"/>
  <c r="V150" i="5"/>
  <c r="Y219" i="5"/>
  <c r="V219" i="5"/>
  <c r="Y240" i="5"/>
  <c r="V240" i="5"/>
  <c r="AA240" i="5"/>
  <c r="W240" i="5"/>
  <c r="V170" i="5"/>
  <c r="AA170" i="5"/>
  <c r="W170" i="5"/>
  <c r="V167" i="5"/>
  <c r="AA167" i="5"/>
  <c r="W167" i="5"/>
  <c r="Y234" i="5"/>
  <c r="V234" i="5"/>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F628" i="1"/>
  <c r="F582" i="1"/>
  <c r="F581" i="1"/>
  <c r="F580" i="1"/>
  <c r="F577" i="1"/>
  <c r="F569" i="1"/>
  <c r="F568" i="1"/>
  <c r="F567" i="1"/>
  <c r="F566" i="1"/>
  <c r="F565" i="1"/>
  <c r="F564" i="1"/>
  <c r="F563" i="1"/>
  <c r="F561" i="1"/>
  <c r="F560" i="1"/>
  <c r="F559" i="1"/>
  <c r="F558" i="1"/>
  <c r="F542" i="1"/>
  <c r="F528" i="1"/>
  <c r="F512" i="1"/>
  <c r="F498" i="1"/>
  <c r="F482" i="1"/>
  <c r="F468" i="1"/>
  <c r="F452" i="1"/>
  <c r="F438" i="1"/>
  <c r="F422" i="1"/>
  <c r="F408" i="1"/>
  <c r="F392" i="1"/>
  <c r="F378" i="1"/>
  <c r="F362" i="1"/>
  <c r="F348" i="1"/>
  <c r="F336" i="1"/>
  <c r="F332" i="1"/>
  <c r="F318" i="1"/>
  <c r="F302" i="1"/>
  <c r="F288" i="1"/>
  <c r="F272" i="1"/>
  <c r="F258" i="1"/>
  <c r="F242" i="1"/>
  <c r="F228" i="1"/>
  <c r="F212" i="1"/>
  <c r="F204" i="1"/>
  <c r="F198" i="1"/>
  <c r="F192" i="1"/>
  <c r="F182" i="1"/>
  <c r="F168" i="1"/>
  <c r="F152" i="1"/>
  <c r="F138" i="1"/>
  <c r="F122" i="1"/>
  <c r="F118" i="1"/>
  <c r="F114" i="1"/>
  <c r="F10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<sst xmlns="http://schemas.openxmlformats.org/spreadsheetml/2006/main" count="18881" uniqueCount="75">
  <si>
    <t>Parameter</t>
  </si>
  <si>
    <t>Risk group</t>
  </si>
  <si>
    <t>Race/Ethnicity</t>
  </si>
  <si>
    <t>Gender</t>
  </si>
  <si>
    <t>year</t>
  </si>
  <si>
    <t>Value</t>
  </si>
  <si>
    <t>range_l</t>
  </si>
  <si>
    <t>range_U</t>
  </si>
  <si>
    <t>Age</t>
  </si>
  <si>
    <t>Note</t>
  </si>
  <si>
    <t xml:space="preserve">Diagnosed PLWHA </t>
  </si>
  <si>
    <t>All</t>
  </si>
  <si>
    <t>Male</t>
  </si>
  <si>
    <t>13-64</t>
  </si>
  <si>
    <t xml:space="preserve"> PLHWA from age groups 0-12 and 65+ were removed (assuming 57% of 60+ are 60-64)</t>
  </si>
  <si>
    <t>Female</t>
  </si>
  <si>
    <t xml:space="preserve"> PLHWA from age groups 0-12 and 65+ were removed (assuming 56% of 60+ are 60-64)</t>
  </si>
  <si>
    <t xml:space="preserve"> PLHWA from age groups 0-12 and 65+ were removed (assuming 55% of 60+ are 60-64)</t>
  </si>
  <si>
    <t xml:space="preserve"> PLHWA from age groups 0-12 and 65+ were removed (assuming 54% of 60+ are 60-64)</t>
  </si>
  <si>
    <t>Black</t>
  </si>
  <si>
    <t>Hispanic</t>
  </si>
  <si>
    <t>New diagnosis</t>
  </si>
  <si>
    <t>All-cause death among PLWHA</t>
  </si>
  <si>
    <t xml:space="preserve"> PLHWA from age groups 0-12 and 65+ were removed (assuming 48% of 60+ are 60-64)</t>
  </si>
  <si>
    <t>MSM</t>
  </si>
  <si>
    <t>13+</t>
  </si>
  <si>
    <t>IDU</t>
  </si>
  <si>
    <t>MSM-IDU</t>
  </si>
  <si>
    <t>HET</t>
  </si>
  <si>
    <t>Other</t>
  </si>
  <si>
    <t>Unknown</t>
  </si>
  <si>
    <t>White</t>
  </si>
  <si>
    <t>Incident HIV infections</t>
  </si>
  <si>
    <t>Both</t>
  </si>
  <si>
    <t>Range based on figure_no exact</t>
  </si>
  <si>
    <t>MSM, MSM-IDU</t>
  </si>
  <si>
    <t>Asian</t>
  </si>
  <si>
    <t>Native</t>
  </si>
  <si>
    <t>&lt;5</t>
  </si>
  <si>
    <t>HET includes all non-MSM, PWID, MWID</t>
  </si>
  <si>
    <t>HET includes all non-PWID</t>
  </si>
  <si>
    <t>Includes HIV + AIDS diagnoses, LA county reports don't specify if AIDS cases are subset of HIV</t>
  </si>
  <si>
    <t>Using average black proportion of deaths from 2013, 2014</t>
  </si>
  <si>
    <t>Using average MSM proportion of deaths from 2013, 2014</t>
  </si>
  <si>
    <t>Proportion ethnicity MSM (avg 2012-2013)</t>
  </si>
  <si>
    <t>Proportion ethnicity overall (same year)</t>
  </si>
  <si>
    <t>Alt</t>
  </si>
  <si>
    <t>Targets for model initialization</t>
  </si>
  <si>
    <t>Any other/unknown race/ethnicity pooled with "White", all other risk groups pooled with "HET"</t>
  </si>
  <si>
    <t>White includes all remaining MSM diagnosed in 2012</t>
  </si>
  <si>
    <t>Race ethnicity weights within risk groups calculated from 2013 report, all numbers adjusted according to weights to match most recent number of new diagnoses to account for late reporting (1911 new diag -&gt; 2006 new diag)</t>
  </si>
  <si>
    <t>Prop of total</t>
  </si>
  <si>
    <t>Adjusted</t>
  </si>
  <si>
    <t>LA online data</t>
  </si>
  <si>
    <t>Removed Age &lt; 13 and assumed 50% of 60+ were 65+</t>
  </si>
  <si>
    <t>Value Adj</t>
  </si>
  <si>
    <t>Value (NEW)</t>
  </si>
  <si>
    <t>Value (OLD)</t>
  </si>
  <si>
    <t>Adjusted proportion after removing &lt;13 and 65+</t>
  </si>
  <si>
    <t>Using report values from 2014, 2013 data reported on site when trying to get 2014</t>
  </si>
  <si>
    <t>2014 Deaths calculated from totals for risk groups + average of 2013 &amp; 2015 observed proportions of ethnicity/gender within risk groups</t>
  </si>
  <si>
    <t>Incidence</t>
  </si>
  <si>
    <t>pe</t>
  </si>
  <si>
    <t>lower</t>
  </si>
  <si>
    <t>upper</t>
  </si>
  <si>
    <t>Raw data</t>
  </si>
  <si>
    <t>Death adjustment from reports</t>
  </si>
  <si>
    <t>New Death Values (6-11-2018)</t>
  </si>
  <si>
    <t>Adj Death Values (6-11-2018)</t>
  </si>
  <si>
    <t>*Old estimates</t>
  </si>
  <si>
    <t>*Old estimates from LA surveillance reports (independent estimates from 2012 - 2013)</t>
  </si>
  <si>
    <t>Diagnosed PLWHA</t>
  </si>
  <si>
    <t>Sample Mean</t>
  </si>
  <si>
    <t>2.5 CI</t>
  </si>
  <si>
    <t>97.5 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</si>
</sst>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
    <numFmt numFmtId="165" formatCode="0.000%"/>
    <numFmt numFmtId="166" formatCode="0.0000000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trike/>
      <sz val="11"/>
      <color theme="1"/>
      <name val="Calibri"/>
      <family val="2"/>
      <scheme val="minor"/>
    </font>
    <font>
      <b/>
      <strike/>
      <sz val="11"/>
      <color theme="1"/>
      <name val="Calibri"/>
      <family val="2"/>
      <scheme val="minor"/>
    </font>
  </fonts>
  <fills count="40">
    <fill>
      <patternFill patternType="none"/>
    </fill>
    <fill>
      <patternFill patternType="gray125"/>
    </fill>
    <fill>
      <patternFill patternType="solid">
        <fgColor theme="9" tint="-0.249977111117893"/>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8" borderId="0" applyNumberFormat="0" applyBorder="0" applyAlignment="0" applyProtection="0"/>
    <xf numFmtId="0" fontId="8" fillId="9" borderId="0" applyNumberFormat="0" applyBorder="0" applyAlignment="0" applyProtection="0"/>
    <xf numFmtId="0" fontId="9" fillId="10" borderId="0" applyNumberFormat="0" applyBorder="0" applyAlignment="0" applyProtection="0"/>
    <xf numFmtId="0" fontId="10" fillId="11" borderId="5" applyNumberFormat="0" applyAlignment="0" applyProtection="0"/>
    <xf numFmtId="0" fontId="11" fillId="12" borderId="6" applyNumberFormat="0" applyAlignment="0" applyProtection="0"/>
    <xf numFmtId="0" fontId="12" fillId="12" borderId="5" applyNumberFormat="0" applyAlignment="0" applyProtection="0"/>
    <xf numFmtId="0" fontId="13" fillId="0" borderId="7" applyNumberFormat="0" applyFill="0" applyAlignment="0" applyProtection="0"/>
    <xf numFmtId="0" fontId="14" fillId="13" borderId="8" applyNumberFormat="0" applyAlignment="0" applyProtection="0"/>
    <xf numFmtId="0" fontId="15" fillId="0" borderId="0" applyNumberFormat="0" applyFill="0" applyBorder="0" applyAlignment="0" applyProtection="0"/>
    <xf numFmtId="0" fontId="1" fillId="14"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7" fillId="38" borderId="0" applyNumberFormat="0" applyBorder="0" applyAlignment="0" applyProtection="0"/>
  </cellStyleXfs>
  <cellXfs count="70">
    <xf numFmtId="0" fontId="0" fillId="0" borderId="0" xfId="0"/>
    <xf numFmtId="1" fontId="0" fillId="0" borderId="0" xfId="0" applyNumberFormat="1"/>
    <xf numFmtId="1" fontId="0" fillId="0" borderId="0" xfId="0" applyNumberFormat="1" applyFill="1"/>
    <xf numFmtId="1" fontId="0" fillId="0" borderId="0" xfId="0" applyNumberFormat="1" applyFill="1" applyBorder="1"/>
    <xf numFmtId="0" fontId="0" fillId="0" borderId="0" xfId="0" applyFill="1"/>
    <xf numFmtId="0" fontId="0" fillId="2" borderId="0" xfId="0" applyFill="1"/>
    <xf numFmtId="0" fontId="0" fillId="0" borderId="1" xfId="0" applyBorder="1"/>
    <xf numFmtId="0" fontId="0" fillId="3" borderId="0" xfId="0" applyFill="1"/>
    <xf numFmtId="0" fontId="0" fillId="0" borderId="0" xfId="0" quotePrefix="1"/>
    <xf numFmtId="0" fontId="0" fillId="0" borderId="0" xfId="0" applyBorder="1"/>
    <xf numFmtId="0" fontId="0" fillId="3" borderId="0" xfId="0" applyFill="1" applyBorder="1"/>
    <xf numFmtId="0" fontId="0" fillId="0" borderId="0" xfId="0" applyFill="1" applyBorder="1"/>
    <xf numFmtId="1" fontId="0" fillId="0" borderId="1" xfId="0" applyNumberFormat="1" applyFill="1" applyBorder="1"/>
    <xf numFmtId="164" fontId="0" fillId="0" borderId="0" xfId="0" applyNumberFormat="1" applyFill="1"/>
    <xf numFmtId="1" fontId="0" fillId="5" borderId="0" xfId="0" applyNumberFormat="1" applyFill="1"/>
    <xf numFmtId="1" fontId="0" fillId="6" borderId="0" xfId="0" applyNumberFormat="1" applyFill="1"/>
    <xf numFmtId="9" fontId="0" fillId="0" borderId="0" xfId="1" applyFont="1"/>
    <xf numFmtId="9" fontId="0" fillId="0" borderId="0" xfId="1" applyFont="1" applyFill="1"/>
    <xf numFmtId="9" fontId="0" fillId="0" borderId="1" xfId="1" applyFont="1" applyFill="1" applyBorder="1"/>
    <xf numFmtId="9" fontId="0" fillId="0" borderId="0" xfId="1" applyFont="1" applyFill="1" applyBorder="1"/>
    <xf numFmtId="9" fontId="0" fillId="4" borderId="0" xfId="1" applyFont="1" applyFill="1"/>
    <xf numFmtId="0" fontId="2" fillId="0" borderId="0" xfId="0" applyFont="1"/>
    <xf numFmtId="1" fontId="2" fillId="0" borderId="0" xfId="0" applyNumberFormat="1" applyFont="1" applyFill="1"/>
    <xf numFmtId="165" fontId="0" fillId="0" borderId="0" xfId="1" applyNumberFormat="1" applyFont="1" applyFill="1"/>
    <xf numFmtId="1" fontId="0" fillId="0" borderId="0" xfId="0" applyNumberFormat="1" applyBorder="1"/>
    <xf numFmtId="1" fontId="2" fillId="0" borderId="0" xfId="0" applyNumberFormat="1" applyFont="1"/>
    <xf numFmtId="1" fontId="2" fillId="0" borderId="0" xfId="0" applyNumberFormat="1" applyFont="1" applyFill="1" applyBorder="1"/>
    <xf numFmtId="1" fontId="0" fillId="0" borderId="0" xfId="0" applyNumberFormat="1" applyFont="1" applyFill="1" applyBorder="1"/>
    <xf numFmtId="9" fontId="0" fillId="0" borderId="0" xfId="1" applyFont="1" applyBorder="1"/>
    <xf numFmtId="9" fontId="0" fillId="0" borderId="1" xfId="1" applyFont="1" applyBorder="1"/>
    <xf numFmtId="1" fontId="2" fillId="0" borderId="1" xfId="0" applyNumberFormat="1" applyFont="1" applyBorder="1"/>
    <xf numFmtId="0" fontId="0" fillId="4" borderId="0" xfId="0" applyFill="1"/>
    <xf numFmtId="1" fontId="0" fillId="7" borderId="0" xfId="0" applyNumberFormat="1" applyFill="1" applyBorder="1"/>
    <xf numFmtId="1" fontId="0" fillId="7" borderId="1" xfId="0" applyNumberFormat="1" applyFill="1" applyBorder="1"/>
    <xf numFmtId="0" fontId="0" fillId="0" borderId="1" xfId="0" applyFill="1" applyBorder="1"/>
    <xf numFmtId="1" fontId="0" fillId="7" borderId="0" xfId="0" applyNumberFormat="1" applyFill="1"/>
    <xf numFmtId="0" fontId="2" fillId="0" borderId="0" xfId="0" applyFont="1" applyFill="1"/>
    <xf numFmtId="0" fontId="0" fillId="0" borderId="0" xfId="0"/>
    <xf numFmtId="1" fontId="0" fillId="5" borderId="0" xfId="0" applyNumberFormat="1" applyFill="1" applyBorder="1"/>
    <xf numFmtId="1" fontId="0" fillId="5" borderId="0" xfId="0" applyNumberFormat="1" applyFont="1" applyFill="1" applyBorder="1"/>
    <xf numFmtId="1" fontId="2" fillId="5" borderId="0" xfId="0" applyNumberFormat="1" applyFont="1" applyFill="1" applyBorder="1"/>
    <xf numFmtId="1" fontId="0" fillId="0" borderId="1" xfId="0" applyNumberFormat="1" applyFont="1" applyFill="1" applyBorder="1"/>
    <xf numFmtId="1" fontId="0" fillId="0" borderId="1" xfId="0" applyNumberFormat="1" applyBorder="1"/>
    <xf numFmtId="0" fontId="0" fillId="39" borderId="0" xfId="0" applyFill="1"/>
    <xf numFmtId="1" fontId="0" fillId="39" borderId="0" xfId="0" applyNumberFormat="1" applyFill="1" applyBorder="1"/>
    <xf numFmtId="1" fontId="0" fillId="39" borderId="1" xfId="0" applyNumberFormat="1" applyFill="1" applyBorder="1"/>
    <xf numFmtId="0" fontId="0" fillId="39" borderId="0" xfId="0" applyFill="1" applyBorder="1"/>
    <xf numFmtId="1" fontId="0" fillId="39" borderId="0" xfId="0" applyNumberFormat="1" applyFill="1"/>
    <xf numFmtId="0" fontId="0" fillId="39" borderId="1" xfId="0" applyFill="1" applyBorder="1"/>
    <xf numFmtId="166" fontId="0" fillId="39" borderId="0" xfId="0" applyNumberFormat="1" applyFill="1" applyBorder="1"/>
    <xf numFmtId="166" fontId="0" fillId="39" borderId="1" xfId="0" applyNumberFormat="1" applyFill="1" applyBorder="1"/>
    <xf numFmtId="1" fontId="18" fillId="0" borderId="0" xfId="0" applyNumberFormat="1" applyFont="1" applyFill="1" applyBorder="1"/>
    <xf numFmtId="0" fontId="18" fillId="0" borderId="0" xfId="0" applyFont="1" applyFill="1" applyBorder="1"/>
    <xf numFmtId="1" fontId="18" fillId="0" borderId="0" xfId="0" applyNumberFormat="1" applyFont="1" applyFill="1"/>
    <xf numFmtId="0" fontId="18" fillId="0" borderId="0" xfId="0" applyFont="1" applyFill="1"/>
    <xf numFmtId="1" fontId="18" fillId="0" borderId="1" xfId="0" applyNumberFormat="1" applyFont="1" applyFill="1" applyBorder="1"/>
    <xf numFmtId="0" fontId="18" fillId="0" borderId="1" xfId="0" applyFont="1" applyFill="1" applyBorder="1"/>
    <xf numFmtId="0" fontId="18" fillId="0" borderId="0" xfId="0" applyFont="1" applyBorder="1"/>
    <xf numFmtId="0" fontId="18" fillId="0" borderId="0" xfId="0" applyFont="1"/>
    <xf numFmtId="0" fontId="19" fillId="0" borderId="0" xfId="0" applyFont="1"/>
    <xf numFmtId="1" fontId="18" fillId="0" borderId="0" xfId="0" applyNumberFormat="1" applyFont="1"/>
    <xf numFmtId="0" fontId="0" fillId="0" borderId="0" xfId="0" quotePrefix="1" applyFont="1" applyFill="1" applyBorder="1"/>
    <xf numFmtId="0" fontId="0" fillId="0" borderId="0" xfId="0" quotePrefix="1" applyFont="1"/>
    <xf numFmtId="0" fontId="0" fillId="0" borderId="0" xfId="0" applyFont="1" applyFill="1" applyBorder="1"/>
    <xf numFmtId="0" fontId="0" fillId="5" borderId="0" xfId="0" applyFill="1"/>
    <xf numFmtId="1" fontId="0" fillId="5" borderId="1" xfId="0" applyNumberFormat="1" applyFill="1" applyBorder="1"/>
    <xf numFmtId="1" fontId="18" fillId="5" borderId="0" xfId="0" applyNumberFormat="1" applyFont="1" applyFill="1" applyBorder="1"/>
    <xf numFmtId="1" fontId="18" fillId="5" borderId="1" xfId="0" applyNumberFormat="1" applyFont="1" applyFill="1" applyBorder="1"/>
    <xf numFmtId="1" fontId="0" fillId="5" borderId="1" xfId="0" applyNumberFormat="1" applyFont="1" applyFill="1" applyBorder="1"/>
    <xf numFmtId="0" fontId="0" fillId="5" borderId="0" xfId="0" applyFill="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4"/>
  <sheetViews>
    <sheetView zoomScale="80" zoomScaleNormal="80" workbookViewId="0">
      <pane ySplit="1" topLeftCell="A2" activePane="bottomLeft" state="frozen"/>
      <selection activeCell="E872" sqref="E872"/>
      <selection pane="bottomLeft" activeCell="G1" sqref="G1:I1"/>
    </sheetView>
  </sheetViews>
  <sheetFormatPr defaultRowHeight="15" x14ac:dyDescent="0.25"/>
  <cols>
    <col min="1" max="1" width="31.85546875" style="37" customWidth="1"/>
    <col min="2" max="2" width="15.140625" style="37" customWidth="1"/>
    <col min="3" max="3" width="18.28515625" style="37" customWidth="1"/>
    <col min="4" max="4" width="13.85546875" style="37" customWidth="1"/>
    <col min="5" max="5" width="9.140625" style="37"/>
    <col min="6" max="6" width="13.28515625" style="37" customWidth="1"/>
    <col min="7" max="9" width="15.5703125" style="37" customWidth="1"/>
    <col min="10" max="10" width="10.7109375" style="37" customWidth="1"/>
    <col min="11" max="11" width="17.7109375" style="37" customWidth="1"/>
    <col min="12" max="13" width="9.140625" style="37"/>
    <col min="14" max="14" width="97.5703125" style="37" customWidth="1"/>
    <col min="15" max="15" width="9.85546875" style="37" customWidth="1"/>
    <col min="16" max="16" width="10.5703125" style="37" customWidth="1"/>
    <col min="17" max="16384" width="9.140625" style="37"/>
  </cols>
  <sheetData>
    <row r="1" spans="1:14" x14ac:dyDescent="0.25">
      <c r="A1" s="37" t="s">
        <v>0</v>
      </c>
      <c r="B1" s="37" t="s">
        <v>1</v>
      </c>
      <c r="C1" s="37" t="s">
        <v>2</v>
      </c>
      <c r="D1" s="37" t="s">
        <v>3</v>
      </c>
      <c r="E1" s="37" t="s">
        <v>4</v>
      </c>
      <c r="F1" s="43" t="s">
        <v>55</v>
      </c>
      <c r="G1" s="64" t="s">
        <v>72</v>
      </c>
      <c r="H1" s="64" t="s">
        <v>73</v>
      </c>
      <c r="I1" s="64" t="s">
        <v>74</v>
      </c>
      <c r="J1" s="37" t="s">
        <v>65</v>
      </c>
      <c r="K1" s="37" t="s">
        <v>58</v>
      </c>
      <c r="N1" s="37" t="s">
        <v>9</v>
      </c>
    </row>
    <row r="2" spans="1:14" x14ac:dyDescent="0.25">
      <c r="A2" s="9" t="s">
        <v>10</v>
      </c>
      <c r="B2" s="9" t="s">
        <v>11</v>
      </c>
      <c r="C2" s="9" t="s">
        <v>11</v>
      </c>
      <c r="D2" s="9" t="s">
        <v>11</v>
      </c>
      <c r="E2" s="9">
        <v>2011</v>
      </c>
      <c r="F2" s="44">
        <f>J2*K2</f>
        <v>31459.310976063527</v>
      </c>
      <c r="G2" s="38">
        <v>31457.483700000001</v>
      </c>
      <c r="H2" s="38">
        <v>31111</v>
      </c>
      <c r="I2" s="38">
        <v>31799</v>
      </c>
      <c r="J2" s="3">
        <f>SUM(J3:J20)</f>
        <v>32500.838740997126</v>
      </c>
      <c r="K2" s="9">
        <v>0.96795381887730181</v>
      </c>
      <c r="L2" s="9"/>
      <c r="M2" s="9"/>
    </row>
    <row r="3" spans="1:14" x14ac:dyDescent="0.25">
      <c r="A3" s="37" t="s">
        <v>10</v>
      </c>
      <c r="B3" s="37" t="s">
        <v>24</v>
      </c>
      <c r="C3" s="9" t="s">
        <v>31</v>
      </c>
      <c r="D3" s="11" t="s">
        <v>11</v>
      </c>
      <c r="E3" s="37">
        <v>2011</v>
      </c>
      <c r="F3" s="44">
        <f t="shared" ref="F3:F106" si="0">J3*K3</f>
        <v>6354.4318243648167</v>
      </c>
      <c r="G3" s="38">
        <v>6353.3335022977508</v>
      </c>
      <c r="H3" s="38">
        <v>6194.1608167203967</v>
      </c>
      <c r="I3" s="38">
        <v>6512.4568374596765</v>
      </c>
      <c r="J3" s="2">
        <v>6564.808878728446</v>
      </c>
      <c r="K3" s="37">
        <v>0.96795381887730181</v>
      </c>
      <c r="N3" s="37" t="s">
        <v>47</v>
      </c>
    </row>
    <row r="4" spans="1:14" x14ac:dyDescent="0.25">
      <c r="A4" s="37" t="s">
        <v>10</v>
      </c>
      <c r="B4" s="37" t="s">
        <v>24</v>
      </c>
      <c r="C4" s="9" t="s">
        <v>19</v>
      </c>
      <c r="D4" s="11" t="s">
        <v>11</v>
      </c>
      <c r="E4" s="37">
        <v>2011</v>
      </c>
      <c r="F4" s="44">
        <f t="shared" si="0"/>
        <v>12817.63124845416</v>
      </c>
      <c r="G4" s="38">
        <v>12817.243719805232</v>
      </c>
      <c r="H4" s="38">
        <v>12593.56482431075</v>
      </c>
      <c r="I4" s="38">
        <v>13036.056350017419</v>
      </c>
      <c r="J4" s="2">
        <v>13241.986341167509</v>
      </c>
      <c r="K4" s="37">
        <v>0.96795381887730181</v>
      </c>
      <c r="N4" s="37" t="s">
        <v>48</v>
      </c>
    </row>
    <row r="5" spans="1:14" x14ac:dyDescent="0.25">
      <c r="A5" s="37" t="s">
        <v>10</v>
      </c>
      <c r="B5" s="37" t="s">
        <v>24</v>
      </c>
      <c r="C5" s="9" t="s">
        <v>20</v>
      </c>
      <c r="D5" s="11" t="s">
        <v>11</v>
      </c>
      <c r="E5" s="37">
        <v>2011</v>
      </c>
      <c r="F5" s="44">
        <f t="shared" si="0"/>
        <v>1119.3138919608703</v>
      </c>
      <c r="G5" s="38">
        <v>1119.3454794746181</v>
      </c>
      <c r="H5" s="38">
        <v>1055.53397964242</v>
      </c>
      <c r="I5" s="38">
        <v>1185.5919041352981</v>
      </c>
      <c r="J5" s="2">
        <v>1156.3711719833143</v>
      </c>
      <c r="K5" s="37">
        <v>0.96795381887730181</v>
      </c>
    </row>
    <row r="6" spans="1:14" x14ac:dyDescent="0.25">
      <c r="A6" s="37" t="s">
        <v>10</v>
      </c>
      <c r="B6" s="37" t="s">
        <v>26</v>
      </c>
      <c r="C6" s="9" t="s">
        <v>31</v>
      </c>
      <c r="D6" s="11" t="s">
        <v>12</v>
      </c>
      <c r="E6" s="37">
        <v>2011</v>
      </c>
      <c r="F6" s="44">
        <f t="shared" si="0"/>
        <v>255.03296714445619</v>
      </c>
      <c r="G6" s="38">
        <v>255.01504403368881</v>
      </c>
      <c r="H6" s="38">
        <v>225.18785894769866</v>
      </c>
      <c r="I6" s="38">
        <v>287.24518173981437</v>
      </c>
      <c r="J6" s="2">
        <v>263.47637890437858</v>
      </c>
      <c r="K6" s="37">
        <v>0.96795381887730181</v>
      </c>
    </row>
    <row r="7" spans="1:14" x14ac:dyDescent="0.25">
      <c r="A7" s="37" t="s">
        <v>10</v>
      </c>
      <c r="B7" s="37" t="s">
        <v>26</v>
      </c>
      <c r="C7" s="9" t="s">
        <v>19</v>
      </c>
      <c r="D7" s="11" t="s">
        <v>12</v>
      </c>
      <c r="E7" s="37">
        <v>2011</v>
      </c>
      <c r="F7" s="44">
        <f t="shared" si="0"/>
        <v>1370.7981859336562</v>
      </c>
      <c r="G7" s="38">
        <v>1370.3508598427545</v>
      </c>
      <c r="H7" s="38">
        <v>1296.5844881409878</v>
      </c>
      <c r="I7" s="38">
        <v>1445.1474159882459</v>
      </c>
      <c r="J7" s="2">
        <v>1416.1813913019121</v>
      </c>
      <c r="K7" s="37">
        <v>0.96795381887730181</v>
      </c>
    </row>
    <row r="8" spans="1:14" x14ac:dyDescent="0.25">
      <c r="A8" s="37" t="s">
        <v>10</v>
      </c>
      <c r="B8" s="37" t="s">
        <v>26</v>
      </c>
      <c r="C8" s="9" t="s">
        <v>20</v>
      </c>
      <c r="D8" s="11" t="s">
        <v>12</v>
      </c>
      <c r="E8" s="37">
        <v>2011</v>
      </c>
      <c r="F8" s="44">
        <f t="shared" si="0"/>
        <v>75.152649144002169</v>
      </c>
      <c r="G8" s="38">
        <v>75.243020368650988</v>
      </c>
      <c r="H8" s="38">
        <v>59.249068428783183</v>
      </c>
      <c r="I8" s="38">
        <v>93.266384029573047</v>
      </c>
      <c r="J8" s="2">
        <v>77.640738306264737</v>
      </c>
      <c r="K8" s="37">
        <v>0.96795381887730181</v>
      </c>
    </row>
    <row r="9" spans="1:14" x14ac:dyDescent="0.25">
      <c r="A9" s="37" t="s">
        <v>10</v>
      </c>
      <c r="B9" s="37" t="s">
        <v>26</v>
      </c>
      <c r="C9" s="9" t="s">
        <v>31</v>
      </c>
      <c r="D9" s="37" t="s">
        <v>15</v>
      </c>
      <c r="E9" s="37">
        <v>2011</v>
      </c>
      <c r="F9" s="44">
        <f t="shared" si="0"/>
        <v>318.5425766796572</v>
      </c>
      <c r="G9" s="38">
        <v>318.4622619698647</v>
      </c>
      <c r="H9" s="38">
        <v>284.16249962857057</v>
      </c>
      <c r="I9" s="38">
        <v>354.70669799669702</v>
      </c>
      <c r="J9" s="2">
        <v>329.08860987719891</v>
      </c>
      <c r="K9" s="37">
        <v>0.96795381887730181</v>
      </c>
    </row>
    <row r="10" spans="1:14" x14ac:dyDescent="0.25">
      <c r="A10" s="37" t="s">
        <v>10</v>
      </c>
      <c r="B10" s="37" t="s">
        <v>26</v>
      </c>
      <c r="C10" s="9" t="s">
        <v>19</v>
      </c>
      <c r="D10" s="37" t="s">
        <v>15</v>
      </c>
      <c r="E10" s="37">
        <v>2011</v>
      </c>
      <c r="F10" s="44">
        <f t="shared" si="0"/>
        <v>1027.9232496068405</v>
      </c>
      <c r="G10" s="38">
        <v>1027.5889126199388</v>
      </c>
      <c r="H10" s="38">
        <v>966.07074905737261</v>
      </c>
      <c r="I10" s="38">
        <v>1092.1652696683666</v>
      </c>
      <c r="J10" s="2">
        <v>1061.9548469771992</v>
      </c>
      <c r="K10" s="37">
        <v>0.96795381887730181</v>
      </c>
    </row>
    <row r="11" spans="1:14" x14ac:dyDescent="0.25">
      <c r="A11" s="37" t="s">
        <v>10</v>
      </c>
      <c r="B11" s="37" t="s">
        <v>26</v>
      </c>
      <c r="C11" s="9" t="s">
        <v>20</v>
      </c>
      <c r="D11" s="37" t="s">
        <v>15</v>
      </c>
      <c r="E11" s="37">
        <v>2011</v>
      </c>
      <c r="F11" s="44">
        <f t="shared" si="0"/>
        <v>67.463469022723075</v>
      </c>
      <c r="G11" s="38">
        <v>67.349374281435004</v>
      </c>
      <c r="H11" s="38">
        <v>52.332144894864761</v>
      </c>
      <c r="I11" s="38">
        <v>84.421272620986741</v>
      </c>
      <c r="J11" s="2">
        <v>69.696991433921667</v>
      </c>
      <c r="K11" s="37">
        <v>0.96795381887730181</v>
      </c>
    </row>
    <row r="12" spans="1:14" x14ac:dyDescent="0.25">
      <c r="A12" s="37" t="s">
        <v>10</v>
      </c>
      <c r="B12" s="37" t="s">
        <v>27</v>
      </c>
      <c r="C12" s="9" t="s">
        <v>31</v>
      </c>
      <c r="D12" s="11" t="s">
        <v>11</v>
      </c>
      <c r="E12" s="37">
        <v>2011</v>
      </c>
      <c r="F12" s="44">
        <f t="shared" si="0"/>
        <v>593.08481076406099</v>
      </c>
      <c r="G12" s="38">
        <v>593.3330921173856</v>
      </c>
      <c r="H12" s="38">
        <v>546.25140424989456</v>
      </c>
      <c r="I12" s="38">
        <v>641.10642835419446</v>
      </c>
      <c r="J12" s="2">
        <v>612.72015172372664</v>
      </c>
      <c r="K12" s="37">
        <v>0.96795381887730181</v>
      </c>
    </row>
    <row r="13" spans="1:14" x14ac:dyDescent="0.25">
      <c r="A13" s="37" t="s">
        <v>10</v>
      </c>
      <c r="B13" s="37" t="s">
        <v>27</v>
      </c>
      <c r="C13" s="9" t="s">
        <v>19</v>
      </c>
      <c r="D13" s="11" t="s">
        <v>11</v>
      </c>
      <c r="E13" s="37">
        <v>2011</v>
      </c>
      <c r="F13" s="44">
        <f t="shared" si="0"/>
        <v>936.94138497728682</v>
      </c>
      <c r="G13" s="38">
        <v>936.85374595819667</v>
      </c>
      <c r="H13" s="38">
        <v>877.39348011363472</v>
      </c>
      <c r="I13" s="38">
        <v>998.57676988156777</v>
      </c>
      <c r="J13" s="2">
        <v>967.96083315629119</v>
      </c>
      <c r="K13" s="37">
        <v>0.96795381887730181</v>
      </c>
    </row>
    <row r="14" spans="1:14" x14ac:dyDescent="0.25">
      <c r="A14" s="37" t="s">
        <v>10</v>
      </c>
      <c r="B14" s="37" t="s">
        <v>27</v>
      </c>
      <c r="C14" s="9" t="s">
        <v>20</v>
      </c>
      <c r="D14" s="11" t="s">
        <v>11</v>
      </c>
      <c r="E14" s="37">
        <v>2011</v>
      </c>
      <c r="F14" s="44">
        <f t="shared" si="0"/>
        <v>87.342113699385649</v>
      </c>
      <c r="G14" s="38">
        <v>87.30599390282083</v>
      </c>
      <c r="H14" s="38">
        <v>70.267275774343034</v>
      </c>
      <c r="I14" s="38">
        <v>106.16533554808377</v>
      </c>
      <c r="J14" s="2">
        <v>90.233761152666276</v>
      </c>
      <c r="K14" s="37">
        <v>0.96795381887730181</v>
      </c>
    </row>
    <row r="15" spans="1:14" x14ac:dyDescent="0.25">
      <c r="A15" s="37" t="s">
        <v>10</v>
      </c>
      <c r="B15" s="37" t="s">
        <v>28</v>
      </c>
      <c r="C15" s="37" t="s">
        <v>31</v>
      </c>
      <c r="D15" s="37" t="s">
        <v>12</v>
      </c>
      <c r="E15" s="37">
        <v>2011</v>
      </c>
      <c r="F15" s="44">
        <f t="shared" si="0"/>
        <v>98.449053094521332</v>
      </c>
      <c r="G15" s="38">
        <v>98.449156625030696</v>
      </c>
      <c r="H15" s="38">
        <v>79.521076409785024</v>
      </c>
      <c r="I15" s="38">
        <v>118.81073083820368</v>
      </c>
      <c r="J15" s="2">
        <v>101.70841952843287</v>
      </c>
      <c r="K15" s="37">
        <v>0.96795381887730181</v>
      </c>
    </row>
    <row r="16" spans="1:14" x14ac:dyDescent="0.25">
      <c r="A16" s="37" t="s">
        <v>10</v>
      </c>
      <c r="B16" s="37" t="s">
        <v>28</v>
      </c>
      <c r="C16" s="37" t="s">
        <v>19</v>
      </c>
      <c r="D16" s="37" t="s">
        <v>12</v>
      </c>
      <c r="E16" s="37">
        <v>2011</v>
      </c>
      <c r="F16" s="44">
        <f t="shared" si="0"/>
        <v>1110.4261569771836</v>
      </c>
      <c r="G16" s="38">
        <v>1110.4025888756896</v>
      </c>
      <c r="H16" s="38">
        <v>1045.2526907249116</v>
      </c>
      <c r="I16" s="38">
        <v>1177.871122297511</v>
      </c>
      <c r="J16" s="2">
        <v>1147.1891895267595</v>
      </c>
      <c r="K16" s="37">
        <v>0.96795381887730181</v>
      </c>
    </row>
    <row r="17" spans="1:15" x14ac:dyDescent="0.25">
      <c r="A17" s="37" t="s">
        <v>10</v>
      </c>
      <c r="B17" s="37" t="s">
        <v>28</v>
      </c>
      <c r="C17" s="37" t="s">
        <v>20</v>
      </c>
      <c r="D17" s="37" t="s">
        <v>12</v>
      </c>
      <c r="E17" s="37">
        <v>2011</v>
      </c>
      <c r="F17" s="44">
        <f t="shared" si="0"/>
        <v>106.56283808309256</v>
      </c>
      <c r="G17" s="38">
        <v>106.63299507188268</v>
      </c>
      <c r="H17" s="38">
        <v>87.427797530062563</v>
      </c>
      <c r="I17" s="38">
        <v>127.85654896203116</v>
      </c>
      <c r="J17" s="2">
        <v>110.09082872020829</v>
      </c>
      <c r="K17" s="37">
        <v>0.96795381887730181</v>
      </c>
    </row>
    <row r="18" spans="1:15" x14ac:dyDescent="0.25">
      <c r="A18" s="37" t="s">
        <v>10</v>
      </c>
      <c r="B18" s="37" t="s">
        <v>28</v>
      </c>
      <c r="C18" s="37" t="s">
        <v>31</v>
      </c>
      <c r="D18" s="37" t="s">
        <v>15</v>
      </c>
      <c r="E18" s="37">
        <v>2011</v>
      </c>
      <c r="F18" s="44">
        <f t="shared" si="0"/>
        <v>423.42834271035872</v>
      </c>
      <c r="G18" s="38">
        <v>423.24608422155836</v>
      </c>
      <c r="H18" s="38">
        <v>384.3231184582425</v>
      </c>
      <c r="I18" s="38">
        <v>463.20252921667213</v>
      </c>
      <c r="J18" s="2">
        <v>437.44684348833863</v>
      </c>
      <c r="K18" s="37">
        <v>0.96795381887730181</v>
      </c>
    </row>
    <row r="19" spans="1:15" x14ac:dyDescent="0.25">
      <c r="A19" s="37" t="s">
        <v>10</v>
      </c>
      <c r="B19" s="37" t="s">
        <v>28</v>
      </c>
      <c r="C19" s="37" t="s">
        <v>19</v>
      </c>
      <c r="D19" s="37" t="s">
        <v>15</v>
      </c>
      <c r="E19" s="37">
        <v>2011</v>
      </c>
      <c r="F19" s="44">
        <f t="shared" si="0"/>
        <v>4423.5036527587599</v>
      </c>
      <c r="G19" s="38">
        <v>4424.0927388687069</v>
      </c>
      <c r="H19" s="38">
        <v>4293.3795834002221</v>
      </c>
      <c r="I19" s="38">
        <v>4555.6550405371299</v>
      </c>
      <c r="J19" s="2">
        <v>4569.953200752323</v>
      </c>
      <c r="K19" s="37">
        <v>0.96795381887730181</v>
      </c>
    </row>
    <row r="20" spans="1:15" ht="15.75" thickBot="1" x14ac:dyDescent="0.3">
      <c r="A20" s="6" t="s">
        <v>10</v>
      </c>
      <c r="B20" s="6" t="s">
        <v>28</v>
      </c>
      <c r="C20" s="6" t="s">
        <v>20</v>
      </c>
      <c r="D20" s="6" t="s">
        <v>15</v>
      </c>
      <c r="E20" s="6">
        <v>2011</v>
      </c>
      <c r="F20" s="45">
        <f t="shared" si="0"/>
        <v>273.28256068769861</v>
      </c>
      <c r="G20" s="65">
        <v>273.23512966479512</v>
      </c>
      <c r="H20" s="65">
        <v>241.85118220656679</v>
      </c>
      <c r="I20" s="65">
        <v>306.74913925585372</v>
      </c>
      <c r="J20" s="12">
        <v>282.33016426823974</v>
      </c>
      <c r="K20" s="6">
        <v>0.96795381887730181</v>
      </c>
      <c r="L20" s="6"/>
      <c r="M20" s="6"/>
      <c r="N20" s="6"/>
    </row>
    <row r="21" spans="1:15" x14ac:dyDescent="0.25">
      <c r="A21" s="9" t="s">
        <v>10</v>
      </c>
      <c r="B21" s="9" t="s">
        <v>11</v>
      </c>
      <c r="C21" s="9" t="s">
        <v>11</v>
      </c>
      <c r="D21" s="9" t="s">
        <v>11</v>
      </c>
      <c r="E21" s="9">
        <v>2012</v>
      </c>
      <c r="F21" s="44">
        <f t="shared" ref="F21:F62" si="1">J21*K21</f>
        <v>32910.379030542688</v>
      </c>
      <c r="G21" s="38">
        <v>32909.650600000001</v>
      </c>
      <c r="H21" s="38">
        <v>32552.975000000002</v>
      </c>
      <c r="I21" s="38">
        <v>33262</v>
      </c>
      <c r="J21" s="3">
        <f>SUM(J22:J24,J26:J31,J33:J35,J36:J41)</f>
        <v>34124.222578372268</v>
      </c>
      <c r="K21" s="9">
        <v>0.96442868273286597</v>
      </c>
      <c r="L21" s="9"/>
      <c r="M21" s="9"/>
      <c r="N21" s="9"/>
    </row>
    <row r="22" spans="1:15" x14ac:dyDescent="0.25">
      <c r="A22" s="9" t="s">
        <v>10</v>
      </c>
      <c r="B22" s="9" t="s">
        <v>24</v>
      </c>
      <c r="C22" s="9" t="s">
        <v>31</v>
      </c>
      <c r="D22" s="9" t="s">
        <v>11</v>
      </c>
      <c r="E22" s="9">
        <v>2012</v>
      </c>
      <c r="F22" s="44">
        <f t="shared" si="1"/>
        <v>6904.4989291369111</v>
      </c>
      <c r="G22" s="38">
        <v>6903.2530820008842</v>
      </c>
      <c r="H22" s="38">
        <v>6743.1226543364292</v>
      </c>
      <c r="I22" s="38">
        <v>7066.2614528504073</v>
      </c>
      <c r="J22" s="3">
        <v>7159.1596690922624</v>
      </c>
      <c r="K22" s="9">
        <v>0.96442868273286597</v>
      </c>
      <c r="L22" s="9"/>
      <c r="M22" s="9"/>
      <c r="O22" s="9"/>
    </row>
    <row r="23" spans="1:15" x14ac:dyDescent="0.25">
      <c r="A23" s="9" t="s">
        <v>10</v>
      </c>
      <c r="B23" s="9" t="s">
        <v>24</v>
      </c>
      <c r="C23" s="9" t="s">
        <v>19</v>
      </c>
      <c r="D23" s="9" t="s">
        <v>11</v>
      </c>
      <c r="E23" s="9">
        <v>2012</v>
      </c>
      <c r="F23" s="44">
        <f t="shared" si="1"/>
        <v>13435.34675606491</v>
      </c>
      <c r="G23" s="38">
        <v>13435.660327826217</v>
      </c>
      <c r="H23" s="38">
        <v>13211.093107130286</v>
      </c>
      <c r="I23" s="38">
        <v>13659.133624287886</v>
      </c>
      <c r="J23" s="3">
        <v>13930.886748404935</v>
      </c>
      <c r="K23" s="9">
        <v>0.96442868273286597</v>
      </c>
      <c r="L23" s="9"/>
      <c r="M23" s="9"/>
      <c r="O23" s="9"/>
    </row>
    <row r="24" spans="1:15" x14ac:dyDescent="0.25">
      <c r="A24" s="9" t="s">
        <v>10</v>
      </c>
      <c r="B24" s="9" t="s">
        <v>24</v>
      </c>
      <c r="C24" s="9" t="s">
        <v>20</v>
      </c>
      <c r="D24" s="9" t="s">
        <v>11</v>
      </c>
      <c r="E24" s="9">
        <v>2012</v>
      </c>
      <c r="F24" s="44">
        <f t="shared" si="1"/>
        <v>1170.1259821758811</v>
      </c>
      <c r="G24" s="38">
        <v>1170.4605308289269</v>
      </c>
      <c r="H24" s="38">
        <v>1104.040919238809</v>
      </c>
      <c r="I24" s="38">
        <v>1238.3141283018451</v>
      </c>
      <c r="J24" s="3">
        <v>1213.2840956784262</v>
      </c>
      <c r="K24" s="9">
        <v>0.96442868273286597</v>
      </c>
      <c r="L24" s="9"/>
      <c r="M24" s="9"/>
      <c r="O24" s="9"/>
    </row>
    <row r="25" spans="1:15" x14ac:dyDescent="0.25">
      <c r="A25" s="9" t="s">
        <v>10</v>
      </c>
      <c r="B25" s="9" t="s">
        <v>26</v>
      </c>
      <c r="C25" s="9" t="s">
        <v>11</v>
      </c>
      <c r="D25" s="9" t="s">
        <v>11</v>
      </c>
      <c r="E25" s="9">
        <v>2012</v>
      </c>
      <c r="F25" s="44">
        <f t="shared" si="1"/>
        <v>3140.4949894557767</v>
      </c>
      <c r="G25" s="38"/>
      <c r="H25" s="38"/>
      <c r="I25" s="38"/>
      <c r="J25" s="3">
        <f>SUM(J26:J31)</f>
        <v>3256.3268240391521</v>
      </c>
      <c r="K25" s="9">
        <v>0.96442868273286597</v>
      </c>
      <c r="L25" s="9"/>
      <c r="M25" s="9"/>
      <c r="O25" s="9"/>
    </row>
    <row r="26" spans="1:15" x14ac:dyDescent="0.25">
      <c r="A26" s="9" t="s">
        <v>10</v>
      </c>
      <c r="B26" s="9" t="s">
        <v>26</v>
      </c>
      <c r="C26" s="9" t="s">
        <v>31</v>
      </c>
      <c r="D26" s="9" t="s">
        <v>12</v>
      </c>
      <c r="E26" s="9">
        <v>2012</v>
      </c>
      <c r="F26" s="44">
        <f t="shared" si="1"/>
        <v>265.28386579978036</v>
      </c>
      <c r="G26" s="38">
        <v>265.32209500915803</v>
      </c>
      <c r="H26" s="38">
        <v>234.41599751317676</v>
      </c>
      <c r="I26" s="38">
        <v>298.59265400730942</v>
      </c>
      <c r="J26" s="3">
        <v>275.06841153671962</v>
      </c>
      <c r="K26" s="9">
        <v>0.96442868273286597</v>
      </c>
      <c r="L26" s="9"/>
      <c r="M26" s="9"/>
      <c r="O26" s="9"/>
    </row>
    <row r="27" spans="1:15" x14ac:dyDescent="0.25">
      <c r="A27" s="9" t="s">
        <v>10</v>
      </c>
      <c r="B27" s="9" t="s">
        <v>26</v>
      </c>
      <c r="C27" s="9" t="s">
        <v>19</v>
      </c>
      <c r="D27" s="9" t="s">
        <v>12</v>
      </c>
      <c r="E27" s="9">
        <v>2012</v>
      </c>
      <c r="F27" s="44">
        <f t="shared" si="1"/>
        <v>1375.5415061530095</v>
      </c>
      <c r="G27" s="38">
        <v>1375.7424565507752</v>
      </c>
      <c r="H27" s="38">
        <v>1305.6099228898272</v>
      </c>
      <c r="I27" s="38">
        <v>1449.4804085605942</v>
      </c>
      <c r="J27" s="3">
        <v>1426.2760230805127</v>
      </c>
      <c r="K27" s="9">
        <v>0.96442868273286597</v>
      </c>
      <c r="L27" s="9"/>
      <c r="M27" s="9"/>
      <c r="O27" s="9"/>
    </row>
    <row r="28" spans="1:15" x14ac:dyDescent="0.25">
      <c r="A28" s="9" t="s">
        <v>10</v>
      </c>
      <c r="B28" s="9" t="s">
        <v>26</v>
      </c>
      <c r="C28" s="9" t="s">
        <v>20</v>
      </c>
      <c r="D28" s="9" t="s">
        <v>12</v>
      </c>
      <c r="E28" s="9">
        <v>2012</v>
      </c>
      <c r="F28" s="44">
        <f t="shared" si="1"/>
        <v>75.211473113351587</v>
      </c>
      <c r="G28" s="38">
        <v>75.286030593772907</v>
      </c>
      <c r="H28" s="38">
        <v>58.815079973804316</v>
      </c>
      <c r="I28" s="38">
        <v>93.257247130777273</v>
      </c>
      <c r="J28" s="3">
        <v>77.98552081656014</v>
      </c>
      <c r="K28" s="9">
        <v>0.96442868273286597</v>
      </c>
      <c r="L28" s="9"/>
      <c r="M28" s="9"/>
      <c r="O28" s="9"/>
    </row>
    <row r="29" spans="1:15" x14ac:dyDescent="0.25">
      <c r="A29" s="9" t="s">
        <v>10</v>
      </c>
      <c r="B29" s="9" t="s">
        <v>26</v>
      </c>
      <c r="C29" s="9" t="s">
        <v>31</v>
      </c>
      <c r="D29" s="9" t="s">
        <v>15</v>
      </c>
      <c r="E29" s="9">
        <v>2012</v>
      </c>
      <c r="F29" s="44">
        <f t="shared" si="1"/>
        <v>329.98303885691428</v>
      </c>
      <c r="G29" s="38">
        <v>330.00885624444817</v>
      </c>
      <c r="H29" s="38">
        <v>295.64812011869503</v>
      </c>
      <c r="I29" s="38">
        <v>366.64245654186192</v>
      </c>
      <c r="J29" s="3">
        <v>342.15390392771553</v>
      </c>
      <c r="K29" s="9">
        <v>0.96442868273286597</v>
      </c>
      <c r="L29" s="9"/>
      <c r="M29" s="9"/>
      <c r="O29" s="9"/>
    </row>
    <row r="30" spans="1:15" x14ac:dyDescent="0.25">
      <c r="A30" s="9" t="s">
        <v>10</v>
      </c>
      <c r="B30" s="9" t="s">
        <v>26</v>
      </c>
      <c r="C30" s="9" t="s">
        <v>19</v>
      </c>
      <c r="D30" s="9" t="s">
        <v>15</v>
      </c>
      <c r="E30" s="9">
        <v>2012</v>
      </c>
      <c r="F30" s="44">
        <f t="shared" si="1"/>
        <v>1027.2365948981342</v>
      </c>
      <c r="G30" s="38">
        <v>1026.9810172743846</v>
      </c>
      <c r="H30" s="38">
        <v>963.58506676324907</v>
      </c>
      <c r="I30" s="38">
        <v>1089.7239720857478</v>
      </c>
      <c r="J30" s="3">
        <v>1065.1244755467992</v>
      </c>
      <c r="K30" s="9">
        <v>0.96442868273286597</v>
      </c>
      <c r="L30" s="9"/>
      <c r="M30" s="9"/>
      <c r="O30" s="9"/>
    </row>
    <row r="31" spans="1:15" x14ac:dyDescent="0.25">
      <c r="A31" s="9" t="s">
        <v>10</v>
      </c>
      <c r="B31" s="9" t="s">
        <v>26</v>
      </c>
      <c r="C31" s="9" t="s">
        <v>20</v>
      </c>
      <c r="D31" s="9" t="s">
        <v>15</v>
      </c>
      <c r="E31" s="9">
        <v>2012</v>
      </c>
      <c r="F31" s="44">
        <f t="shared" si="1"/>
        <v>67.238510634586149</v>
      </c>
      <c r="G31" s="38">
        <v>67.245908213446313</v>
      </c>
      <c r="H31" s="38">
        <v>51.991243255100407</v>
      </c>
      <c r="I31" s="38">
        <v>84.30851516029513</v>
      </c>
      <c r="J31" s="3">
        <v>69.718489130844659</v>
      </c>
      <c r="K31" s="9">
        <v>0.96442868273286597</v>
      </c>
      <c r="L31" s="9"/>
      <c r="M31" s="9"/>
      <c r="O31" s="9"/>
    </row>
    <row r="32" spans="1:15" x14ac:dyDescent="0.25">
      <c r="A32" s="9" t="s">
        <v>10</v>
      </c>
      <c r="B32" s="9" t="s">
        <v>27</v>
      </c>
      <c r="C32" s="9" t="s">
        <v>11</v>
      </c>
      <c r="D32" s="9" t="s">
        <v>11</v>
      </c>
      <c r="E32" s="9">
        <v>2012</v>
      </c>
      <c r="F32" s="44">
        <f t="shared" si="1"/>
        <v>1653.911907332076</v>
      </c>
      <c r="G32" s="38"/>
      <c r="H32" s="38"/>
      <c r="I32" s="38"/>
      <c r="J32" s="3">
        <f>SUM(J33:J35)</f>
        <v>1714.9136446724572</v>
      </c>
      <c r="K32" s="9">
        <v>0.96442868273286597</v>
      </c>
      <c r="L32" s="9"/>
      <c r="M32" s="9"/>
      <c r="O32" s="9"/>
    </row>
    <row r="33" spans="1:15" x14ac:dyDescent="0.25">
      <c r="A33" s="9" t="s">
        <v>10</v>
      </c>
      <c r="B33" s="9" t="s">
        <v>27</v>
      </c>
      <c r="C33" s="9" t="s">
        <v>31</v>
      </c>
      <c r="D33" s="9" t="s">
        <v>11</v>
      </c>
      <c r="E33" s="9">
        <v>2012</v>
      </c>
      <c r="F33" s="44">
        <f t="shared" si="1"/>
        <v>620.44774296506546</v>
      </c>
      <c r="G33" s="38">
        <v>620.77765249399943</v>
      </c>
      <c r="H33" s="38">
        <v>573.41733657428824</v>
      </c>
      <c r="I33" s="38">
        <v>670.36541486845283</v>
      </c>
      <c r="J33" s="3">
        <v>643.33190631258037</v>
      </c>
      <c r="K33" s="9">
        <v>0.96442868273286597</v>
      </c>
      <c r="L33" s="9"/>
      <c r="M33" s="9"/>
      <c r="O33" s="9"/>
    </row>
    <row r="34" spans="1:15" x14ac:dyDescent="0.25">
      <c r="A34" s="9" t="s">
        <v>10</v>
      </c>
      <c r="B34" s="9" t="s">
        <v>27</v>
      </c>
      <c r="C34" s="9" t="s">
        <v>19</v>
      </c>
      <c r="D34" s="9" t="s">
        <v>11</v>
      </c>
      <c r="E34" s="9">
        <v>2012</v>
      </c>
      <c r="F34" s="44">
        <f t="shared" si="1"/>
        <v>945.55434411997112</v>
      </c>
      <c r="G34" s="38">
        <v>945.25135569801841</v>
      </c>
      <c r="H34" s="38">
        <v>885.93280179519309</v>
      </c>
      <c r="I34" s="38">
        <v>1008.010204599814</v>
      </c>
      <c r="J34" s="3">
        <v>980.4295133991543</v>
      </c>
      <c r="K34" s="9">
        <v>0.96442868273286597</v>
      </c>
      <c r="L34" s="9"/>
      <c r="M34" s="9"/>
      <c r="O34" s="9"/>
    </row>
    <row r="35" spans="1:15" x14ac:dyDescent="0.25">
      <c r="A35" s="9" t="s">
        <v>10</v>
      </c>
      <c r="B35" s="9" t="s">
        <v>27</v>
      </c>
      <c r="C35" s="9" t="s">
        <v>20</v>
      </c>
      <c r="D35" s="9" t="s">
        <v>11</v>
      </c>
      <c r="E35" s="9">
        <v>2012</v>
      </c>
      <c r="F35" s="44">
        <f t="shared" si="1"/>
        <v>87.909820247039548</v>
      </c>
      <c r="G35" s="38">
        <v>87.828447447538039</v>
      </c>
      <c r="H35" s="38">
        <v>70.589557951507871</v>
      </c>
      <c r="I35" s="38">
        <v>106.74499449857151</v>
      </c>
      <c r="J35" s="3">
        <v>91.152224960722577</v>
      </c>
      <c r="K35" s="9">
        <v>0.96442868273286597</v>
      </c>
      <c r="L35" s="9"/>
      <c r="M35" s="9"/>
      <c r="O35" s="9"/>
    </row>
    <row r="36" spans="1:15" x14ac:dyDescent="0.25">
      <c r="A36" s="9" t="s">
        <v>10</v>
      </c>
      <c r="B36" s="9" t="s">
        <v>28</v>
      </c>
      <c r="C36" s="9" t="s">
        <v>31</v>
      </c>
      <c r="D36" s="9" t="s">
        <v>12</v>
      </c>
      <c r="E36" s="9">
        <v>2012</v>
      </c>
      <c r="F36" s="44">
        <f t="shared" si="1"/>
        <v>104.45537765718211</v>
      </c>
      <c r="G36" s="38">
        <v>104.30814626799473</v>
      </c>
      <c r="H36" s="38">
        <v>85.174306840961947</v>
      </c>
      <c r="I36" s="38">
        <v>125.53717348393062</v>
      </c>
      <c r="J36" s="3">
        <v>108.30803721140973</v>
      </c>
      <c r="K36" s="9">
        <v>0.96442868273286597</v>
      </c>
      <c r="L36" s="9"/>
      <c r="M36" s="9"/>
      <c r="O36" s="9"/>
    </row>
    <row r="37" spans="1:15" x14ac:dyDescent="0.25">
      <c r="A37" s="9" t="s">
        <v>10</v>
      </c>
      <c r="B37" s="9" t="s">
        <v>28</v>
      </c>
      <c r="C37" s="9" t="s">
        <v>19</v>
      </c>
      <c r="D37" s="9" t="s">
        <v>12</v>
      </c>
      <c r="E37" s="9">
        <v>2012</v>
      </c>
      <c r="F37" s="44">
        <f t="shared" si="1"/>
        <v>1136.565864047923</v>
      </c>
      <c r="G37" s="38">
        <v>1136.5780371513899</v>
      </c>
      <c r="H37" s="38">
        <v>1070.308666819258</v>
      </c>
      <c r="I37" s="38">
        <v>1203.8594808882815</v>
      </c>
      <c r="J37" s="3">
        <v>1178.4861694773306</v>
      </c>
      <c r="K37" s="9">
        <v>0.96442868273286597</v>
      </c>
      <c r="L37" s="9"/>
      <c r="M37" s="9"/>
      <c r="O37" s="9"/>
    </row>
    <row r="38" spans="1:15" x14ac:dyDescent="0.25">
      <c r="A38" s="9" t="s">
        <v>10</v>
      </c>
      <c r="B38" s="9" t="s">
        <v>28</v>
      </c>
      <c r="C38" s="9" t="s">
        <v>20</v>
      </c>
      <c r="D38" s="9" t="s">
        <v>12</v>
      </c>
      <c r="E38" s="9">
        <v>2012</v>
      </c>
      <c r="F38" s="44">
        <f t="shared" si="1"/>
        <v>108.7803184020037</v>
      </c>
      <c r="G38" s="38">
        <v>108.77268458584648</v>
      </c>
      <c r="H38" s="38">
        <v>89.392557821556039</v>
      </c>
      <c r="I38" s="38">
        <v>130.19372952128936</v>
      </c>
      <c r="J38" s="3">
        <v>112.7924960648795</v>
      </c>
      <c r="K38" s="9">
        <v>0.96442868273286597</v>
      </c>
      <c r="L38" s="9"/>
      <c r="M38" s="9"/>
      <c r="O38" s="9"/>
    </row>
    <row r="39" spans="1:15" x14ac:dyDescent="0.25">
      <c r="A39" s="9" t="s">
        <v>10</v>
      </c>
      <c r="B39" s="9" t="s">
        <v>28</v>
      </c>
      <c r="C39" s="9" t="s">
        <v>31</v>
      </c>
      <c r="D39" s="9" t="s">
        <v>15</v>
      </c>
      <c r="E39" s="9">
        <v>2012</v>
      </c>
      <c r="F39" s="44">
        <f t="shared" si="1"/>
        <v>449.29003679864599</v>
      </c>
      <c r="G39" s="38">
        <v>449.0539641061107</v>
      </c>
      <c r="H39" s="38">
        <v>408.66669830326134</v>
      </c>
      <c r="I39" s="38">
        <v>491.08925145365401</v>
      </c>
      <c r="J39" s="3">
        <v>465.86133826454579</v>
      </c>
      <c r="K39" s="9">
        <v>0.96442868273286597</v>
      </c>
      <c r="L39" s="9"/>
      <c r="M39" s="9"/>
      <c r="O39" s="9"/>
    </row>
    <row r="40" spans="1:15" x14ac:dyDescent="0.25">
      <c r="A40" s="9" t="s">
        <v>10</v>
      </c>
      <c r="B40" s="9" t="s">
        <v>28</v>
      </c>
      <c r="C40" s="9" t="s">
        <v>19</v>
      </c>
      <c r="D40" s="9" t="s">
        <v>15</v>
      </c>
      <c r="E40" s="9">
        <v>2012</v>
      </c>
      <c r="F40" s="44">
        <f t="shared" si="1"/>
        <v>4527.9218040876922</v>
      </c>
      <c r="G40" s="38">
        <v>4528.1719312963833</v>
      </c>
      <c r="H40" s="38">
        <v>4399.0540107446823</v>
      </c>
      <c r="I40" s="38">
        <v>4660.4628900472153</v>
      </c>
      <c r="J40" s="3">
        <v>4694.9265250563549</v>
      </c>
      <c r="K40" s="9">
        <v>0.96442868273286597</v>
      </c>
      <c r="L40" s="9"/>
      <c r="M40" s="9"/>
      <c r="O40" s="9"/>
    </row>
    <row r="41" spans="1:15" x14ac:dyDescent="0.25">
      <c r="A41" s="9" t="s">
        <v>10</v>
      </c>
      <c r="B41" s="9" t="s">
        <v>28</v>
      </c>
      <c r="C41" s="9" t="s">
        <v>20</v>
      </c>
      <c r="D41" s="9" t="s">
        <v>15</v>
      </c>
      <c r="E41" s="9">
        <v>2012</v>
      </c>
      <c r="F41" s="44">
        <f t="shared" si="1"/>
        <v>278.98706538367958</v>
      </c>
      <c r="G41" s="38">
        <v>278.94807641070469</v>
      </c>
      <c r="H41" s="38">
        <v>247.68163086523973</v>
      </c>
      <c r="I41" s="38">
        <v>312.08838070542163</v>
      </c>
      <c r="J41" s="3">
        <v>289.27703041050609</v>
      </c>
      <c r="K41" s="9">
        <v>0.96442868273286597</v>
      </c>
      <c r="L41" s="9"/>
      <c r="M41" s="9"/>
      <c r="O41" s="9"/>
    </row>
    <row r="42" spans="1:15" x14ac:dyDescent="0.25">
      <c r="A42" s="9" t="s">
        <v>21</v>
      </c>
      <c r="B42" s="9" t="s">
        <v>24</v>
      </c>
      <c r="C42" s="9" t="s">
        <v>11</v>
      </c>
      <c r="D42" s="9" t="s">
        <v>11</v>
      </c>
      <c r="E42" s="9">
        <v>2012</v>
      </c>
      <c r="F42" s="44">
        <f>SUM(F43:F45)</f>
        <v>1254.0566530132248</v>
      </c>
      <c r="G42" s="38"/>
      <c r="H42" s="38"/>
      <c r="I42" s="38"/>
      <c r="J42" s="3"/>
      <c r="K42" s="9">
        <v>0.97023191415714782</v>
      </c>
      <c r="L42" s="9"/>
      <c r="M42" s="9"/>
      <c r="O42" s="9"/>
    </row>
    <row r="43" spans="1:15" x14ac:dyDescent="0.25">
      <c r="A43" s="9" t="s">
        <v>21</v>
      </c>
      <c r="B43" s="9" t="s">
        <v>24</v>
      </c>
      <c r="C43" s="9" t="s">
        <v>31</v>
      </c>
      <c r="D43" s="9" t="s">
        <v>11</v>
      </c>
      <c r="E43" s="9">
        <v>2012</v>
      </c>
      <c r="F43" s="44">
        <f t="shared" si="1"/>
        <v>366.18345358592916</v>
      </c>
      <c r="G43" s="38">
        <v>366.04025682172994</v>
      </c>
      <c r="H43" s="38">
        <v>329.70569111662871</v>
      </c>
      <c r="I43" s="38">
        <v>404.2886646766911</v>
      </c>
      <c r="J43" s="3">
        <v>377.41847927568654</v>
      </c>
      <c r="K43" s="9">
        <v>0.97023191415714782</v>
      </c>
      <c r="L43" s="9"/>
      <c r="M43" s="9"/>
      <c r="O43" s="9"/>
    </row>
    <row r="44" spans="1:15" x14ac:dyDescent="0.25">
      <c r="A44" s="9" t="s">
        <v>21</v>
      </c>
      <c r="B44" s="9" t="s">
        <v>24</v>
      </c>
      <c r="C44" s="9" t="s">
        <v>19</v>
      </c>
      <c r="D44" s="9" t="s">
        <v>11</v>
      </c>
      <c r="E44" s="9">
        <v>2012</v>
      </c>
      <c r="F44" s="44">
        <f t="shared" si="1"/>
        <v>818.72786781044181</v>
      </c>
      <c r="G44" s="38">
        <v>818.18635259160885</v>
      </c>
      <c r="H44" s="38">
        <v>763.39251484266765</v>
      </c>
      <c r="I44" s="38">
        <v>877.23519527790666</v>
      </c>
      <c r="J44" s="3">
        <v>843.84759547069791</v>
      </c>
      <c r="K44" s="9">
        <v>0.97023191415714782</v>
      </c>
      <c r="L44" s="9"/>
      <c r="M44" s="9"/>
      <c r="N44" s="8"/>
      <c r="O44" s="9"/>
    </row>
    <row r="45" spans="1:15" x14ac:dyDescent="0.25">
      <c r="A45" s="9" t="s">
        <v>21</v>
      </c>
      <c r="B45" s="9" t="s">
        <v>24</v>
      </c>
      <c r="C45" s="9" t="s">
        <v>20</v>
      </c>
      <c r="D45" s="9" t="s">
        <v>11</v>
      </c>
      <c r="E45" s="9">
        <v>2012</v>
      </c>
      <c r="F45" s="44">
        <f t="shared" si="1"/>
        <v>69.145331616853852</v>
      </c>
      <c r="G45" s="38">
        <v>69.311979951865268</v>
      </c>
      <c r="H45" s="38">
        <v>54.079376945961897</v>
      </c>
      <c r="I45" s="38">
        <v>86.660599910946956</v>
      </c>
      <c r="J45" s="3">
        <v>71.26680807744944</v>
      </c>
      <c r="K45" s="9">
        <v>0.97023191415714782</v>
      </c>
      <c r="L45" s="9"/>
      <c r="M45" s="9"/>
      <c r="O45" s="9"/>
    </row>
    <row r="46" spans="1:15" x14ac:dyDescent="0.25">
      <c r="A46" s="9" t="s">
        <v>21</v>
      </c>
      <c r="B46" s="9" t="s">
        <v>26</v>
      </c>
      <c r="C46" s="9" t="s">
        <v>11</v>
      </c>
      <c r="D46" s="9" t="s">
        <v>11</v>
      </c>
      <c r="E46" s="9">
        <v>2012</v>
      </c>
      <c r="F46" s="44">
        <f t="shared" si="1"/>
        <v>80.900814652246254</v>
      </c>
      <c r="G46" s="38"/>
      <c r="H46" s="38"/>
      <c r="I46" s="38"/>
      <c r="J46" s="3">
        <f>SUM(J47:J52)</f>
        <v>83.382965940185315</v>
      </c>
      <c r="K46" s="9">
        <v>0.97023191415714782</v>
      </c>
      <c r="L46" s="9"/>
      <c r="M46" s="9"/>
      <c r="O46" s="9"/>
    </row>
    <row r="47" spans="1:15" x14ac:dyDescent="0.25">
      <c r="A47" s="9" t="s">
        <v>21</v>
      </c>
      <c r="B47" s="9" t="s">
        <v>26</v>
      </c>
      <c r="C47" s="9" t="s">
        <v>31</v>
      </c>
      <c r="D47" s="9" t="s">
        <v>12</v>
      </c>
      <c r="E47" s="9">
        <v>2012</v>
      </c>
      <c r="F47" s="44">
        <f t="shared" si="1"/>
        <v>14.03345343918126</v>
      </c>
      <c r="G47" s="38">
        <v>14.031252818603312</v>
      </c>
      <c r="H47" s="38">
        <v>7.7204116698387191</v>
      </c>
      <c r="I47" s="38">
        <v>21.963274434797775</v>
      </c>
      <c r="J47" s="3">
        <v>14.464019616765844</v>
      </c>
      <c r="K47" s="9">
        <v>0.97023191415714782</v>
      </c>
      <c r="L47" s="9"/>
      <c r="M47" s="9"/>
      <c r="O47" s="9"/>
    </row>
    <row r="48" spans="1:15" x14ac:dyDescent="0.25">
      <c r="A48" s="9" t="s">
        <v>21</v>
      </c>
      <c r="B48" s="9" t="s">
        <v>26</v>
      </c>
      <c r="C48" s="9" t="s">
        <v>19</v>
      </c>
      <c r="D48" s="9" t="s">
        <v>12</v>
      </c>
      <c r="E48" s="9">
        <v>2012</v>
      </c>
      <c r="F48" s="44">
        <f t="shared" si="1"/>
        <v>17.797084944413506</v>
      </c>
      <c r="G48" s="38">
        <v>17.785845018213152</v>
      </c>
      <c r="H48" s="38">
        <v>10.46578056207465</v>
      </c>
      <c r="I48" s="38">
        <v>27.022136167388965</v>
      </c>
      <c r="J48" s="3">
        <v>18.343124653731937</v>
      </c>
      <c r="K48" s="9">
        <v>0.97023191415714782</v>
      </c>
      <c r="L48" s="9"/>
      <c r="M48" s="9"/>
      <c r="O48" s="9"/>
    </row>
    <row r="49" spans="1:15" x14ac:dyDescent="0.25">
      <c r="A49" s="9" t="s">
        <v>21</v>
      </c>
      <c r="B49" s="9" t="s">
        <v>26</v>
      </c>
      <c r="C49" s="9" t="s">
        <v>20</v>
      </c>
      <c r="D49" s="9" t="s">
        <v>12</v>
      </c>
      <c r="E49" s="9">
        <v>2012</v>
      </c>
      <c r="F49" s="44">
        <f t="shared" si="1"/>
        <v>2.697773632694572</v>
      </c>
      <c r="G49" s="38">
        <v>2.7095179787404158</v>
      </c>
      <c r="H49" s="38">
        <v>0.48335897285924756</v>
      </c>
      <c r="I49" s="38">
        <v>6.816328081699945</v>
      </c>
      <c r="J49" s="3">
        <v>2.7805451390847731</v>
      </c>
      <c r="K49" s="9">
        <v>0.97023191415714782</v>
      </c>
      <c r="L49" s="9"/>
      <c r="M49" s="9"/>
      <c r="O49" s="9"/>
    </row>
    <row r="50" spans="1:15" x14ac:dyDescent="0.25">
      <c r="A50" s="9" t="s">
        <v>21</v>
      </c>
      <c r="B50" s="9" t="s">
        <v>26</v>
      </c>
      <c r="C50" s="9" t="s">
        <v>31</v>
      </c>
      <c r="D50" s="9" t="s">
        <v>15</v>
      </c>
      <c r="E50" s="9">
        <v>2012</v>
      </c>
      <c r="F50" s="44">
        <f t="shared" si="1"/>
        <v>18.714640180603158</v>
      </c>
      <c r="G50" s="38">
        <v>18.774155587982918</v>
      </c>
      <c r="H50" s="38">
        <v>11.31602177019546</v>
      </c>
      <c r="I50" s="38">
        <v>28.07202931074098</v>
      </c>
      <c r="J50" s="3">
        <v>19.28883178086426</v>
      </c>
      <c r="K50" s="9">
        <v>0.97023191415714782</v>
      </c>
      <c r="L50" s="9"/>
      <c r="M50" s="9"/>
      <c r="O50" s="9"/>
    </row>
    <row r="51" spans="1:15" x14ac:dyDescent="0.25">
      <c r="A51" s="9" t="s">
        <v>21</v>
      </c>
      <c r="B51" s="9" t="s">
        <v>26</v>
      </c>
      <c r="C51" s="9" t="s">
        <v>19</v>
      </c>
      <c r="D51" s="9" t="s">
        <v>15</v>
      </c>
      <c r="E51" s="9">
        <v>2012</v>
      </c>
      <c r="F51" s="44">
        <f t="shared" si="1"/>
        <v>24.571379705499005</v>
      </c>
      <c r="G51" s="38">
        <v>24.550551831483595</v>
      </c>
      <c r="H51" s="38">
        <v>15.83781528702449</v>
      </c>
      <c r="I51" s="38">
        <v>35.382059884555808</v>
      </c>
      <c r="J51" s="3">
        <v>25.325264348621701</v>
      </c>
      <c r="K51" s="9">
        <v>0.97023191415714782</v>
      </c>
      <c r="L51" s="9"/>
      <c r="M51" s="9"/>
      <c r="O51" s="9"/>
    </row>
    <row r="52" spans="1:15" x14ac:dyDescent="0.25">
      <c r="A52" s="9" t="s">
        <v>21</v>
      </c>
      <c r="B52" s="9" t="s">
        <v>26</v>
      </c>
      <c r="C52" s="9" t="s">
        <v>20</v>
      </c>
      <c r="D52" s="9" t="s">
        <v>15</v>
      </c>
      <c r="E52" s="9">
        <v>2012</v>
      </c>
      <c r="F52" s="44">
        <f t="shared" si="1"/>
        <v>3.0864827498547567</v>
      </c>
      <c r="G52" s="38">
        <v>3.0871863129362107</v>
      </c>
      <c r="H52" s="38">
        <v>0.65062479053584998</v>
      </c>
      <c r="I52" s="38">
        <v>7.4362705237408484</v>
      </c>
      <c r="J52" s="3">
        <v>3.1811804011168006</v>
      </c>
      <c r="K52" s="9">
        <v>0.97023191415714782</v>
      </c>
      <c r="L52" s="9"/>
      <c r="M52" s="9"/>
      <c r="O52" s="9"/>
    </row>
    <row r="53" spans="1:15" x14ac:dyDescent="0.25">
      <c r="A53" s="9" t="s">
        <v>21</v>
      </c>
      <c r="B53" s="9" t="s">
        <v>27</v>
      </c>
      <c r="C53" s="11" t="s">
        <v>11</v>
      </c>
      <c r="D53" s="9" t="s">
        <v>11</v>
      </c>
      <c r="E53" s="9">
        <v>2012</v>
      </c>
      <c r="F53" s="44">
        <f t="shared" si="1"/>
        <v>37.571853909533274</v>
      </c>
      <c r="G53" s="38"/>
      <c r="H53" s="38"/>
      <c r="I53" s="38"/>
      <c r="J53" s="3">
        <f>SUM(J54:J56)</f>
        <v>38.724611467942069</v>
      </c>
      <c r="K53" s="9">
        <v>0.97023191415714782</v>
      </c>
      <c r="L53" s="9"/>
      <c r="M53" s="9"/>
      <c r="O53" s="9"/>
    </row>
    <row r="54" spans="1:15" x14ac:dyDescent="0.25">
      <c r="A54" s="9" t="s">
        <v>21</v>
      </c>
      <c r="B54" s="9" t="s">
        <v>27</v>
      </c>
      <c r="C54" s="9" t="s">
        <v>31</v>
      </c>
      <c r="D54" s="9" t="s">
        <v>11</v>
      </c>
      <c r="E54" s="9">
        <v>2012</v>
      </c>
      <c r="F54" s="44">
        <f t="shared" si="1"/>
        <v>15.622146281352723</v>
      </c>
      <c r="G54" s="38">
        <v>15.600107553284417</v>
      </c>
      <c r="H54" s="38">
        <v>8.7399227364532397</v>
      </c>
      <c r="I54" s="38">
        <v>24.251380580633374</v>
      </c>
      <c r="J54" s="3">
        <v>16.101455799795939</v>
      </c>
      <c r="K54" s="9">
        <v>0.97023191415714782</v>
      </c>
      <c r="L54" s="9"/>
      <c r="M54" s="9"/>
      <c r="O54" s="9"/>
    </row>
    <row r="55" spans="1:15" x14ac:dyDescent="0.25">
      <c r="A55" s="9" t="s">
        <v>21</v>
      </c>
      <c r="B55" s="9" t="s">
        <v>27</v>
      </c>
      <c r="C55" s="9" t="s">
        <v>19</v>
      </c>
      <c r="D55" s="9" t="s">
        <v>11</v>
      </c>
      <c r="E55" s="9">
        <v>2012</v>
      </c>
      <c r="F55" s="44">
        <f t="shared" si="1"/>
        <v>19.811849277743335</v>
      </c>
      <c r="G55" s="38">
        <v>19.87700753519357</v>
      </c>
      <c r="H55" s="38">
        <v>12.201048178300217</v>
      </c>
      <c r="I55" s="38">
        <v>29.447188706800464</v>
      </c>
      <c r="J55" s="3">
        <v>20.419704803211022</v>
      </c>
      <c r="K55" s="9">
        <v>0.97023191415714782</v>
      </c>
      <c r="L55" s="9"/>
      <c r="M55" s="9"/>
      <c r="O55" s="9"/>
    </row>
    <row r="56" spans="1:15" x14ac:dyDescent="0.25">
      <c r="A56" s="9" t="s">
        <v>21</v>
      </c>
      <c r="B56" s="9" t="s">
        <v>27</v>
      </c>
      <c r="C56" s="9" t="s">
        <v>20</v>
      </c>
      <c r="D56" s="9" t="s">
        <v>11</v>
      </c>
      <c r="E56" s="9">
        <v>2012</v>
      </c>
      <c r="F56" s="44">
        <f t="shared" si="1"/>
        <v>2.1378583504372086</v>
      </c>
      <c r="G56" s="38">
        <v>2.1389768105229439</v>
      </c>
      <c r="H56" s="38">
        <v>0.29117947858924459</v>
      </c>
      <c r="I56" s="38">
        <v>5.7192157676976771</v>
      </c>
      <c r="J56" s="3">
        <v>2.2034508649351037</v>
      </c>
      <c r="K56" s="9">
        <v>0.97023191415714782</v>
      </c>
      <c r="L56" s="9"/>
      <c r="M56" s="9"/>
      <c r="O56" s="9"/>
    </row>
    <row r="57" spans="1:15" x14ac:dyDescent="0.25">
      <c r="A57" s="9" t="s">
        <v>21</v>
      </c>
      <c r="B57" s="9" t="s">
        <v>28</v>
      </c>
      <c r="C57" s="11" t="s">
        <v>11</v>
      </c>
      <c r="D57" s="9" t="s">
        <v>11</v>
      </c>
      <c r="E57" s="9">
        <v>2012</v>
      </c>
      <c r="F57" s="44">
        <f t="shared" si="1"/>
        <v>343.88044746234499</v>
      </c>
      <c r="G57" s="38"/>
      <c r="H57" s="38"/>
      <c r="I57" s="38"/>
      <c r="J57" s="3">
        <f>SUM(J58:J63)</f>
        <v>354.43118541516753</v>
      </c>
      <c r="K57" s="9">
        <v>0.97023191415714782</v>
      </c>
      <c r="L57" s="9"/>
      <c r="M57" s="9"/>
      <c r="O57" s="9"/>
    </row>
    <row r="58" spans="1:15" x14ac:dyDescent="0.25">
      <c r="A58" s="9" t="s">
        <v>21</v>
      </c>
      <c r="B58" s="9" t="s">
        <v>28</v>
      </c>
      <c r="C58" s="9" t="s">
        <v>31</v>
      </c>
      <c r="D58" s="9" t="s">
        <v>12</v>
      </c>
      <c r="E58" s="9">
        <v>2012</v>
      </c>
      <c r="F58" s="44">
        <f t="shared" si="1"/>
        <v>14.665688345759703</v>
      </c>
      <c r="G58" s="38">
        <v>14.729801065080581</v>
      </c>
      <c r="H58" s="38">
        <v>8.1707944686477614</v>
      </c>
      <c r="I58" s="38">
        <v>23.162927912254176</v>
      </c>
      <c r="J58" s="3">
        <v>15.115652383481905</v>
      </c>
      <c r="K58" s="9">
        <v>0.97023191415714782</v>
      </c>
      <c r="L58" s="9"/>
      <c r="M58" s="9"/>
      <c r="O58" s="9"/>
    </row>
    <row r="59" spans="1:15" x14ac:dyDescent="0.25">
      <c r="A59" s="9" t="s">
        <v>21</v>
      </c>
      <c r="B59" s="9" t="s">
        <v>28</v>
      </c>
      <c r="C59" s="9" t="s">
        <v>19</v>
      </c>
      <c r="D59" s="9" t="s">
        <v>12</v>
      </c>
      <c r="E59" s="9">
        <v>2012</v>
      </c>
      <c r="F59" s="44">
        <f t="shared" si="1"/>
        <v>54.702585040587849</v>
      </c>
      <c r="G59" s="38">
        <v>54.582523755172417</v>
      </c>
      <c r="H59" s="38">
        <v>41.107784216112897</v>
      </c>
      <c r="I59" s="38">
        <v>70.044490408439586</v>
      </c>
      <c r="J59" s="3">
        <v>56.380937631915195</v>
      </c>
      <c r="K59" s="9">
        <v>0.97023191415714782</v>
      </c>
      <c r="L59" s="9"/>
      <c r="M59" s="9"/>
      <c r="O59" s="9"/>
    </row>
    <row r="60" spans="1:15" x14ac:dyDescent="0.25">
      <c r="A60" s="9" t="s">
        <v>21</v>
      </c>
      <c r="B60" s="9" t="s">
        <v>28</v>
      </c>
      <c r="C60" s="9" t="s">
        <v>20</v>
      </c>
      <c r="D60" s="9" t="s">
        <v>12</v>
      </c>
      <c r="E60" s="9">
        <v>2012</v>
      </c>
      <c r="F60" s="44">
        <f t="shared" si="1"/>
        <v>6.1835380369756932</v>
      </c>
      <c r="G60" s="38">
        <v>6.1597793089969519</v>
      </c>
      <c r="H60" s="38">
        <v>2.3096694640891902</v>
      </c>
      <c r="I60" s="38">
        <v>11.783968939209808</v>
      </c>
      <c r="J60" s="3">
        <v>6.3732577198796925</v>
      </c>
      <c r="K60" s="9">
        <v>0.97023191415714782</v>
      </c>
      <c r="L60" s="9"/>
      <c r="M60" s="9"/>
      <c r="O60" s="9"/>
    </row>
    <row r="61" spans="1:15" x14ac:dyDescent="0.25">
      <c r="A61" s="9" t="s">
        <v>21</v>
      </c>
      <c r="B61" s="9" t="s">
        <v>28</v>
      </c>
      <c r="C61" s="9" t="s">
        <v>31</v>
      </c>
      <c r="D61" s="9" t="s">
        <v>15</v>
      </c>
      <c r="E61" s="9">
        <v>2012</v>
      </c>
      <c r="F61" s="44">
        <f t="shared" si="1"/>
        <v>38.615153998203269</v>
      </c>
      <c r="G61" s="38">
        <v>38.538468452994863</v>
      </c>
      <c r="H61" s="38">
        <v>27.272296245909796</v>
      </c>
      <c r="I61" s="38">
        <v>51.545335574741969</v>
      </c>
      <c r="J61" s="3">
        <v>39.799921477277643</v>
      </c>
      <c r="K61" s="9">
        <v>0.97023191415714782</v>
      </c>
      <c r="L61" s="9"/>
      <c r="M61" s="9"/>
      <c r="O61" s="9"/>
    </row>
    <row r="62" spans="1:15" x14ac:dyDescent="0.25">
      <c r="A62" s="9" t="s">
        <v>21</v>
      </c>
      <c r="B62" s="9" t="s">
        <v>28</v>
      </c>
      <c r="C62" s="9" t="s">
        <v>19</v>
      </c>
      <c r="D62" s="9" t="s">
        <v>15</v>
      </c>
      <c r="E62" s="9">
        <v>2012</v>
      </c>
      <c r="F62" s="44">
        <f t="shared" si="1"/>
        <v>219.47944481190649</v>
      </c>
      <c r="G62" s="38">
        <v>219.3649786169066</v>
      </c>
      <c r="H62" s="38">
        <v>191.8654011148576</v>
      </c>
      <c r="I62" s="38">
        <v>249.68965185276468</v>
      </c>
      <c r="J62" s="3">
        <v>226.21338425315656</v>
      </c>
      <c r="K62" s="9">
        <v>0.97023191415714782</v>
      </c>
      <c r="L62" s="9"/>
      <c r="M62" s="9"/>
      <c r="O62" s="9"/>
    </row>
    <row r="63" spans="1:15" x14ac:dyDescent="0.25">
      <c r="A63" s="9" t="s">
        <v>21</v>
      </c>
      <c r="B63" s="9" t="s">
        <v>28</v>
      </c>
      <c r="C63" s="9" t="s">
        <v>20</v>
      </c>
      <c r="D63" s="9" t="s">
        <v>15</v>
      </c>
      <c r="E63" s="9">
        <v>2012</v>
      </c>
      <c r="F63" s="44">
        <f t="shared" si="0"/>
        <v>10.234037228912017</v>
      </c>
      <c r="G63" s="38">
        <v>10.209757988684007</v>
      </c>
      <c r="H63" s="38">
        <v>5.0320836546810543</v>
      </c>
      <c r="I63" s="38">
        <v>17.272360711435912</v>
      </c>
      <c r="J63" s="3">
        <v>10.548031949456588</v>
      </c>
      <c r="K63" s="9">
        <v>0.97023191415714782</v>
      </c>
      <c r="L63" s="9"/>
      <c r="M63" s="9"/>
      <c r="O63" s="9"/>
    </row>
    <row r="64" spans="1:15" x14ac:dyDescent="0.25">
      <c r="A64" s="9" t="s">
        <v>22</v>
      </c>
      <c r="B64" s="9" t="s">
        <v>11</v>
      </c>
      <c r="C64" s="9" t="s">
        <v>11</v>
      </c>
      <c r="D64" s="9" t="s">
        <v>11</v>
      </c>
      <c r="E64" s="9">
        <v>2012</v>
      </c>
      <c r="F64" s="44">
        <f>SUM(F67:F84)</f>
        <v>410.91996851062117</v>
      </c>
      <c r="G64" s="38">
        <v>411.12819999999999</v>
      </c>
      <c r="H64" s="38">
        <v>372</v>
      </c>
      <c r="I64" s="38">
        <v>452</v>
      </c>
      <c r="J64" s="11"/>
      <c r="K64" s="9"/>
      <c r="L64" s="9"/>
      <c r="M64" s="9"/>
      <c r="O64" s="9"/>
    </row>
    <row r="65" spans="1:15" x14ac:dyDescent="0.25">
      <c r="A65" s="9" t="s">
        <v>22</v>
      </c>
      <c r="B65" s="9" t="s">
        <v>11</v>
      </c>
      <c r="C65" s="9" t="s">
        <v>19</v>
      </c>
      <c r="D65" s="9" t="s">
        <v>11</v>
      </c>
      <c r="E65" s="9">
        <v>2012</v>
      </c>
      <c r="F65" s="44">
        <f>SUM(F68,F71,F74,F77,F80,F83)</f>
        <v>278.7998221366384</v>
      </c>
      <c r="G65" s="38"/>
      <c r="H65" s="38"/>
      <c r="I65" s="38"/>
      <c r="J65" s="11"/>
      <c r="K65" s="9"/>
      <c r="L65" s="9"/>
      <c r="M65" s="9"/>
      <c r="N65" s="9"/>
      <c r="O65" s="9"/>
    </row>
    <row r="66" spans="1:15" x14ac:dyDescent="0.25">
      <c r="A66" s="9" t="s">
        <v>22</v>
      </c>
      <c r="B66" s="9" t="s">
        <v>24</v>
      </c>
      <c r="C66" s="9" t="s">
        <v>11</v>
      </c>
      <c r="D66" s="9" t="s">
        <v>11</v>
      </c>
      <c r="E66" s="9">
        <v>2012</v>
      </c>
      <c r="F66" s="44">
        <f>SUM(F67:F69)</f>
        <v>194.18748393334107</v>
      </c>
      <c r="G66" s="38"/>
      <c r="H66" s="38"/>
      <c r="I66" s="38"/>
      <c r="J66" s="11"/>
      <c r="K66" s="9"/>
      <c r="L66" s="9"/>
      <c r="M66" s="9"/>
      <c r="N66" s="9"/>
      <c r="O66" s="9"/>
    </row>
    <row r="67" spans="1:15" x14ac:dyDescent="0.25">
      <c r="A67" s="9" t="s">
        <v>22</v>
      </c>
      <c r="B67" s="9" t="s">
        <v>24</v>
      </c>
      <c r="C67" s="9" t="s">
        <v>31</v>
      </c>
      <c r="D67" s="9" t="s">
        <v>11</v>
      </c>
      <c r="E67" s="9">
        <v>2012</v>
      </c>
      <c r="F67" s="44">
        <f t="shared" si="0"/>
        <v>72.089439874720497</v>
      </c>
      <c r="G67" s="38">
        <v>72.185766573007342</v>
      </c>
      <c r="H67" s="38">
        <v>56.259943428616815</v>
      </c>
      <c r="I67" s="38">
        <v>90.023053421091888</v>
      </c>
      <c r="J67" s="3">
        <v>83.329191253037138</v>
      </c>
      <c r="K67" s="9">
        <v>0.8651162790697674</v>
      </c>
      <c r="L67" s="9"/>
      <c r="M67" s="9"/>
      <c r="N67" s="9"/>
      <c r="O67" s="9"/>
    </row>
    <row r="68" spans="1:15" x14ac:dyDescent="0.25">
      <c r="A68" s="9" t="s">
        <v>22</v>
      </c>
      <c r="B68" s="9" t="s">
        <v>24</v>
      </c>
      <c r="C68" s="9" t="s">
        <v>19</v>
      </c>
      <c r="D68" s="9" t="s">
        <v>11</v>
      </c>
      <c r="E68" s="9">
        <v>2012</v>
      </c>
      <c r="F68" s="44">
        <f t="shared" si="0"/>
        <v>112.95215721377504</v>
      </c>
      <c r="G68" s="38">
        <v>112.79945342410319</v>
      </c>
      <c r="H68" s="38">
        <v>93.469656729471936</v>
      </c>
      <c r="I68" s="38">
        <v>134.38739843869968</v>
      </c>
      <c r="J68" s="3">
        <v>137.52703922249219</v>
      </c>
      <c r="K68" s="9">
        <v>0.82130872483221473</v>
      </c>
      <c r="L68" s="9"/>
      <c r="M68" s="9"/>
      <c r="N68" s="9"/>
      <c r="O68" s="9"/>
    </row>
    <row r="69" spans="1:15" x14ac:dyDescent="0.25">
      <c r="A69" s="9" t="s">
        <v>22</v>
      </c>
      <c r="B69" s="9" t="s">
        <v>24</v>
      </c>
      <c r="C69" s="9" t="s">
        <v>20</v>
      </c>
      <c r="D69" s="9" t="s">
        <v>11</v>
      </c>
      <c r="E69" s="9">
        <v>2012</v>
      </c>
      <c r="F69" s="44">
        <f t="shared" si="0"/>
        <v>9.1458868448455402</v>
      </c>
      <c r="G69" s="38">
        <v>9.1652796051713228</v>
      </c>
      <c r="H69" s="38">
        <v>4.1386157294404979</v>
      </c>
      <c r="I69" s="38">
        <v>16.18332840681429</v>
      </c>
      <c r="J69" s="3">
        <v>10.162096494272822</v>
      </c>
      <c r="K69" s="9">
        <v>0.9</v>
      </c>
      <c r="L69" s="9"/>
      <c r="M69" s="9"/>
      <c r="N69" s="9"/>
      <c r="O69" s="9"/>
    </row>
    <row r="70" spans="1:15" x14ac:dyDescent="0.25">
      <c r="A70" s="9" t="s">
        <v>22</v>
      </c>
      <c r="B70" s="9" t="s">
        <v>26</v>
      </c>
      <c r="C70" s="9" t="s">
        <v>31</v>
      </c>
      <c r="D70" s="9" t="s">
        <v>12</v>
      </c>
      <c r="E70" s="9">
        <v>2012</v>
      </c>
      <c r="F70" s="44">
        <f t="shared" si="0"/>
        <v>8.7627564139192042</v>
      </c>
      <c r="G70" s="38">
        <v>8.7650587294630782</v>
      </c>
      <c r="H70" s="38">
        <v>3.9600104439746868</v>
      </c>
      <c r="I70" s="38">
        <v>15.451948677446902</v>
      </c>
      <c r="J70" s="3">
        <v>10.128992628992629</v>
      </c>
      <c r="K70" s="9">
        <v>0.8651162790697674</v>
      </c>
      <c r="L70" s="9"/>
      <c r="M70" s="9"/>
      <c r="N70" s="9"/>
      <c r="O70" s="9"/>
    </row>
    <row r="71" spans="1:15" x14ac:dyDescent="0.25">
      <c r="A71" s="9" t="s">
        <v>22</v>
      </c>
      <c r="B71" s="9" t="s">
        <v>26</v>
      </c>
      <c r="C71" s="9" t="s">
        <v>19</v>
      </c>
      <c r="D71" s="9" t="s">
        <v>12</v>
      </c>
      <c r="E71" s="9">
        <v>2012</v>
      </c>
      <c r="F71" s="44">
        <f t="shared" si="0"/>
        <v>30.780411073825501</v>
      </c>
      <c r="G71" s="38">
        <v>30.903091551622719</v>
      </c>
      <c r="H71" s="38">
        <v>21.025123811637624</v>
      </c>
      <c r="I71" s="38">
        <v>42.871417836537468</v>
      </c>
      <c r="J71" s="3">
        <v>37.477272727272727</v>
      </c>
      <c r="K71" s="9">
        <v>0.82130872483221473</v>
      </c>
      <c r="L71" s="9"/>
      <c r="M71" s="9"/>
      <c r="N71" s="9"/>
      <c r="O71" s="9"/>
    </row>
    <row r="72" spans="1:15" x14ac:dyDescent="0.25">
      <c r="A72" s="9" t="s">
        <v>22</v>
      </c>
      <c r="B72" s="9" t="s">
        <v>26</v>
      </c>
      <c r="C72" s="9" t="s">
        <v>20</v>
      </c>
      <c r="D72" s="9" t="s">
        <v>12</v>
      </c>
      <c r="E72" s="9">
        <v>2012</v>
      </c>
      <c r="F72" s="44">
        <f t="shared" si="0"/>
        <v>1.823218673218673</v>
      </c>
      <c r="G72" s="38">
        <v>1.8537547401937169</v>
      </c>
      <c r="H72" s="38">
        <v>0.20237850439106611</v>
      </c>
      <c r="I72" s="38">
        <v>5.2682478741660761</v>
      </c>
      <c r="J72" s="3">
        <v>2.0257985257985256</v>
      </c>
      <c r="K72" s="9">
        <v>0.9</v>
      </c>
      <c r="L72" s="9"/>
      <c r="M72" s="9"/>
      <c r="N72" s="9"/>
      <c r="O72" s="9"/>
    </row>
    <row r="73" spans="1:15" x14ac:dyDescent="0.25">
      <c r="A73" s="9" t="s">
        <v>22</v>
      </c>
      <c r="B73" s="9" t="s">
        <v>26</v>
      </c>
      <c r="C73" s="9" t="s">
        <v>31</v>
      </c>
      <c r="D73" s="9" t="s">
        <v>15</v>
      </c>
      <c r="E73" s="9">
        <v>2012</v>
      </c>
      <c r="F73" s="44">
        <f t="shared" si="0"/>
        <v>4.6072224444317467</v>
      </c>
      <c r="G73" s="38">
        <v>4.6290868819132518</v>
      </c>
      <c r="H73" s="38">
        <v>1.4401567593628524</v>
      </c>
      <c r="I73" s="38">
        <v>9.8070364900626732</v>
      </c>
      <c r="J73" s="3">
        <v>5.3255528255528253</v>
      </c>
      <c r="K73" s="9">
        <v>0.8651162790697674</v>
      </c>
      <c r="L73" s="9"/>
      <c r="M73" s="9"/>
      <c r="N73" s="9"/>
      <c r="O73" s="9"/>
    </row>
    <row r="74" spans="1:15" x14ac:dyDescent="0.25">
      <c r="A74" s="9" t="s">
        <v>22</v>
      </c>
      <c r="B74" s="9" t="s">
        <v>26</v>
      </c>
      <c r="C74" s="9" t="s">
        <v>19</v>
      </c>
      <c r="D74" s="9" t="s">
        <v>15</v>
      </c>
      <c r="E74" s="9">
        <v>2012</v>
      </c>
      <c r="F74" s="44">
        <f t="shared" si="0"/>
        <v>16.183515100671141</v>
      </c>
      <c r="G74" s="38">
        <v>16.179147906745577</v>
      </c>
      <c r="H74" s="38">
        <v>9.2848610455969904</v>
      </c>
      <c r="I74" s="38">
        <v>25.043208060680293</v>
      </c>
      <c r="J74" s="3">
        <v>19.704545454545453</v>
      </c>
      <c r="K74" s="9">
        <v>0.82130872483221473</v>
      </c>
      <c r="L74" s="9"/>
      <c r="M74" s="9"/>
      <c r="N74" s="9"/>
      <c r="O74" s="9"/>
    </row>
    <row r="75" spans="1:15" x14ac:dyDescent="0.25">
      <c r="A75" s="9" t="s">
        <v>22</v>
      </c>
      <c r="B75" s="9" t="s">
        <v>26</v>
      </c>
      <c r="C75" s="9" t="s">
        <v>20</v>
      </c>
      <c r="D75" s="9" t="s">
        <v>15</v>
      </c>
      <c r="E75" s="9">
        <v>2012</v>
      </c>
      <c r="F75" s="44">
        <f t="shared" si="0"/>
        <v>0.95859950859950849</v>
      </c>
      <c r="G75" s="38">
        <v>0.9520153015256172</v>
      </c>
      <c r="H75" s="38">
        <v>2.3021581790794051E-2</v>
      </c>
      <c r="I75" s="38">
        <v>3.5222802691002286</v>
      </c>
      <c r="J75" s="3">
        <v>1.065110565110565</v>
      </c>
      <c r="K75" s="9">
        <v>0.9</v>
      </c>
      <c r="L75" s="9"/>
      <c r="M75" s="9"/>
      <c r="N75" s="9"/>
      <c r="O75" s="9"/>
    </row>
    <row r="76" spans="1:15" x14ac:dyDescent="0.25">
      <c r="A76" s="9" t="s">
        <v>22</v>
      </c>
      <c r="B76" s="9" t="s">
        <v>27</v>
      </c>
      <c r="C76" s="9" t="s">
        <v>31</v>
      </c>
      <c r="D76" s="9" t="s">
        <v>11</v>
      </c>
      <c r="E76" s="9">
        <v>2012</v>
      </c>
      <c r="F76" s="44">
        <f t="shared" si="0"/>
        <v>6.7124880984952124</v>
      </c>
      <c r="G76" s="38">
        <v>6.7135922759409361</v>
      </c>
      <c r="H76" s="38">
        <v>2.5773794501696408</v>
      </c>
      <c r="I76" s="38">
        <v>12.778121187215403</v>
      </c>
      <c r="J76" s="3">
        <v>7.7590588235294122</v>
      </c>
      <c r="K76" s="9">
        <v>0.8651162790697674</v>
      </c>
      <c r="L76" s="9"/>
      <c r="M76" s="9"/>
      <c r="N76" s="9"/>
      <c r="O76" s="9"/>
    </row>
    <row r="77" spans="1:15" x14ac:dyDescent="0.25">
      <c r="A77" s="9" t="s">
        <v>22</v>
      </c>
      <c r="B77" s="9" t="s">
        <v>27</v>
      </c>
      <c r="C77" s="9" t="s">
        <v>19</v>
      </c>
      <c r="D77" s="9" t="s">
        <v>11</v>
      </c>
      <c r="E77" s="9">
        <v>2012</v>
      </c>
      <c r="F77" s="44">
        <f t="shared" si="0"/>
        <v>16.462505329648639</v>
      </c>
      <c r="G77" s="38">
        <v>16.414917132428329</v>
      </c>
      <c r="H77" s="38">
        <v>9.4778065316526412</v>
      </c>
      <c r="I77" s="38">
        <v>25.165285036472071</v>
      </c>
      <c r="J77" s="3">
        <v>20.044235294117648</v>
      </c>
      <c r="K77" s="9">
        <v>0.82130872483221473</v>
      </c>
      <c r="L77" s="9"/>
      <c r="M77" s="9"/>
      <c r="N77" s="9"/>
      <c r="O77" s="9"/>
    </row>
    <row r="78" spans="1:15" x14ac:dyDescent="0.25">
      <c r="A78" s="9" t="s">
        <v>22</v>
      </c>
      <c r="B78" s="9" t="s">
        <v>27</v>
      </c>
      <c r="C78" s="9" t="s">
        <v>20</v>
      </c>
      <c r="D78" s="9" t="s">
        <v>11</v>
      </c>
      <c r="E78" s="9">
        <v>2012</v>
      </c>
      <c r="F78" s="44">
        <f t="shared" si="0"/>
        <v>1.1638588235294118</v>
      </c>
      <c r="G78" s="38">
        <v>1.1454094559777213</v>
      </c>
      <c r="H78" s="38">
        <v>4.6068988269637061E-2</v>
      </c>
      <c r="I78" s="38">
        <v>3.9111966173438542</v>
      </c>
      <c r="J78" s="3">
        <v>1.2931764705882354</v>
      </c>
      <c r="K78" s="9">
        <v>0.9</v>
      </c>
      <c r="L78" s="9"/>
      <c r="M78" s="9"/>
      <c r="N78" s="9"/>
      <c r="O78" s="9"/>
    </row>
    <row r="79" spans="1:15" x14ac:dyDescent="0.25">
      <c r="A79" s="9" t="s">
        <v>22</v>
      </c>
      <c r="B79" s="9" t="s">
        <v>28</v>
      </c>
      <c r="C79" s="9" t="s">
        <v>31</v>
      </c>
      <c r="D79" s="9" t="s">
        <v>12</v>
      </c>
      <c r="E79" s="9">
        <v>2012</v>
      </c>
      <c r="F79" s="44">
        <f t="shared" si="0"/>
        <v>7.2780638288718436</v>
      </c>
      <c r="G79" s="38">
        <v>7.2823554995523079</v>
      </c>
      <c r="H79" s="38">
        <v>2.9937498589382789</v>
      </c>
      <c r="I79" s="38">
        <v>13.409531288991296</v>
      </c>
      <c r="J79" s="3">
        <v>8.4128157161690673</v>
      </c>
      <c r="K79" s="9">
        <v>0.8651162790697674</v>
      </c>
      <c r="L79" s="9"/>
      <c r="M79" s="9"/>
      <c r="N79" s="9"/>
      <c r="O79" s="9"/>
    </row>
    <row r="80" spans="1:15" x14ac:dyDescent="0.25">
      <c r="A80" s="9" t="s">
        <v>22</v>
      </c>
      <c r="B80" s="9" t="s">
        <v>28</v>
      </c>
      <c r="C80" s="9" t="s">
        <v>19</v>
      </c>
      <c r="D80" s="9" t="s">
        <v>12</v>
      </c>
      <c r="E80" s="9">
        <v>2012</v>
      </c>
      <c r="F80" s="44">
        <f t="shared" si="0"/>
        <v>34.685785119438059</v>
      </c>
      <c r="G80" s="38">
        <v>34.676251818800438</v>
      </c>
      <c r="H80" s="38">
        <v>23.978389785471109</v>
      </c>
      <c r="I80" s="38">
        <v>47.129236133964298</v>
      </c>
      <c r="J80" s="3">
        <v>42.232334895168712</v>
      </c>
      <c r="K80" s="9">
        <v>0.82130872483221473</v>
      </c>
      <c r="L80" s="9"/>
      <c r="M80" s="9"/>
      <c r="N80" s="9"/>
      <c r="O80" s="9"/>
    </row>
    <row r="81" spans="1:15" x14ac:dyDescent="0.25">
      <c r="A81" s="9" t="s">
        <v>22</v>
      </c>
      <c r="B81" s="9" t="s">
        <v>28</v>
      </c>
      <c r="C81" s="9" t="s">
        <v>20</v>
      </c>
      <c r="D81" s="9" t="s">
        <v>12</v>
      </c>
      <c r="E81" s="9">
        <v>2012</v>
      </c>
      <c r="F81" s="44">
        <f t="shared" si="0"/>
        <v>1.8171681946925187</v>
      </c>
      <c r="G81" s="38">
        <v>1.8051088269089859</v>
      </c>
      <c r="H81" s="38">
        <v>0.1964926790095313</v>
      </c>
      <c r="I81" s="38">
        <v>5.2304818213213506</v>
      </c>
      <c r="J81" s="3">
        <v>2.0190757718805763</v>
      </c>
      <c r="K81" s="9">
        <v>0.9</v>
      </c>
      <c r="L81" s="9"/>
      <c r="M81" s="9"/>
      <c r="N81" s="9"/>
      <c r="O81" s="9"/>
    </row>
    <row r="82" spans="1:15" x14ac:dyDescent="0.25">
      <c r="A82" s="9" t="s">
        <v>22</v>
      </c>
      <c r="B82" s="9" t="s">
        <v>28</v>
      </c>
      <c r="C82" s="9" t="s">
        <v>31</v>
      </c>
      <c r="D82" s="9" t="s">
        <v>15</v>
      </c>
      <c r="E82" s="9">
        <v>2012</v>
      </c>
      <c r="F82" s="44">
        <f t="shared" si="0"/>
        <v>14.212822760155396</v>
      </c>
      <c r="G82" s="38">
        <v>14.229806590560385</v>
      </c>
      <c r="H82" s="38">
        <v>7.8303843327188041</v>
      </c>
      <c r="I82" s="38">
        <v>22.784527240856619</v>
      </c>
      <c r="J82" s="3">
        <v>16.428800502330162</v>
      </c>
      <c r="K82" s="9">
        <v>0.8651162790697674</v>
      </c>
      <c r="L82" s="9"/>
      <c r="M82" s="9"/>
      <c r="N82" s="9"/>
      <c r="O82" s="9"/>
    </row>
    <row r="83" spans="1:15" x14ac:dyDescent="0.25">
      <c r="A83" s="9" t="s">
        <v>22</v>
      </c>
      <c r="B83" s="9" t="s">
        <v>28</v>
      </c>
      <c r="C83" s="9" t="s">
        <v>19</v>
      </c>
      <c r="D83" s="9" t="s">
        <v>15</v>
      </c>
      <c r="E83" s="9">
        <v>2012</v>
      </c>
      <c r="F83" s="44">
        <f t="shared" si="0"/>
        <v>67.735448299279994</v>
      </c>
      <c r="G83" s="38">
        <v>67.87999712906425</v>
      </c>
      <c r="H83" s="38">
        <v>52.804902334881739</v>
      </c>
      <c r="I83" s="38">
        <v>85.100933713115907</v>
      </c>
      <c r="J83" s="3">
        <v>82.4725785216974</v>
      </c>
      <c r="K83" s="9">
        <v>0.82130872483221473</v>
      </c>
      <c r="L83" s="9"/>
      <c r="M83" s="9"/>
      <c r="N83" s="9"/>
      <c r="O83" s="9"/>
    </row>
    <row r="84" spans="1:15" ht="15.75" thickBot="1" x14ac:dyDescent="0.3">
      <c r="A84" s="6" t="s">
        <v>22</v>
      </c>
      <c r="B84" s="6" t="s">
        <v>28</v>
      </c>
      <c r="C84" s="6" t="s">
        <v>20</v>
      </c>
      <c r="D84" s="6" t="s">
        <v>15</v>
      </c>
      <c r="E84" s="6">
        <v>2012</v>
      </c>
      <c r="F84" s="45">
        <f t="shared" si="0"/>
        <v>3.5486209085033145</v>
      </c>
      <c r="G84" s="65">
        <v>3.5481065570208274</v>
      </c>
      <c r="H84" s="65">
        <v>0.87217974666163189</v>
      </c>
      <c r="I84" s="65">
        <v>8.1065325400933066</v>
      </c>
      <c r="J84" s="12">
        <v>3.9429121205592383</v>
      </c>
      <c r="K84" s="6">
        <v>0.9</v>
      </c>
      <c r="L84" s="6"/>
      <c r="M84" s="6"/>
      <c r="N84" s="6"/>
      <c r="O84" s="9"/>
    </row>
    <row r="85" spans="1:15" x14ac:dyDescent="0.25">
      <c r="A85" s="9" t="s">
        <v>10</v>
      </c>
      <c r="B85" s="9" t="s">
        <v>11</v>
      </c>
      <c r="C85" s="9" t="s">
        <v>11</v>
      </c>
      <c r="D85" s="9" t="s">
        <v>11</v>
      </c>
      <c r="E85" s="9">
        <v>2013</v>
      </c>
      <c r="F85" s="44">
        <f t="shared" si="0"/>
        <v>34416.610878989348</v>
      </c>
      <c r="G85" s="38">
        <v>34414.630599999997</v>
      </c>
      <c r="H85" s="38">
        <v>34055</v>
      </c>
      <c r="I85" s="38">
        <v>34779</v>
      </c>
      <c r="J85" s="3">
        <f>SUM(J86:J88,J90:J95,J97:J99,J100:J105)</f>
        <v>35660.366741408281</v>
      </c>
      <c r="K85" s="9">
        <v>0.96512217971738623</v>
      </c>
      <c r="L85" s="9"/>
      <c r="M85" s="9"/>
      <c r="N85" s="9"/>
      <c r="O85" s="9"/>
    </row>
    <row r="86" spans="1:15" x14ac:dyDescent="0.25">
      <c r="A86" s="9" t="s">
        <v>10</v>
      </c>
      <c r="B86" s="9" t="s">
        <v>24</v>
      </c>
      <c r="C86" s="9" t="s">
        <v>31</v>
      </c>
      <c r="D86" s="9" t="s">
        <v>11</v>
      </c>
      <c r="E86" s="9">
        <v>2013</v>
      </c>
      <c r="F86" s="44">
        <f t="shared" si="0"/>
        <v>6586.9159170695357</v>
      </c>
      <c r="G86" s="38">
        <v>6586.6605433705736</v>
      </c>
      <c r="H86" s="38">
        <v>6429.7660080565201</v>
      </c>
      <c r="I86" s="38">
        <v>6747.5232272565254</v>
      </c>
      <c r="J86" s="3">
        <v>6824.9554880174464</v>
      </c>
      <c r="K86" s="9">
        <v>0.96512217971738623</v>
      </c>
      <c r="L86" s="9"/>
      <c r="M86" s="9"/>
      <c r="O86" s="9"/>
    </row>
    <row r="87" spans="1:15" x14ac:dyDescent="0.25">
      <c r="A87" s="9" t="s">
        <v>10</v>
      </c>
      <c r="B87" s="9" t="s">
        <v>24</v>
      </c>
      <c r="C87" s="9" t="s">
        <v>19</v>
      </c>
      <c r="D87" s="9" t="s">
        <v>11</v>
      </c>
      <c r="E87" s="9">
        <v>2013</v>
      </c>
      <c r="F87" s="44">
        <f t="shared" si="0"/>
        <v>14748.1758536373</v>
      </c>
      <c r="G87" s="38">
        <v>14747.160752987755</v>
      </c>
      <c r="H87" s="38">
        <v>14511.909742420323</v>
      </c>
      <c r="I87" s="38">
        <v>14980.7442341393</v>
      </c>
      <c r="J87" s="3">
        <v>15281.149022972369</v>
      </c>
      <c r="K87" s="9">
        <v>0.96512217971738623</v>
      </c>
      <c r="L87" s="9"/>
      <c r="M87" s="9"/>
      <c r="O87" s="9"/>
    </row>
    <row r="88" spans="1:15" x14ac:dyDescent="0.25">
      <c r="A88" s="9" t="s">
        <v>10</v>
      </c>
      <c r="B88" s="9" t="s">
        <v>24</v>
      </c>
      <c r="C88" s="9" t="s">
        <v>20</v>
      </c>
      <c r="D88" s="9" t="s">
        <v>11</v>
      </c>
      <c r="E88" s="9">
        <v>2013</v>
      </c>
      <c r="F88" s="44">
        <f t="shared" si="0"/>
        <v>1407.9176721085498</v>
      </c>
      <c r="G88" s="38">
        <v>1408.3563268631215</v>
      </c>
      <c r="H88" s="38">
        <v>1335.7455120404495</v>
      </c>
      <c r="I88" s="38">
        <v>1482.8029747937571</v>
      </c>
      <c r="J88" s="3">
        <v>1458.7973436905429</v>
      </c>
      <c r="K88" s="9">
        <v>0.96512217971738623</v>
      </c>
      <c r="L88" s="9"/>
      <c r="M88" s="9"/>
      <c r="O88" s="9"/>
    </row>
    <row r="89" spans="1:15" x14ac:dyDescent="0.25">
      <c r="A89" s="9" t="s">
        <v>10</v>
      </c>
      <c r="B89" s="9" t="s">
        <v>26</v>
      </c>
      <c r="C89" s="9" t="s">
        <v>11</v>
      </c>
      <c r="D89" s="9" t="s">
        <v>11</v>
      </c>
      <c r="E89" s="9">
        <v>2013</v>
      </c>
      <c r="F89" s="44">
        <f t="shared" si="0"/>
        <v>2484.475387188641</v>
      </c>
      <c r="G89" s="38"/>
      <c r="H89" s="38"/>
      <c r="I89" s="38"/>
      <c r="J89" s="3">
        <f>SUM(J90:J95)</f>
        <v>2574.2599635583574</v>
      </c>
      <c r="K89" s="9">
        <v>0.96512217971738623</v>
      </c>
      <c r="L89" s="9"/>
      <c r="M89" s="9"/>
      <c r="O89" s="9"/>
    </row>
    <row r="90" spans="1:15" x14ac:dyDescent="0.25">
      <c r="A90" s="9" t="s">
        <v>10</v>
      </c>
      <c r="B90" s="9" t="s">
        <v>26</v>
      </c>
      <c r="C90" s="9" t="s">
        <v>31</v>
      </c>
      <c r="D90" s="9" t="s">
        <v>12</v>
      </c>
      <c r="E90" s="9">
        <v>2013</v>
      </c>
      <c r="F90" s="44">
        <f t="shared" si="0"/>
        <v>202.36430199393052</v>
      </c>
      <c r="G90" s="38">
        <v>202.54445068344918</v>
      </c>
      <c r="H90" s="38">
        <v>176.4616173624359</v>
      </c>
      <c r="I90" s="38">
        <v>231.86505874702806</v>
      </c>
      <c r="J90" s="3">
        <v>209.67739240350713</v>
      </c>
      <c r="K90" s="9">
        <v>0.96512217971738623</v>
      </c>
      <c r="L90" s="9"/>
      <c r="M90" s="9"/>
      <c r="O90" s="9"/>
    </row>
    <row r="91" spans="1:15" x14ac:dyDescent="0.25">
      <c r="A91" s="9" t="s">
        <v>10</v>
      </c>
      <c r="B91" s="9" t="s">
        <v>26</v>
      </c>
      <c r="C91" s="9" t="s">
        <v>19</v>
      </c>
      <c r="D91" s="9" t="s">
        <v>12</v>
      </c>
      <c r="E91" s="9">
        <v>2013</v>
      </c>
      <c r="F91" s="44">
        <f t="shared" si="0"/>
        <v>1207.3584886358346</v>
      </c>
      <c r="G91" s="38">
        <v>1207.394476564999</v>
      </c>
      <c r="H91" s="38">
        <v>1140.4313112820846</v>
      </c>
      <c r="I91" s="38">
        <v>1276.5777757287231</v>
      </c>
      <c r="J91" s="3">
        <v>1250.9903036208138</v>
      </c>
      <c r="K91" s="9">
        <v>0.96512217971738623</v>
      </c>
      <c r="L91" s="9"/>
      <c r="M91" s="9"/>
      <c r="O91" s="9"/>
    </row>
    <row r="92" spans="1:15" x14ac:dyDescent="0.25">
      <c r="A92" s="9" t="s">
        <v>10</v>
      </c>
      <c r="B92" s="9" t="s">
        <v>26</v>
      </c>
      <c r="C92" s="9" t="s">
        <v>20</v>
      </c>
      <c r="D92" s="9" t="s">
        <v>12</v>
      </c>
      <c r="E92" s="9">
        <v>2013</v>
      </c>
      <c r="F92" s="44">
        <f t="shared" si="0"/>
        <v>72.360547652074089</v>
      </c>
      <c r="G92" s="38">
        <v>72.447813035998578</v>
      </c>
      <c r="H92" s="38">
        <v>56.669097954263762</v>
      </c>
      <c r="I92" s="38">
        <v>90.708811490204354</v>
      </c>
      <c r="J92" s="3">
        <v>74.975530738774651</v>
      </c>
      <c r="K92" s="9">
        <v>0.96512217971738623</v>
      </c>
      <c r="L92" s="9"/>
      <c r="M92" s="9"/>
      <c r="O92" s="9"/>
    </row>
    <row r="93" spans="1:15" x14ac:dyDescent="0.25">
      <c r="A93" s="9" t="s">
        <v>10</v>
      </c>
      <c r="B93" s="9" t="s">
        <v>26</v>
      </c>
      <c r="C93" s="9" t="s">
        <v>31</v>
      </c>
      <c r="D93" s="9" t="s">
        <v>15</v>
      </c>
      <c r="E93" s="9">
        <v>2013</v>
      </c>
      <c r="F93" s="44">
        <f t="shared" si="0"/>
        <v>207.15145479158099</v>
      </c>
      <c r="G93" s="38">
        <v>207.25213910398102</v>
      </c>
      <c r="H93" s="38">
        <v>179.83488440414982</v>
      </c>
      <c r="I93" s="38">
        <v>236.1855617034137</v>
      </c>
      <c r="J93" s="3">
        <v>214.63754449435669</v>
      </c>
      <c r="K93" s="9">
        <v>0.96512217971738623</v>
      </c>
      <c r="L93" s="9"/>
      <c r="M93" s="9"/>
      <c r="O93" s="9"/>
    </row>
    <row r="94" spans="1:15" x14ac:dyDescent="0.25">
      <c r="A94" s="9" t="s">
        <v>10</v>
      </c>
      <c r="B94" s="9" t="s">
        <v>26</v>
      </c>
      <c r="C94" s="9" t="s">
        <v>19</v>
      </c>
      <c r="D94" s="9" t="s">
        <v>15</v>
      </c>
      <c r="E94" s="9">
        <v>2013</v>
      </c>
      <c r="F94" s="44">
        <f t="shared" si="0"/>
        <v>742.00413775252139</v>
      </c>
      <c r="G94" s="38">
        <v>741.67073039727552</v>
      </c>
      <c r="H94" s="38">
        <v>688.56032377852739</v>
      </c>
      <c r="I94" s="38">
        <v>795.95969412281579</v>
      </c>
      <c r="J94" s="3">
        <v>768.81886391814157</v>
      </c>
      <c r="K94" s="9">
        <v>0.96512217971738623</v>
      </c>
      <c r="L94" s="9"/>
      <c r="M94" s="9"/>
      <c r="O94" s="9"/>
    </row>
    <row r="95" spans="1:15" x14ac:dyDescent="0.25">
      <c r="A95" s="9" t="s">
        <v>10</v>
      </c>
      <c r="B95" s="9" t="s">
        <v>26</v>
      </c>
      <c r="C95" s="9" t="s">
        <v>20</v>
      </c>
      <c r="D95" s="9" t="s">
        <v>15</v>
      </c>
      <c r="E95" s="9">
        <v>2013</v>
      </c>
      <c r="F95" s="44">
        <f t="shared" si="0"/>
        <v>53.236456362699627</v>
      </c>
      <c r="G95" s="38">
        <v>53.17410401545694</v>
      </c>
      <c r="H95" s="38">
        <v>39.8677988225406</v>
      </c>
      <c r="I95" s="38">
        <v>68.288820355586424</v>
      </c>
      <c r="J95" s="3">
        <v>55.160328382763616</v>
      </c>
      <c r="K95" s="9">
        <v>0.96512217971738623</v>
      </c>
      <c r="L95" s="9"/>
      <c r="M95" s="9"/>
      <c r="O95" s="9"/>
    </row>
    <row r="96" spans="1:15" x14ac:dyDescent="0.25">
      <c r="A96" s="9" t="s">
        <v>10</v>
      </c>
      <c r="B96" s="9" t="s">
        <v>27</v>
      </c>
      <c r="C96" s="9" t="s">
        <v>11</v>
      </c>
      <c r="D96" s="9" t="s">
        <v>11</v>
      </c>
      <c r="E96" s="9">
        <v>2013</v>
      </c>
      <c r="F96" s="44">
        <f t="shared" si="0"/>
        <v>1794.3658353344827</v>
      </c>
      <c r="G96" s="38"/>
      <c r="H96" s="38"/>
      <c r="I96" s="38"/>
      <c r="J96" s="3">
        <f>SUM(J97:J99)</f>
        <v>1859.2110647171339</v>
      </c>
      <c r="K96" s="9">
        <v>0.96512217971738623</v>
      </c>
      <c r="L96" s="9"/>
      <c r="M96" s="9"/>
      <c r="O96" s="9"/>
    </row>
    <row r="97" spans="1:15" x14ac:dyDescent="0.25">
      <c r="A97" s="9" t="s">
        <v>10</v>
      </c>
      <c r="B97" s="9" t="s">
        <v>27</v>
      </c>
      <c r="C97" s="9" t="s">
        <v>31</v>
      </c>
      <c r="D97" s="9" t="s">
        <v>11</v>
      </c>
      <c r="E97" s="9">
        <v>2013</v>
      </c>
      <c r="F97" s="44">
        <f t="shared" si="0"/>
        <v>611.93923205919236</v>
      </c>
      <c r="G97" s="38">
        <v>611.94011742509622</v>
      </c>
      <c r="H97" s="38">
        <v>564.06897803188735</v>
      </c>
      <c r="I97" s="38">
        <v>659.78379097433663</v>
      </c>
      <c r="J97" s="3">
        <v>634.05364099951021</v>
      </c>
      <c r="K97" s="9">
        <v>0.96512217971738623</v>
      </c>
      <c r="L97" s="9"/>
      <c r="M97" s="9"/>
      <c r="O97" s="9"/>
    </row>
    <row r="98" spans="1:15" x14ac:dyDescent="0.25">
      <c r="A98" s="9" t="s">
        <v>10</v>
      </c>
      <c r="B98" s="9" t="s">
        <v>27</v>
      </c>
      <c r="C98" s="9" t="s">
        <v>19</v>
      </c>
      <c r="D98" s="9" t="s">
        <v>11</v>
      </c>
      <c r="E98" s="9">
        <v>2013</v>
      </c>
      <c r="F98" s="44">
        <f t="shared" si="0"/>
        <v>1073.072479634973</v>
      </c>
      <c r="G98" s="38">
        <v>1072.2606421080095</v>
      </c>
      <c r="H98" s="38">
        <v>1009.1820104363489</v>
      </c>
      <c r="I98" s="38">
        <v>1137.9340987551843</v>
      </c>
      <c r="J98" s="3">
        <v>1111.8514341357252</v>
      </c>
      <c r="K98" s="9">
        <v>0.96512217971738623</v>
      </c>
      <c r="L98" s="9"/>
      <c r="M98" s="9"/>
      <c r="O98" s="9"/>
    </row>
    <row r="99" spans="1:15" x14ac:dyDescent="0.25">
      <c r="A99" s="9" t="s">
        <v>10</v>
      </c>
      <c r="B99" s="9" t="s">
        <v>27</v>
      </c>
      <c r="C99" s="9" t="s">
        <v>20</v>
      </c>
      <c r="D99" s="9" t="s">
        <v>11</v>
      </c>
      <c r="E99" s="9">
        <v>2013</v>
      </c>
      <c r="F99" s="44">
        <f t="shared" si="0"/>
        <v>109.35412364031744</v>
      </c>
      <c r="G99" s="38">
        <v>109.3997974611821</v>
      </c>
      <c r="H99" s="38">
        <v>90.087901006952094</v>
      </c>
      <c r="I99" s="38">
        <v>130.39663438858159</v>
      </c>
      <c r="J99" s="3">
        <v>113.3059895818986</v>
      </c>
      <c r="K99" s="9">
        <v>0.96512217971738623</v>
      </c>
      <c r="L99" s="9"/>
      <c r="M99" s="9"/>
      <c r="O99" s="9"/>
    </row>
    <row r="100" spans="1:15" x14ac:dyDescent="0.25">
      <c r="A100" s="9" t="s">
        <v>10</v>
      </c>
      <c r="B100" s="9" t="s">
        <v>28</v>
      </c>
      <c r="C100" s="9" t="s">
        <v>31</v>
      </c>
      <c r="D100" s="9" t="s">
        <v>12</v>
      </c>
      <c r="E100" s="9">
        <v>2013</v>
      </c>
      <c r="F100" s="44">
        <f t="shared" si="0"/>
        <v>87.627439735700648</v>
      </c>
      <c r="G100" s="38">
        <v>87.729822643034765</v>
      </c>
      <c r="H100" s="38">
        <v>70.427076907163837</v>
      </c>
      <c r="I100" s="38">
        <v>107.42692481481126</v>
      </c>
      <c r="J100" s="3">
        <v>90.794141485133338</v>
      </c>
      <c r="K100" s="9">
        <v>0.96512217971738623</v>
      </c>
      <c r="L100" s="9"/>
      <c r="M100" s="9"/>
      <c r="O100" s="9"/>
    </row>
    <row r="101" spans="1:15" x14ac:dyDescent="0.25">
      <c r="A101" s="9" t="s">
        <v>10</v>
      </c>
      <c r="B101" s="9" t="s">
        <v>28</v>
      </c>
      <c r="C101" s="9" t="s">
        <v>19</v>
      </c>
      <c r="D101" s="9" t="s">
        <v>12</v>
      </c>
      <c r="E101" s="9">
        <v>2013</v>
      </c>
      <c r="F101" s="44">
        <f t="shared" si="0"/>
        <v>1097.0928938292698</v>
      </c>
      <c r="G101" s="38">
        <v>1097.0039493117899</v>
      </c>
      <c r="H101" s="38">
        <v>1033.7592779673037</v>
      </c>
      <c r="I101" s="38">
        <v>1162.5395612123243</v>
      </c>
      <c r="J101" s="3">
        <v>1136.7399039057709</v>
      </c>
      <c r="K101" s="9">
        <v>0.96512217971738623</v>
      </c>
      <c r="L101" s="9"/>
      <c r="M101" s="9"/>
      <c r="O101" s="9"/>
    </row>
    <row r="102" spans="1:15" x14ac:dyDescent="0.25">
      <c r="A102" s="9" t="s">
        <v>10</v>
      </c>
      <c r="B102" s="9" t="s">
        <v>28</v>
      </c>
      <c r="C102" s="9" t="s">
        <v>20</v>
      </c>
      <c r="D102" s="9" t="s">
        <v>12</v>
      </c>
      <c r="E102" s="9">
        <v>2013</v>
      </c>
      <c r="F102" s="44">
        <f t="shared" si="0"/>
        <v>115.09443605158981</v>
      </c>
      <c r="G102" s="38">
        <v>115.25051630144625</v>
      </c>
      <c r="H102" s="38">
        <v>95.043898901967196</v>
      </c>
      <c r="I102" s="38">
        <v>137.17030642238987</v>
      </c>
      <c r="J102" s="3">
        <v>119.25374680052691</v>
      </c>
      <c r="K102" s="9">
        <v>0.96512217971738623</v>
      </c>
      <c r="L102" s="9"/>
      <c r="M102" s="9"/>
      <c r="O102" s="9"/>
    </row>
    <row r="103" spans="1:15" x14ac:dyDescent="0.25">
      <c r="A103" s="9" t="s">
        <v>10</v>
      </c>
      <c r="B103" s="9" t="s">
        <v>28</v>
      </c>
      <c r="C103" s="9" t="s">
        <v>31</v>
      </c>
      <c r="D103" s="9" t="s">
        <v>15</v>
      </c>
      <c r="E103" s="9">
        <v>2013</v>
      </c>
      <c r="F103" s="44">
        <f t="shared" si="0"/>
        <v>455.55198582387584</v>
      </c>
      <c r="G103" s="38">
        <v>455.23607858694567</v>
      </c>
      <c r="H103" s="38">
        <v>413.89983163170166</v>
      </c>
      <c r="I103" s="38">
        <v>497.71861699171745</v>
      </c>
      <c r="J103" s="3">
        <v>472.01483438840222</v>
      </c>
      <c r="K103" s="9">
        <v>0.96512217971738623</v>
      </c>
      <c r="L103" s="9"/>
      <c r="M103" s="9"/>
      <c r="O103" s="9"/>
    </row>
    <row r="104" spans="1:15" x14ac:dyDescent="0.25">
      <c r="A104" s="9" t="s">
        <v>10</v>
      </c>
      <c r="B104" s="9" t="s">
        <v>28</v>
      </c>
      <c r="C104" s="9" t="s">
        <v>19</v>
      </c>
      <c r="D104" s="9" t="s">
        <v>15</v>
      </c>
      <c r="E104" s="9">
        <v>2013</v>
      </c>
      <c r="F104" s="44">
        <f t="shared" si="0"/>
        <v>5282.6221596440555</v>
      </c>
      <c r="G104" s="38">
        <v>5282.0558912097504</v>
      </c>
      <c r="H104" s="38">
        <v>5141.2533343448431</v>
      </c>
      <c r="I104" s="38">
        <v>5428.2982301156535</v>
      </c>
      <c r="J104" s="3">
        <v>5473.5268452652799</v>
      </c>
      <c r="K104" s="9">
        <v>0.96512217971738623</v>
      </c>
      <c r="L104" s="9"/>
      <c r="M104" s="9"/>
      <c r="O104" s="9"/>
    </row>
    <row r="105" spans="1:15" x14ac:dyDescent="0.25">
      <c r="A105" s="9" t="s">
        <v>10</v>
      </c>
      <c r="B105" s="9" t="s">
        <v>28</v>
      </c>
      <c r="C105" s="9" t="s">
        <v>20</v>
      </c>
      <c r="D105" s="9" t="s">
        <v>15</v>
      </c>
      <c r="E105" s="9">
        <v>2013</v>
      </c>
      <c r="F105" s="44">
        <f t="shared" si="0"/>
        <v>356.77129856633923</v>
      </c>
      <c r="G105" s="38">
        <v>357.0924479301346</v>
      </c>
      <c r="H105" s="38">
        <v>320.30003521152719</v>
      </c>
      <c r="I105" s="38">
        <v>394.83131985424455</v>
      </c>
      <c r="J105" s="3">
        <v>369.66438660731171</v>
      </c>
      <c r="K105" s="9">
        <v>0.96512217971738623</v>
      </c>
      <c r="L105" s="9"/>
      <c r="M105" s="9"/>
      <c r="O105" s="9"/>
    </row>
    <row r="106" spans="1:15" x14ac:dyDescent="0.25">
      <c r="A106" s="9" t="s">
        <v>21</v>
      </c>
      <c r="B106" s="9" t="s">
        <v>11</v>
      </c>
      <c r="C106" s="9" t="s">
        <v>11</v>
      </c>
      <c r="D106" s="9" t="s">
        <v>11</v>
      </c>
      <c r="E106" s="9">
        <v>2013</v>
      </c>
      <c r="F106" s="44">
        <f t="shared" si="0"/>
        <v>1729.8322594148208</v>
      </c>
      <c r="G106" s="38">
        <v>1729.6776</v>
      </c>
      <c r="H106" s="38">
        <v>1651</v>
      </c>
      <c r="I106" s="38">
        <v>1811</v>
      </c>
      <c r="J106" s="3">
        <f>SUM(J109:J126)</f>
        <v>1776.4098093011512</v>
      </c>
      <c r="K106" s="9">
        <v>0.97377995232718606</v>
      </c>
      <c r="L106" s="9"/>
      <c r="M106" s="9"/>
      <c r="O106" s="9"/>
    </row>
    <row r="107" spans="1:15" x14ac:dyDescent="0.25">
      <c r="A107" s="9" t="s">
        <v>21</v>
      </c>
      <c r="B107" s="9" t="s">
        <v>11</v>
      </c>
      <c r="C107" s="9" t="s">
        <v>19</v>
      </c>
      <c r="D107" s="9" t="s">
        <v>11</v>
      </c>
      <c r="E107" s="9">
        <v>2013</v>
      </c>
      <c r="F107" s="44">
        <f t="shared" ref="F107:F265" si="2">J107*K107</f>
        <v>1313.3827008594624</v>
      </c>
      <c r="G107" s="38"/>
      <c r="H107" s="38"/>
      <c r="I107" s="38"/>
      <c r="J107" s="3">
        <f>SUM(J110,J113,J116,J119,J122,J125)</f>
        <v>1348.7469091150185</v>
      </c>
      <c r="K107" s="9">
        <v>0.97377995232718606</v>
      </c>
      <c r="L107" s="9"/>
      <c r="M107" s="9"/>
      <c r="O107" s="9"/>
    </row>
    <row r="108" spans="1:15" x14ac:dyDescent="0.25">
      <c r="A108" s="9" t="s">
        <v>21</v>
      </c>
      <c r="B108" s="9" t="s">
        <v>24</v>
      </c>
      <c r="C108" s="9" t="s">
        <v>11</v>
      </c>
      <c r="D108" s="9" t="s">
        <v>11</v>
      </c>
      <c r="E108" s="9">
        <v>2013</v>
      </c>
      <c r="F108" s="44">
        <f t="shared" si="2"/>
        <v>1243.3310878357238</v>
      </c>
      <c r="G108" s="38"/>
      <c r="H108" s="38"/>
      <c r="I108" s="38"/>
      <c r="J108" s="3">
        <f>SUM(J109:J111)</f>
        <v>1276.8090828573247</v>
      </c>
      <c r="K108" s="9">
        <v>0.97377995232718606</v>
      </c>
      <c r="L108" s="9"/>
      <c r="M108" s="9"/>
      <c r="O108" s="9"/>
    </row>
    <row r="109" spans="1:15" x14ac:dyDescent="0.25">
      <c r="A109" s="9" t="s">
        <v>21</v>
      </c>
      <c r="B109" s="9" t="s">
        <v>24</v>
      </c>
      <c r="C109" s="11" t="s">
        <v>31</v>
      </c>
      <c r="D109" s="9" t="s">
        <v>11</v>
      </c>
      <c r="E109" s="9">
        <v>2013</v>
      </c>
      <c r="F109" s="44">
        <f t="shared" si="2"/>
        <v>218.14357964474158</v>
      </c>
      <c r="G109" s="38">
        <v>218.17615991511121</v>
      </c>
      <c r="H109" s="38">
        <v>190.83514147269861</v>
      </c>
      <c r="I109" s="38">
        <v>248.23330886782401</v>
      </c>
      <c r="J109" s="3">
        <v>224.01732457462447</v>
      </c>
      <c r="K109" s="9">
        <v>0.97377995232718606</v>
      </c>
      <c r="L109" s="9"/>
      <c r="M109" s="9"/>
      <c r="O109" s="9"/>
    </row>
    <row r="110" spans="1:15" x14ac:dyDescent="0.25">
      <c r="A110" s="9" t="s">
        <v>21</v>
      </c>
      <c r="B110" s="9" t="s">
        <v>24</v>
      </c>
      <c r="C110" s="11" t="s">
        <v>19</v>
      </c>
      <c r="D110" s="9" t="s">
        <v>11</v>
      </c>
      <c r="E110" s="9">
        <v>2013</v>
      </c>
      <c r="F110" s="44">
        <f t="shared" si="2"/>
        <v>923.7600866974924</v>
      </c>
      <c r="G110" s="38">
        <v>923.93482090210637</v>
      </c>
      <c r="H110" s="38">
        <v>866.29354765533151</v>
      </c>
      <c r="I110" s="38">
        <v>983.32264730954932</v>
      </c>
      <c r="J110" s="3">
        <v>948.63329696801236</v>
      </c>
      <c r="K110" s="9">
        <v>0.97377995232718606</v>
      </c>
      <c r="L110" s="9"/>
      <c r="M110" s="9"/>
      <c r="O110" s="9"/>
    </row>
    <row r="111" spans="1:15" x14ac:dyDescent="0.25">
      <c r="A111" s="9" t="s">
        <v>21</v>
      </c>
      <c r="B111" s="9" t="s">
        <v>24</v>
      </c>
      <c r="C111" s="11" t="s">
        <v>20</v>
      </c>
      <c r="D111" s="9" t="s">
        <v>11</v>
      </c>
      <c r="E111" s="9">
        <v>2013</v>
      </c>
      <c r="F111" s="44">
        <f t="shared" si="2"/>
        <v>101.42742149348989</v>
      </c>
      <c r="G111" s="38">
        <v>101.38440150679197</v>
      </c>
      <c r="H111" s="38">
        <v>82.396781589638479</v>
      </c>
      <c r="I111" s="38">
        <v>121.59441676822448</v>
      </c>
      <c r="J111" s="3">
        <v>104.15846131468795</v>
      </c>
      <c r="K111" s="9">
        <v>0.97377995232718606</v>
      </c>
      <c r="L111" s="9"/>
      <c r="M111" s="9"/>
      <c r="O111" s="9"/>
    </row>
    <row r="112" spans="1:15" x14ac:dyDescent="0.25">
      <c r="A112" s="9" t="s">
        <v>21</v>
      </c>
      <c r="B112" s="9" t="s">
        <v>26</v>
      </c>
      <c r="C112" s="11" t="s">
        <v>31</v>
      </c>
      <c r="D112" s="9" t="s">
        <v>12</v>
      </c>
      <c r="E112" s="9">
        <v>2013</v>
      </c>
      <c r="F112" s="44">
        <f t="shared" si="2"/>
        <v>7.8251812627259474</v>
      </c>
      <c r="G112" s="38">
        <v>7.8685791739336803</v>
      </c>
      <c r="H112" s="38">
        <v>3.4134240431678413</v>
      </c>
      <c r="I112" s="38">
        <v>14.236579039470586</v>
      </c>
      <c r="J112" s="3">
        <v>8.0358824845643557</v>
      </c>
      <c r="K112" s="9">
        <v>0.97377995232718606</v>
      </c>
      <c r="L112" s="9"/>
      <c r="M112" s="9"/>
      <c r="O112" s="9"/>
    </row>
    <row r="113" spans="1:15" x14ac:dyDescent="0.25">
      <c r="A113" s="9" t="s">
        <v>21</v>
      </c>
      <c r="B113" s="9" t="s">
        <v>26</v>
      </c>
      <c r="C113" s="11" t="s">
        <v>19</v>
      </c>
      <c r="D113" s="9" t="s">
        <v>12</v>
      </c>
      <c r="E113" s="9">
        <v>2013</v>
      </c>
      <c r="F113" s="44">
        <f t="shared" si="2"/>
        <v>18.795532006356428</v>
      </c>
      <c r="G113" s="38">
        <v>18.799157599481315</v>
      </c>
      <c r="H113" s="38">
        <v>11.231726371914192</v>
      </c>
      <c r="I113" s="38">
        <v>28.245215808293661</v>
      </c>
      <c r="J113" s="3">
        <v>19.301621440694031</v>
      </c>
      <c r="K113" s="9">
        <v>0.97377995232718606</v>
      </c>
      <c r="L113" s="9"/>
      <c r="M113" s="9"/>
      <c r="O113" s="9"/>
    </row>
    <row r="114" spans="1:15" x14ac:dyDescent="0.25">
      <c r="A114" s="9" t="s">
        <v>21</v>
      </c>
      <c r="B114" s="9" t="s">
        <v>26</v>
      </c>
      <c r="C114" s="11" t="s">
        <v>20</v>
      </c>
      <c r="D114" s="9" t="s">
        <v>12</v>
      </c>
      <c r="E114" s="9">
        <v>2013</v>
      </c>
      <c r="F114" s="44">
        <f t="shared" si="2"/>
        <v>3.7041123932511186</v>
      </c>
      <c r="G114" s="38">
        <v>3.7131617118231688</v>
      </c>
      <c r="H114" s="38">
        <v>0.94490740345732127</v>
      </c>
      <c r="I114" s="38">
        <v>8.2533278008467814</v>
      </c>
      <c r="J114" s="3">
        <v>3.8038495087096966</v>
      </c>
      <c r="K114" s="9">
        <v>0.97377995232718606</v>
      </c>
      <c r="L114" s="9"/>
      <c r="M114" s="9"/>
      <c r="O114" s="9"/>
    </row>
    <row r="115" spans="1:15" x14ac:dyDescent="0.25">
      <c r="A115" s="9" t="s">
        <v>21</v>
      </c>
      <c r="B115" s="9" t="s">
        <v>26</v>
      </c>
      <c r="C115" s="11" t="s">
        <v>31</v>
      </c>
      <c r="D115" s="9" t="s">
        <v>15</v>
      </c>
      <c r="E115" s="9">
        <v>2013</v>
      </c>
      <c r="F115" s="44">
        <f t="shared" si="2"/>
        <v>6.4168032092290188</v>
      </c>
      <c r="G115" s="38">
        <v>6.4215839835601907</v>
      </c>
      <c r="H115" s="38">
        <v>2.4650685901758247</v>
      </c>
      <c r="I115" s="38">
        <v>12.387616960922454</v>
      </c>
      <c r="J115" s="3">
        <v>6.5895823731982102</v>
      </c>
      <c r="K115" s="9">
        <v>0.97377995232718606</v>
      </c>
      <c r="L115" s="9"/>
      <c r="M115" s="9"/>
      <c r="O115" s="9"/>
    </row>
    <row r="116" spans="1:15" x14ac:dyDescent="0.25">
      <c r="A116" s="9" t="s">
        <v>21</v>
      </c>
      <c r="B116" s="9" t="s">
        <v>26</v>
      </c>
      <c r="C116" s="11" t="s">
        <v>19</v>
      </c>
      <c r="D116" s="9" t="s">
        <v>15</v>
      </c>
      <c r="E116" s="9">
        <v>2013</v>
      </c>
      <c r="F116" s="44">
        <f t="shared" si="2"/>
        <v>15.956685433022995</v>
      </c>
      <c r="G116" s="38">
        <v>15.981360933981449</v>
      </c>
      <c r="H116" s="38">
        <v>8.9928551639893914</v>
      </c>
      <c r="I116" s="38">
        <v>24.820183858399076</v>
      </c>
      <c r="J116" s="3">
        <v>16.386335942621269</v>
      </c>
      <c r="K116" s="9">
        <v>0.97377995232718606</v>
      </c>
      <c r="L116" s="9"/>
      <c r="M116" s="9"/>
      <c r="O116" s="9"/>
    </row>
    <row r="117" spans="1:15" x14ac:dyDescent="0.25">
      <c r="A117" s="9" t="s">
        <v>21</v>
      </c>
      <c r="B117" s="9" t="s">
        <v>26</v>
      </c>
      <c r="C117" s="11" t="s">
        <v>20</v>
      </c>
      <c r="D117" s="9" t="s">
        <v>15</v>
      </c>
      <c r="E117" s="9">
        <v>2013</v>
      </c>
      <c r="F117" s="44">
        <f t="shared" si="2"/>
        <v>2.6058528930777292</v>
      </c>
      <c r="G117" s="38">
        <v>2.5895053326995603</v>
      </c>
      <c r="H117" s="38">
        <v>0.4567562814971084</v>
      </c>
      <c r="I117" s="38">
        <v>6.5855416154036304</v>
      </c>
      <c r="J117" s="3">
        <v>2.676018218335813</v>
      </c>
      <c r="K117" s="9">
        <v>0.97377995232718606</v>
      </c>
      <c r="L117" s="9"/>
      <c r="M117" s="9"/>
      <c r="O117" s="9"/>
    </row>
    <row r="118" spans="1:15" x14ac:dyDescent="0.25">
      <c r="A118" s="9" t="s">
        <v>21</v>
      </c>
      <c r="B118" s="9" t="s">
        <v>27</v>
      </c>
      <c r="C118" s="11" t="s">
        <v>31</v>
      </c>
      <c r="D118" s="9" t="s">
        <v>11</v>
      </c>
      <c r="E118" s="9">
        <v>2013</v>
      </c>
      <c r="F118" s="44">
        <f t="shared" si="2"/>
        <v>10.028260699266168</v>
      </c>
      <c r="G118" s="38">
        <v>10.027847562657801</v>
      </c>
      <c r="H118" s="38">
        <v>4.729096805739645</v>
      </c>
      <c r="I118" s="38">
        <v>17.130567512206213</v>
      </c>
      <c r="J118" s="3">
        <v>10.298282148138448</v>
      </c>
      <c r="K118" s="9">
        <v>0.97377995232718606</v>
      </c>
      <c r="L118" s="9"/>
      <c r="M118" s="9"/>
      <c r="O118" s="9"/>
    </row>
    <row r="119" spans="1:15" x14ac:dyDescent="0.25">
      <c r="A119" s="9" t="s">
        <v>21</v>
      </c>
      <c r="B119" s="9" t="s">
        <v>27</v>
      </c>
      <c r="C119" s="11" t="s">
        <v>19</v>
      </c>
      <c r="D119" s="9" t="s">
        <v>11</v>
      </c>
      <c r="E119" s="9">
        <v>2013</v>
      </c>
      <c r="F119" s="44">
        <f t="shared" si="2"/>
        <v>24.087173013993944</v>
      </c>
      <c r="G119" s="38">
        <v>24.030663935338506</v>
      </c>
      <c r="H119" s="38">
        <v>15.312080844101548</v>
      </c>
      <c r="I119" s="38">
        <v>34.345446476015127</v>
      </c>
      <c r="J119" s="3">
        <v>24.735745438617073</v>
      </c>
      <c r="K119" s="9">
        <v>0.97377995232718606</v>
      </c>
      <c r="L119" s="9"/>
      <c r="M119" s="9"/>
      <c r="O119" s="9"/>
    </row>
    <row r="120" spans="1:15" x14ac:dyDescent="0.25">
      <c r="A120" s="9" t="s">
        <v>21</v>
      </c>
      <c r="B120" s="9" t="s">
        <v>27</v>
      </c>
      <c r="C120" s="11" t="s">
        <v>20</v>
      </c>
      <c r="D120" s="9" t="s">
        <v>11</v>
      </c>
      <c r="E120" s="9">
        <v>2013</v>
      </c>
      <c r="F120" s="44">
        <f t="shared" si="2"/>
        <v>3.3791902534922484</v>
      </c>
      <c r="G120" s="38">
        <v>3.3723446203989238</v>
      </c>
      <c r="H120" s="38">
        <v>0.78981657149576556</v>
      </c>
      <c r="I120" s="38">
        <v>7.752207199433748</v>
      </c>
      <c r="J120" s="3">
        <v>3.4701784991737581</v>
      </c>
      <c r="K120" s="9">
        <v>0.97377995232718606</v>
      </c>
      <c r="L120" s="9"/>
      <c r="M120" s="9"/>
      <c r="O120" s="9"/>
    </row>
    <row r="121" spans="1:15" x14ac:dyDescent="0.25">
      <c r="A121" s="9" t="s">
        <v>21</v>
      </c>
      <c r="B121" s="9" t="s">
        <v>28</v>
      </c>
      <c r="C121" s="11" t="s">
        <v>31</v>
      </c>
      <c r="D121" s="9" t="s">
        <v>12</v>
      </c>
      <c r="E121" s="9">
        <v>2013</v>
      </c>
      <c r="F121" s="44">
        <f t="shared" si="2"/>
        <v>12.72817704137629</v>
      </c>
      <c r="G121" s="38">
        <v>12.710384107314891</v>
      </c>
      <c r="H121" s="38">
        <v>6.7133025436067584</v>
      </c>
      <c r="I121" s="38">
        <v>20.496529445980691</v>
      </c>
      <c r="J121" s="3">
        <v>13.07089657263726</v>
      </c>
      <c r="K121" s="9">
        <v>0.97377995232718606</v>
      </c>
      <c r="L121" s="9"/>
      <c r="M121" s="9"/>
      <c r="O121" s="9"/>
    </row>
    <row r="122" spans="1:15" x14ac:dyDescent="0.25">
      <c r="A122" s="9" t="s">
        <v>21</v>
      </c>
      <c r="B122" s="9" t="s">
        <v>28</v>
      </c>
      <c r="C122" s="11" t="s">
        <v>19</v>
      </c>
      <c r="D122" s="9" t="s">
        <v>12</v>
      </c>
      <c r="E122" s="9">
        <v>2013</v>
      </c>
      <c r="F122" s="44">
        <f t="shared" si="2"/>
        <v>89.918179803371061</v>
      </c>
      <c r="G122" s="38">
        <v>89.853058929805485</v>
      </c>
      <c r="H122" s="38">
        <v>72.300029749591104</v>
      </c>
      <c r="I122" s="38">
        <v>109.20313603008417</v>
      </c>
      <c r="J122" s="3">
        <v>92.339321207507183</v>
      </c>
      <c r="K122" s="9">
        <v>0.97377995232718606</v>
      </c>
      <c r="L122" s="9"/>
      <c r="M122" s="9"/>
      <c r="O122" s="9"/>
    </row>
    <row r="123" spans="1:15" x14ac:dyDescent="0.25">
      <c r="A123" s="9" t="s">
        <v>21</v>
      </c>
      <c r="B123" s="9" t="s">
        <v>28</v>
      </c>
      <c r="C123" s="11" t="s">
        <v>20</v>
      </c>
      <c r="D123" s="9" t="s">
        <v>12</v>
      </c>
      <c r="E123" s="9">
        <v>2013</v>
      </c>
      <c r="F123" s="44">
        <f t="shared" si="2"/>
        <v>13.214465282681756</v>
      </c>
      <c r="G123" s="38">
        <v>13.21360382847649</v>
      </c>
      <c r="H123" s="38">
        <v>7.0408294939887544</v>
      </c>
      <c r="I123" s="38">
        <v>21.312553062398685</v>
      </c>
      <c r="J123" s="3">
        <v>13.570278635436264</v>
      </c>
      <c r="K123" s="9">
        <v>0.97377995232718606</v>
      </c>
      <c r="L123" s="9"/>
      <c r="M123" s="9"/>
      <c r="O123" s="9"/>
    </row>
    <row r="124" spans="1:15" x14ac:dyDescent="0.25">
      <c r="A124" s="9" t="s">
        <v>21</v>
      </c>
      <c r="B124" s="9" t="s">
        <v>28</v>
      </c>
      <c r="C124" s="11" t="s">
        <v>31</v>
      </c>
      <c r="D124" s="9" t="s">
        <v>15</v>
      </c>
      <c r="E124" s="9">
        <v>2013</v>
      </c>
      <c r="F124" s="44">
        <f t="shared" si="2"/>
        <v>22.374935573645306</v>
      </c>
      <c r="G124" s="38">
        <v>22.266857417542251</v>
      </c>
      <c r="H124" s="38">
        <v>14.013760349695341</v>
      </c>
      <c r="I124" s="38">
        <v>32.632413535538802</v>
      </c>
      <c r="J124" s="3">
        <v>22.977404207359797</v>
      </c>
      <c r="K124" s="9">
        <v>0.97377995232718606</v>
      </c>
      <c r="L124" s="9"/>
      <c r="M124" s="9"/>
      <c r="O124" s="9"/>
    </row>
    <row r="125" spans="1:15" x14ac:dyDescent="0.25">
      <c r="A125" s="9" t="s">
        <v>21</v>
      </c>
      <c r="B125" s="9" t="s">
        <v>28</v>
      </c>
      <c r="C125" s="11" t="s">
        <v>19</v>
      </c>
      <c r="D125" s="9" t="s">
        <v>15</v>
      </c>
      <c r="E125" s="9">
        <v>2013</v>
      </c>
      <c r="F125" s="44">
        <f t="shared" si="2"/>
        <v>240.86504390522541</v>
      </c>
      <c r="G125" s="38">
        <v>240.71070603531643</v>
      </c>
      <c r="H125" s="38">
        <v>211.42718997511511</v>
      </c>
      <c r="I125" s="38">
        <v>272.69985416520922</v>
      </c>
      <c r="J125" s="3">
        <v>247.35058811756656</v>
      </c>
      <c r="K125" s="9">
        <v>0.97377995232718606</v>
      </c>
      <c r="L125" s="9"/>
      <c r="M125" s="9"/>
      <c r="O125" s="9"/>
    </row>
    <row r="126" spans="1:15" x14ac:dyDescent="0.25">
      <c r="A126" s="9" t="s">
        <v>21</v>
      </c>
      <c r="B126" s="9" t="s">
        <v>28</v>
      </c>
      <c r="C126" s="11" t="s">
        <v>20</v>
      </c>
      <c r="D126" s="9" t="s">
        <v>15</v>
      </c>
      <c r="E126" s="9">
        <v>2013</v>
      </c>
      <c r="F126" s="44">
        <f t="shared" si="2"/>
        <v>14.601578808381074</v>
      </c>
      <c r="G126" s="38">
        <v>14.623402503660376</v>
      </c>
      <c r="H126" s="38">
        <v>8.0816751908007376</v>
      </c>
      <c r="I126" s="38">
        <v>22.938780077598345</v>
      </c>
      <c r="J126" s="3">
        <v>14.994741649266366</v>
      </c>
      <c r="K126" s="9">
        <v>0.97377995232718606</v>
      </c>
      <c r="L126" s="9"/>
      <c r="M126" s="9"/>
      <c r="O126" s="9"/>
    </row>
    <row r="127" spans="1:15" x14ac:dyDescent="0.25">
      <c r="A127" s="9" t="s">
        <v>22</v>
      </c>
      <c r="B127" s="9" t="s">
        <v>11</v>
      </c>
      <c r="C127" s="9" t="s">
        <v>11</v>
      </c>
      <c r="D127" s="9" t="s">
        <v>11</v>
      </c>
      <c r="E127" s="9">
        <v>2013</v>
      </c>
      <c r="F127" s="44">
        <f>SUM(F130:F147)</f>
        <v>406.27791078957432</v>
      </c>
      <c r="G127" s="38">
        <v>406.12</v>
      </c>
      <c r="H127" s="38">
        <v>367</v>
      </c>
      <c r="I127" s="38">
        <v>445</v>
      </c>
      <c r="J127" s="11"/>
      <c r="K127" s="9"/>
      <c r="L127" s="9"/>
      <c r="M127" s="9"/>
      <c r="O127" s="9"/>
    </row>
    <row r="128" spans="1:15" x14ac:dyDescent="0.25">
      <c r="A128" s="9" t="s">
        <v>22</v>
      </c>
      <c r="B128" s="9" t="s">
        <v>11</v>
      </c>
      <c r="C128" s="9" t="s">
        <v>19</v>
      </c>
      <c r="D128" s="9" t="s">
        <v>11</v>
      </c>
      <c r="E128" s="9">
        <v>2013</v>
      </c>
      <c r="F128" s="44">
        <f>SUM(F131,F134,F137,F140,F143,F146)</f>
        <v>279.7411237460168</v>
      </c>
      <c r="G128" s="38"/>
      <c r="H128" s="38"/>
      <c r="I128" s="38"/>
      <c r="J128" s="11"/>
      <c r="K128" s="9"/>
      <c r="L128" s="9"/>
      <c r="M128" s="9"/>
      <c r="N128" s="9"/>
      <c r="O128" s="9"/>
    </row>
    <row r="129" spans="1:15" x14ac:dyDescent="0.25">
      <c r="A129" s="9" t="s">
        <v>22</v>
      </c>
      <c r="B129" s="9" t="s">
        <v>24</v>
      </c>
      <c r="C129" s="9" t="s">
        <v>11</v>
      </c>
      <c r="D129" s="9" t="s">
        <v>11</v>
      </c>
      <c r="E129" s="9">
        <v>2013</v>
      </c>
      <c r="F129" s="44">
        <f>SUM(F130:F132)</f>
        <v>203.90463833192339</v>
      </c>
      <c r="G129" s="38"/>
      <c r="H129" s="38"/>
      <c r="I129" s="38"/>
      <c r="J129" s="11"/>
      <c r="K129" s="9"/>
      <c r="L129" s="9"/>
      <c r="M129" s="9"/>
      <c r="N129" s="9"/>
      <c r="O129" s="9"/>
    </row>
    <row r="130" spans="1:15" x14ac:dyDescent="0.25">
      <c r="A130" s="9" t="s">
        <v>22</v>
      </c>
      <c r="B130" s="9" t="s">
        <v>24</v>
      </c>
      <c r="C130" s="9" t="s">
        <v>31</v>
      </c>
      <c r="D130" s="9" t="s">
        <v>11</v>
      </c>
      <c r="E130" s="9">
        <v>2013</v>
      </c>
      <c r="F130" s="44">
        <f t="shared" si="2"/>
        <v>77.371413112277196</v>
      </c>
      <c r="G130" s="38">
        <v>77.406825979824788</v>
      </c>
      <c r="H130" s="38">
        <v>60.929348423658716</v>
      </c>
      <c r="I130" s="38">
        <v>95.431923695663954</v>
      </c>
      <c r="J130" s="3">
        <v>89.426449149600828</v>
      </c>
      <c r="K130" s="9">
        <v>0.86519607843137258</v>
      </c>
      <c r="L130" s="9"/>
      <c r="M130" s="9"/>
      <c r="N130" s="9"/>
      <c r="O130" s="9"/>
    </row>
    <row r="131" spans="1:15" x14ac:dyDescent="0.25">
      <c r="A131" s="9" t="s">
        <v>22</v>
      </c>
      <c r="B131" s="9" t="s">
        <v>24</v>
      </c>
      <c r="C131" s="9" t="s">
        <v>19</v>
      </c>
      <c r="D131" s="9" t="s">
        <v>11</v>
      </c>
      <c r="E131" s="9">
        <v>2013</v>
      </c>
      <c r="F131" s="44">
        <f t="shared" si="2"/>
        <v>114.85265453657401</v>
      </c>
      <c r="G131" s="38">
        <v>114.93045816739716</v>
      </c>
      <c r="H131" s="38">
        <v>94.838846376615066</v>
      </c>
      <c r="I131" s="38">
        <v>136.5035701210852</v>
      </c>
      <c r="J131" s="3">
        <v>143.62429711905588</v>
      </c>
      <c r="K131" s="9">
        <v>0.79967426710097722</v>
      </c>
      <c r="L131" s="9"/>
      <c r="M131" s="9"/>
      <c r="N131" s="9"/>
      <c r="O131" s="9"/>
    </row>
    <row r="132" spans="1:15" x14ac:dyDescent="0.25">
      <c r="A132" s="9" t="s">
        <v>22</v>
      </c>
      <c r="B132" s="9" t="s">
        <v>24</v>
      </c>
      <c r="C132" s="9" t="s">
        <v>20</v>
      </c>
      <c r="D132" s="9" t="s">
        <v>11</v>
      </c>
      <c r="E132" s="9">
        <v>2013</v>
      </c>
      <c r="F132" s="44">
        <f t="shared" si="2"/>
        <v>11.68057068307221</v>
      </c>
      <c r="G132" s="38">
        <v>11.673113671842478</v>
      </c>
      <c r="H132" s="38">
        <v>5.9468035061531763</v>
      </c>
      <c r="I132" s="38">
        <v>19.308851176701065</v>
      </c>
      <c r="J132" s="3">
        <v>13.549461992363764</v>
      </c>
      <c r="K132" s="9">
        <v>0.86206896551724133</v>
      </c>
      <c r="L132" s="9"/>
      <c r="M132" s="9"/>
      <c r="N132" s="9"/>
      <c r="O132" s="9"/>
    </row>
    <row r="133" spans="1:15" x14ac:dyDescent="0.25">
      <c r="A133" s="9" t="s">
        <v>22</v>
      </c>
      <c r="B133" s="11" t="s">
        <v>26</v>
      </c>
      <c r="C133" s="9" t="s">
        <v>31</v>
      </c>
      <c r="D133" s="9" t="s">
        <v>12</v>
      </c>
      <c r="E133" s="9">
        <v>2013</v>
      </c>
      <c r="F133" s="44">
        <f t="shared" si="2"/>
        <v>5.451093670518131</v>
      </c>
      <c r="G133" s="38">
        <v>5.4504419352849576</v>
      </c>
      <c r="H133" s="38">
        <v>1.8091201191015536</v>
      </c>
      <c r="I133" s="38">
        <v>10.9133764250669</v>
      </c>
      <c r="J133" s="3">
        <v>6.3004142140832782</v>
      </c>
      <c r="K133" s="9">
        <v>0.86519607843137258</v>
      </c>
      <c r="L133" s="9"/>
      <c r="M133" s="9"/>
      <c r="N133" s="9"/>
      <c r="O133" s="9"/>
    </row>
    <row r="134" spans="1:15" x14ac:dyDescent="0.25">
      <c r="A134" s="9" t="s">
        <v>22</v>
      </c>
      <c r="B134" s="11" t="s">
        <v>26</v>
      </c>
      <c r="C134" s="9" t="s">
        <v>19</v>
      </c>
      <c r="D134" s="9" t="s">
        <v>12</v>
      </c>
      <c r="E134" s="9">
        <v>2013</v>
      </c>
      <c r="F134" s="44">
        <f t="shared" si="2"/>
        <v>29.222018890661825</v>
      </c>
      <c r="G134" s="38">
        <v>29.153765645654509</v>
      </c>
      <c r="H134" s="38">
        <v>19.582918142990756</v>
      </c>
      <c r="I134" s="38">
        <v>40.913933042733291</v>
      </c>
      <c r="J134" s="3">
        <v>36.542402441683016</v>
      </c>
      <c r="K134" s="9">
        <v>0.79967426710097722</v>
      </c>
      <c r="L134" s="9"/>
      <c r="M134" s="9"/>
      <c r="N134" s="9"/>
      <c r="O134" s="9"/>
    </row>
    <row r="135" spans="1:15" x14ac:dyDescent="0.25">
      <c r="A135" s="9" t="s">
        <v>22</v>
      </c>
      <c r="B135" s="11" t="s">
        <v>26</v>
      </c>
      <c r="C135" s="9" t="s">
        <v>20</v>
      </c>
      <c r="D135" s="9" t="s">
        <v>12</v>
      </c>
      <c r="E135" s="9">
        <v>2013</v>
      </c>
      <c r="F135" s="44">
        <f t="shared" si="2"/>
        <v>0.54313915638648946</v>
      </c>
      <c r="G135" s="38">
        <v>0.5351223855738978</v>
      </c>
      <c r="H135" s="38">
        <v>8.6702510211609087E-4</v>
      </c>
      <c r="I135" s="38">
        <v>2.5765469713079594</v>
      </c>
      <c r="J135" s="3">
        <v>0.63004142140832786</v>
      </c>
      <c r="K135" s="9">
        <v>0.86206896551724133</v>
      </c>
      <c r="L135" s="9"/>
      <c r="M135" s="9"/>
      <c r="N135" s="9"/>
      <c r="O135" s="9"/>
    </row>
    <row r="136" spans="1:15" x14ac:dyDescent="0.25">
      <c r="A136" s="9" t="s">
        <v>22</v>
      </c>
      <c r="B136" s="11" t="s">
        <v>26</v>
      </c>
      <c r="C136" s="9" t="s">
        <v>31</v>
      </c>
      <c r="D136" s="9" t="s">
        <v>15</v>
      </c>
      <c r="E136" s="9">
        <v>2013</v>
      </c>
      <c r="F136" s="44">
        <f t="shared" si="2"/>
        <v>3.4630477436232838</v>
      </c>
      <c r="G136" s="38">
        <v>3.4404700917533271</v>
      </c>
      <c r="H136" s="38">
        <v>0.81854465186467551</v>
      </c>
      <c r="I136" s="38">
        <v>7.9342511483655773</v>
      </c>
      <c r="J136" s="3">
        <v>4.0026160889470246</v>
      </c>
      <c r="K136" s="9">
        <v>0.86519607843137258</v>
      </c>
      <c r="L136" s="9"/>
      <c r="M136" s="9"/>
      <c r="N136" s="9"/>
      <c r="O136" s="9"/>
    </row>
    <row r="137" spans="1:15" x14ac:dyDescent="0.25">
      <c r="A137" s="9" t="s">
        <v>22</v>
      </c>
      <c r="B137" s="11" t="s">
        <v>26</v>
      </c>
      <c r="C137" s="9" t="s">
        <v>19</v>
      </c>
      <c r="D137" s="9" t="s">
        <v>15</v>
      </c>
      <c r="E137" s="9">
        <v>2013</v>
      </c>
      <c r="F137" s="44">
        <f t="shared" si="2"/>
        <v>18.56457670700869</v>
      </c>
      <c r="G137" s="38">
        <v>18.486968289060826</v>
      </c>
      <c r="H137" s="38">
        <v>11.046776983562209</v>
      </c>
      <c r="I137" s="38">
        <v>27.882352868583318</v>
      </c>
      <c r="J137" s="3">
        <v>23.215173315892741</v>
      </c>
      <c r="K137" s="9">
        <v>0.79967426710097722</v>
      </c>
      <c r="L137" s="9"/>
      <c r="M137" s="9"/>
      <c r="N137" s="9"/>
      <c r="O137" s="9"/>
    </row>
    <row r="138" spans="1:15" x14ac:dyDescent="0.25">
      <c r="A138" s="9" t="s">
        <v>22</v>
      </c>
      <c r="B138" s="11" t="s">
        <v>26</v>
      </c>
      <c r="C138" s="9" t="s">
        <v>20</v>
      </c>
      <c r="D138" s="9" t="s">
        <v>15</v>
      </c>
      <c r="E138" s="9">
        <v>2013</v>
      </c>
      <c r="F138" s="44">
        <f t="shared" si="2"/>
        <v>0.34505311111612275</v>
      </c>
      <c r="G138" s="38">
        <v>0.34394677337088947</v>
      </c>
      <c r="H138" s="38">
        <v>1.2455313714811109E-5</v>
      </c>
      <c r="I138" s="38">
        <v>2.0211812918248655</v>
      </c>
      <c r="J138" s="3">
        <v>0.40026160889470241</v>
      </c>
      <c r="K138" s="9">
        <v>0.86206896551724133</v>
      </c>
      <c r="L138" s="9"/>
      <c r="M138" s="9"/>
      <c r="N138" s="9"/>
      <c r="O138" s="9"/>
    </row>
    <row r="139" spans="1:15" x14ac:dyDescent="0.25">
      <c r="A139" s="9" t="s">
        <v>22</v>
      </c>
      <c r="B139" s="9" t="s">
        <v>27</v>
      </c>
      <c r="C139" s="9" t="s">
        <v>31</v>
      </c>
      <c r="D139" s="9" t="s">
        <v>11</v>
      </c>
      <c r="E139" s="9">
        <v>2013</v>
      </c>
      <c r="F139" s="44">
        <f t="shared" si="2"/>
        <v>9.5102352941176473</v>
      </c>
      <c r="G139" s="38">
        <v>9.4996210572861433</v>
      </c>
      <c r="H139" s="38">
        <v>4.4348208917304914</v>
      </c>
      <c r="I139" s="38">
        <v>16.295334590403556</v>
      </c>
      <c r="J139" s="3">
        <v>10.992000000000001</v>
      </c>
      <c r="K139" s="9">
        <v>0.86519607843137258</v>
      </c>
      <c r="L139" s="9"/>
      <c r="M139" s="9"/>
      <c r="N139" s="9"/>
      <c r="O139" s="9"/>
    </row>
    <row r="140" spans="1:15" x14ac:dyDescent="0.25">
      <c r="A140" s="9" t="s">
        <v>22</v>
      </c>
      <c r="B140" s="9" t="s">
        <v>27</v>
      </c>
      <c r="C140" s="9" t="s">
        <v>19</v>
      </c>
      <c r="D140" s="9" t="s">
        <v>11</v>
      </c>
      <c r="E140" s="9">
        <v>2013</v>
      </c>
      <c r="F140" s="44">
        <f t="shared" si="2"/>
        <v>14.994739222073195</v>
      </c>
      <c r="G140" s="38">
        <v>14.993647958735549</v>
      </c>
      <c r="H140" s="38">
        <v>8.4840624990502054</v>
      </c>
      <c r="I140" s="38">
        <v>23.274645557156074</v>
      </c>
      <c r="J140" s="3">
        <v>18.751058823529412</v>
      </c>
      <c r="K140" s="9">
        <v>0.79967426710097722</v>
      </c>
      <c r="L140" s="9"/>
      <c r="M140" s="9"/>
      <c r="N140" s="9"/>
      <c r="O140" s="9"/>
    </row>
    <row r="141" spans="1:15" x14ac:dyDescent="0.25">
      <c r="A141" s="9" t="s">
        <v>22</v>
      </c>
      <c r="B141" s="9" t="s">
        <v>27</v>
      </c>
      <c r="C141" s="9" t="s">
        <v>20</v>
      </c>
      <c r="D141" s="9" t="s">
        <v>11</v>
      </c>
      <c r="E141" s="9">
        <v>2013</v>
      </c>
      <c r="F141" s="44">
        <f t="shared" si="2"/>
        <v>0.55740365111561863</v>
      </c>
      <c r="G141" s="38">
        <v>0.55410564635081616</v>
      </c>
      <c r="H141" s="38">
        <v>1.0733918372833153E-3</v>
      </c>
      <c r="I141" s="38">
        <v>2.6378104172647077</v>
      </c>
      <c r="J141" s="3">
        <v>0.64658823529411769</v>
      </c>
      <c r="K141" s="9">
        <v>0.86206896551724133</v>
      </c>
      <c r="L141" s="9"/>
      <c r="M141" s="9"/>
      <c r="N141" s="9"/>
      <c r="O141" s="9"/>
    </row>
    <row r="142" spans="1:15" x14ac:dyDescent="0.25">
      <c r="A142" s="9" t="s">
        <v>22</v>
      </c>
      <c r="B142" s="9" t="s">
        <v>28</v>
      </c>
      <c r="C142" s="9" t="s">
        <v>31</v>
      </c>
      <c r="D142" s="9" t="s">
        <v>12</v>
      </c>
      <c r="E142" s="9">
        <v>2013</v>
      </c>
      <c r="F142" s="44">
        <f t="shared" si="2"/>
        <v>5.3010935122801657</v>
      </c>
      <c r="G142" s="38">
        <v>5.2468432919177914</v>
      </c>
      <c r="H142" s="38">
        <v>1.7396385729852468</v>
      </c>
      <c r="I142" s="38">
        <v>10.500337306847646</v>
      </c>
      <c r="J142" s="3">
        <v>6.1270429263748092</v>
      </c>
      <c r="K142" s="9">
        <v>0.86519607843137258</v>
      </c>
      <c r="L142" s="9"/>
      <c r="M142" s="9"/>
      <c r="N142" s="9"/>
      <c r="O142" s="9"/>
    </row>
    <row r="143" spans="1:15" x14ac:dyDescent="0.25">
      <c r="A143" s="9" t="s">
        <v>22</v>
      </c>
      <c r="B143" s="9" t="s">
        <v>28</v>
      </c>
      <c r="C143" s="9" t="s">
        <v>19</v>
      </c>
      <c r="D143" s="9" t="s">
        <v>12</v>
      </c>
      <c r="E143" s="9">
        <v>2013</v>
      </c>
      <c r="F143" s="44">
        <f t="shared" si="2"/>
        <v>35.977346009793301</v>
      </c>
      <c r="G143" s="38">
        <v>36.035141683318137</v>
      </c>
      <c r="H143" s="38">
        <v>25.15301499613728</v>
      </c>
      <c r="I143" s="38">
        <v>48.717856783558616</v>
      </c>
      <c r="J143" s="3">
        <v>44.990000916523599</v>
      </c>
      <c r="K143" s="9">
        <v>0.79967426710097722</v>
      </c>
      <c r="L143" s="9"/>
      <c r="M143" s="9"/>
      <c r="N143" s="9"/>
      <c r="O143" s="9"/>
    </row>
    <row r="144" spans="1:15" x14ac:dyDescent="0.25">
      <c r="A144" s="9" t="s">
        <v>22</v>
      </c>
      <c r="B144" s="9" t="s">
        <v>28</v>
      </c>
      <c r="C144" s="9" t="s">
        <v>20</v>
      </c>
      <c r="D144" s="9" t="s">
        <v>12</v>
      </c>
      <c r="E144" s="9">
        <v>2013</v>
      </c>
      <c r="F144" s="44">
        <f t="shared" si="2"/>
        <v>0.90547432409479944</v>
      </c>
      <c r="G144" s="38">
        <v>0.90689412085135945</v>
      </c>
      <c r="H144" s="38">
        <v>1.5997634752383132E-2</v>
      </c>
      <c r="I144" s="38">
        <v>3.4358325486005161</v>
      </c>
      <c r="J144" s="3">
        <v>1.0503502159499674</v>
      </c>
      <c r="K144" s="9">
        <v>0.86206896551724133</v>
      </c>
      <c r="L144" s="9"/>
      <c r="M144" s="9"/>
      <c r="N144" s="9"/>
      <c r="O144" s="9"/>
    </row>
    <row r="145" spans="1:15" x14ac:dyDescent="0.25">
      <c r="A145" s="9" t="s">
        <v>22</v>
      </c>
      <c r="B145" s="9" t="s">
        <v>28</v>
      </c>
      <c r="C145" s="9" t="s">
        <v>31</v>
      </c>
      <c r="D145" s="9" t="s">
        <v>15</v>
      </c>
      <c r="E145" s="9">
        <v>2013</v>
      </c>
      <c r="F145" s="44">
        <f t="shared" si="2"/>
        <v>9.7439147416197347</v>
      </c>
      <c r="G145" s="38">
        <v>9.7552438555159107</v>
      </c>
      <c r="H145" s="38">
        <v>4.678473526399471</v>
      </c>
      <c r="I145" s="38">
        <v>16.68719048314464</v>
      </c>
      <c r="J145" s="3">
        <v>11.26208842657465</v>
      </c>
      <c r="K145" s="9">
        <v>0.86519607843137258</v>
      </c>
      <c r="L145" s="9"/>
      <c r="M145" s="9"/>
      <c r="N145" s="9"/>
      <c r="O145" s="9"/>
    </row>
    <row r="146" spans="1:15" x14ac:dyDescent="0.25">
      <c r="A146" s="9" t="s">
        <v>22</v>
      </c>
      <c r="B146" s="9" t="s">
        <v>28</v>
      </c>
      <c r="C146" s="9" t="s">
        <v>19</v>
      </c>
      <c r="D146" s="9" t="s">
        <v>15</v>
      </c>
      <c r="E146" s="9">
        <v>2013</v>
      </c>
      <c r="F146" s="44">
        <f t="shared" si="2"/>
        <v>66.12978837990579</v>
      </c>
      <c r="G146" s="38">
        <v>66.059376511820687</v>
      </c>
      <c r="H146" s="38">
        <v>51.509336821988661</v>
      </c>
      <c r="I146" s="38">
        <v>82.838904655389697</v>
      </c>
      <c r="J146" s="3">
        <v>82.695906446562432</v>
      </c>
      <c r="K146" s="9">
        <v>0.79967426710097722</v>
      </c>
      <c r="L146" s="9"/>
      <c r="M146" s="9"/>
      <c r="N146" s="9"/>
      <c r="O146" s="9"/>
    </row>
    <row r="147" spans="1:15" ht="15.75" thickBot="1" x14ac:dyDescent="0.3">
      <c r="A147" s="6" t="s">
        <v>22</v>
      </c>
      <c r="B147" s="6" t="s">
        <v>28</v>
      </c>
      <c r="C147" s="6" t="s">
        <v>20</v>
      </c>
      <c r="D147" s="6" t="s">
        <v>15</v>
      </c>
      <c r="E147" s="6">
        <v>2013</v>
      </c>
      <c r="F147" s="45">
        <f t="shared" si="2"/>
        <v>1.664348043336155</v>
      </c>
      <c r="G147" s="65">
        <v>1.6480129344407684</v>
      </c>
      <c r="H147" s="65">
        <v>0.14671360027731969</v>
      </c>
      <c r="I147" s="65">
        <v>5.0578160667934062</v>
      </c>
      <c r="J147" s="12">
        <v>1.93064373026994</v>
      </c>
      <c r="K147" s="6">
        <v>0.86206896551724133</v>
      </c>
      <c r="L147" s="6"/>
      <c r="M147" s="6"/>
      <c r="N147" s="6"/>
      <c r="O147" s="9"/>
    </row>
    <row r="148" spans="1:15" x14ac:dyDescent="0.25">
      <c r="A148" s="9" t="s">
        <v>10</v>
      </c>
      <c r="B148" s="9" t="s">
        <v>11</v>
      </c>
      <c r="C148" s="9" t="s">
        <v>11</v>
      </c>
      <c r="D148" s="9" t="s">
        <v>11</v>
      </c>
      <c r="E148" s="9">
        <v>2014</v>
      </c>
      <c r="F148" s="44">
        <f>SUM(F150:F152,F154:F159,F161:F163,F165:F167,F169:F171)</f>
        <v>35705.078083599205</v>
      </c>
      <c r="G148" s="38">
        <v>35703.069199999998</v>
      </c>
      <c r="H148" s="38">
        <v>35336</v>
      </c>
      <c r="I148" s="38">
        <v>36074</v>
      </c>
      <c r="J148" s="3"/>
      <c r="K148" s="9"/>
      <c r="L148" s="9"/>
      <c r="M148" s="9"/>
      <c r="N148" s="9"/>
      <c r="O148" s="9"/>
    </row>
    <row r="149" spans="1:15" x14ac:dyDescent="0.25">
      <c r="A149" s="9" t="s">
        <v>10</v>
      </c>
      <c r="B149" s="9" t="s">
        <v>24</v>
      </c>
      <c r="C149" s="9" t="s">
        <v>11</v>
      </c>
      <c r="D149" s="9" t="s">
        <v>11</v>
      </c>
      <c r="E149" s="9">
        <v>2014</v>
      </c>
      <c r="F149" s="44">
        <f>SUM(F150:F152)</f>
        <v>23909.623052393817</v>
      </c>
      <c r="G149" s="38"/>
      <c r="H149" s="38"/>
      <c r="I149" s="38"/>
      <c r="J149" s="3"/>
      <c r="K149" s="9"/>
      <c r="L149" s="9"/>
      <c r="M149" s="9"/>
      <c r="N149" s="9"/>
      <c r="O149" s="9"/>
    </row>
    <row r="150" spans="1:15" x14ac:dyDescent="0.25">
      <c r="A150" s="9" t="s">
        <v>10</v>
      </c>
      <c r="B150" s="9" t="s">
        <v>24</v>
      </c>
      <c r="C150" s="9" t="s">
        <v>31</v>
      </c>
      <c r="D150" s="9" t="s">
        <v>11</v>
      </c>
      <c r="E150" s="9">
        <v>2014</v>
      </c>
      <c r="F150" s="44">
        <f t="shared" si="2"/>
        <v>6883.5857032672957</v>
      </c>
      <c r="G150" s="38">
        <v>6883.1542005442525</v>
      </c>
      <c r="H150" s="38">
        <v>6721.9224641896744</v>
      </c>
      <c r="I150" s="38">
        <v>7048.7098590913101</v>
      </c>
      <c r="J150" s="3">
        <v>7118.3889957234296</v>
      </c>
      <c r="K150" s="9">
        <v>0.96701454604444925</v>
      </c>
      <c r="L150" s="9"/>
      <c r="M150" s="9"/>
      <c r="O150" s="9"/>
    </row>
    <row r="151" spans="1:15" x14ac:dyDescent="0.25">
      <c r="A151" s="9" t="s">
        <v>10</v>
      </c>
      <c r="B151" s="9" t="s">
        <v>24</v>
      </c>
      <c r="C151" s="9" t="s">
        <v>19</v>
      </c>
      <c r="D151" s="9" t="s">
        <v>11</v>
      </c>
      <c r="E151" s="9">
        <v>2014</v>
      </c>
      <c r="F151" s="44">
        <f t="shared" si="2"/>
        <v>15485.762030976937</v>
      </c>
      <c r="G151" s="38">
        <v>15485.024224463481</v>
      </c>
      <c r="H151" s="38">
        <v>15242.74126437558</v>
      </c>
      <c r="I151" s="38">
        <v>15733.326535386928</v>
      </c>
      <c r="J151" s="3">
        <v>16013.990786716799</v>
      </c>
      <c r="K151" s="9">
        <v>0.96701454604444925</v>
      </c>
      <c r="L151" s="9"/>
      <c r="M151" s="9"/>
      <c r="O151" s="9"/>
    </row>
    <row r="152" spans="1:15" x14ac:dyDescent="0.25">
      <c r="A152" s="9" t="s">
        <v>10</v>
      </c>
      <c r="B152" s="9" t="s">
        <v>24</v>
      </c>
      <c r="C152" s="9" t="s">
        <v>20</v>
      </c>
      <c r="D152" s="9" t="s">
        <v>11</v>
      </c>
      <c r="E152" s="9">
        <v>2014</v>
      </c>
      <c r="F152" s="44">
        <f t="shared" si="2"/>
        <v>1540.2753181495823</v>
      </c>
      <c r="G152" s="38">
        <v>1540.2038531238752</v>
      </c>
      <c r="H152" s="38">
        <v>1462.8963330231963</v>
      </c>
      <c r="I152" s="38">
        <v>1618.2037944158478</v>
      </c>
      <c r="J152" s="3">
        <v>1592.8150454923796</v>
      </c>
      <c r="K152" s="9">
        <v>0.96701454604444925</v>
      </c>
      <c r="L152" s="9"/>
      <c r="M152" s="9"/>
      <c r="O152" s="9"/>
    </row>
    <row r="153" spans="1:15" x14ac:dyDescent="0.25">
      <c r="A153" s="9" t="s">
        <v>10</v>
      </c>
      <c r="B153" s="9" t="s">
        <v>26</v>
      </c>
      <c r="C153" s="9" t="s">
        <v>11</v>
      </c>
      <c r="D153" s="9" t="s">
        <v>11</v>
      </c>
      <c r="E153" s="9">
        <v>2014</v>
      </c>
      <c r="F153" s="44">
        <f>SUM(F154:F159)</f>
        <v>2394.9590276218055</v>
      </c>
      <c r="G153" s="38"/>
      <c r="H153" s="38"/>
      <c r="I153" s="38"/>
      <c r="J153" s="3"/>
      <c r="K153" s="9"/>
      <c r="L153" s="9"/>
      <c r="M153" s="9"/>
      <c r="O153" s="9"/>
    </row>
    <row r="154" spans="1:15" x14ac:dyDescent="0.25">
      <c r="A154" s="9" t="s">
        <v>10</v>
      </c>
      <c r="B154" s="9" t="s">
        <v>26</v>
      </c>
      <c r="C154" s="9" t="s">
        <v>31</v>
      </c>
      <c r="D154" s="9" t="s">
        <v>12</v>
      </c>
      <c r="E154" s="9">
        <v>2014</v>
      </c>
      <c r="F154" s="44">
        <f t="shared" si="2"/>
        <v>191.63771423417958</v>
      </c>
      <c r="G154" s="38">
        <v>191.62478407562864</v>
      </c>
      <c r="H154" s="38">
        <v>165.34180230756081</v>
      </c>
      <c r="I154" s="38">
        <v>219.65251683548163</v>
      </c>
      <c r="J154" s="3">
        <v>198.17459315174651</v>
      </c>
      <c r="K154" s="9">
        <v>0.96701454604444925</v>
      </c>
      <c r="L154" s="9"/>
      <c r="M154" s="9"/>
      <c r="O154" s="9"/>
    </row>
    <row r="155" spans="1:15" x14ac:dyDescent="0.25">
      <c r="A155" s="9" t="s">
        <v>10</v>
      </c>
      <c r="B155" s="9" t="s">
        <v>26</v>
      </c>
      <c r="C155" s="9" t="s">
        <v>19</v>
      </c>
      <c r="D155" s="9" t="s">
        <v>12</v>
      </c>
      <c r="E155" s="9">
        <v>2014</v>
      </c>
      <c r="F155" s="44">
        <f t="shared" si="2"/>
        <v>1148.8014847941993</v>
      </c>
      <c r="G155" s="38">
        <v>1148.6388227900982</v>
      </c>
      <c r="H155" s="38">
        <v>1082.5025116651263</v>
      </c>
      <c r="I155" s="38">
        <v>1215.6468691001128</v>
      </c>
      <c r="J155" s="3">
        <v>1187.9878017278493</v>
      </c>
      <c r="K155" s="9">
        <v>0.96701454604444925</v>
      </c>
      <c r="L155" s="9"/>
      <c r="M155" s="9"/>
      <c r="O155" s="9"/>
    </row>
    <row r="156" spans="1:15" x14ac:dyDescent="0.25">
      <c r="A156" s="9" t="s">
        <v>10</v>
      </c>
      <c r="B156" s="9" t="s">
        <v>26</v>
      </c>
      <c r="C156" s="9" t="s">
        <v>20</v>
      </c>
      <c r="D156" s="9" t="s">
        <v>12</v>
      </c>
      <c r="E156" s="9">
        <v>2014</v>
      </c>
      <c r="F156" s="44">
        <f t="shared" si="2"/>
        <v>71.736042761457597</v>
      </c>
      <c r="G156" s="38">
        <v>71.743529027198946</v>
      </c>
      <c r="H156" s="38">
        <v>56.111602705138289</v>
      </c>
      <c r="I156" s="38">
        <v>89.443013252191861</v>
      </c>
      <c r="J156" s="3">
        <v>74.183002784076237</v>
      </c>
      <c r="K156" s="9">
        <v>0.96701454604444925</v>
      </c>
      <c r="L156" s="9"/>
      <c r="M156" s="9"/>
      <c r="O156" s="9"/>
    </row>
    <row r="157" spans="1:15" x14ac:dyDescent="0.25">
      <c r="A157" s="9" t="s">
        <v>10</v>
      </c>
      <c r="B157" s="9" t="s">
        <v>26</v>
      </c>
      <c r="C157" s="9" t="s">
        <v>31</v>
      </c>
      <c r="D157" s="9" t="s">
        <v>15</v>
      </c>
      <c r="E157" s="9">
        <v>2014</v>
      </c>
      <c r="F157" s="44">
        <f t="shared" si="2"/>
        <v>201.88572034295925</v>
      </c>
      <c r="G157" s="38">
        <v>201.90283900622069</v>
      </c>
      <c r="H157" s="38">
        <v>175.67666928296114</v>
      </c>
      <c r="I157" s="38">
        <v>230.43182223342305</v>
      </c>
      <c r="J157" s="3">
        <v>208.77216497804312</v>
      </c>
      <c r="K157" s="9">
        <v>0.96701454604444925</v>
      </c>
      <c r="L157" s="9"/>
      <c r="M157" s="9"/>
      <c r="O157" s="9"/>
    </row>
    <row r="158" spans="1:15" x14ac:dyDescent="0.25">
      <c r="A158" s="9" t="s">
        <v>10</v>
      </c>
      <c r="B158" s="9" t="s">
        <v>26</v>
      </c>
      <c r="C158" s="9" t="s">
        <v>19</v>
      </c>
      <c r="D158" s="9" t="s">
        <v>15</v>
      </c>
      <c r="E158" s="9">
        <v>2014</v>
      </c>
      <c r="F158" s="44">
        <f t="shared" si="2"/>
        <v>726.58363311247763</v>
      </c>
      <c r="G158" s="38">
        <v>726.37172311793927</v>
      </c>
      <c r="H158" s="38">
        <v>673.84217196409747</v>
      </c>
      <c r="I158" s="38">
        <v>780.35773391980501</v>
      </c>
      <c r="J158" s="3">
        <v>751.36784248442927</v>
      </c>
      <c r="K158" s="9">
        <v>0.96701454604444925</v>
      </c>
      <c r="L158" s="9"/>
      <c r="M158" s="9"/>
      <c r="O158" s="9"/>
    </row>
    <row r="159" spans="1:15" x14ac:dyDescent="0.25">
      <c r="A159" s="9" t="s">
        <v>10</v>
      </c>
      <c r="B159" s="9" t="s">
        <v>26</v>
      </c>
      <c r="C159" s="9" t="s">
        <v>20</v>
      </c>
      <c r="D159" s="9" t="s">
        <v>15</v>
      </c>
      <c r="E159" s="9">
        <v>2014</v>
      </c>
      <c r="F159" s="44">
        <f t="shared" si="2"/>
        <v>54.314432376532181</v>
      </c>
      <c r="G159" s="38">
        <v>54.352454407021796</v>
      </c>
      <c r="H159" s="38">
        <v>40.791373237500125</v>
      </c>
      <c r="I159" s="38">
        <v>70.004285130014594</v>
      </c>
      <c r="J159" s="3">
        <v>56.167130679372008</v>
      </c>
      <c r="K159" s="9">
        <v>0.96701454604444925</v>
      </c>
      <c r="L159" s="9"/>
      <c r="M159" s="9"/>
      <c r="O159" s="9"/>
    </row>
    <row r="160" spans="1:15" x14ac:dyDescent="0.25">
      <c r="A160" s="9" t="s">
        <v>10</v>
      </c>
      <c r="B160" s="9" t="s">
        <v>27</v>
      </c>
      <c r="C160" s="9" t="s">
        <v>11</v>
      </c>
      <c r="D160" s="9" t="s">
        <v>11</v>
      </c>
      <c r="E160" s="9">
        <v>2014</v>
      </c>
      <c r="F160" s="44">
        <f>SUM(F161:F163)</f>
        <v>1777.0042592623925</v>
      </c>
      <c r="G160" s="38"/>
      <c r="H160" s="38"/>
      <c r="I160" s="38"/>
      <c r="J160" s="3"/>
      <c r="K160" s="9"/>
      <c r="L160" s="9"/>
      <c r="M160" s="9"/>
      <c r="O160" s="9"/>
    </row>
    <row r="161" spans="1:15" x14ac:dyDescent="0.25">
      <c r="A161" s="9" t="s">
        <v>10</v>
      </c>
      <c r="B161" s="9" t="s">
        <v>27</v>
      </c>
      <c r="C161" s="9" t="s">
        <v>31</v>
      </c>
      <c r="D161" s="9" t="s">
        <v>11</v>
      </c>
      <c r="E161" s="9">
        <v>2014</v>
      </c>
      <c r="F161" s="44">
        <f t="shared" si="2"/>
        <v>602.58275919624373</v>
      </c>
      <c r="G161" s="38">
        <v>602.52412358305969</v>
      </c>
      <c r="H161" s="38">
        <v>555.30881332787362</v>
      </c>
      <c r="I161" s="38">
        <v>651.94421394546271</v>
      </c>
      <c r="J161" s="3">
        <v>623.13722338624029</v>
      </c>
      <c r="K161" s="9">
        <v>0.96701454604444925</v>
      </c>
      <c r="L161" s="9"/>
      <c r="M161" s="9"/>
      <c r="O161" s="9"/>
    </row>
    <row r="162" spans="1:15" x14ac:dyDescent="0.25">
      <c r="A162" s="9" t="s">
        <v>10</v>
      </c>
      <c r="B162" s="9" t="s">
        <v>27</v>
      </c>
      <c r="C162" s="9" t="s">
        <v>19</v>
      </c>
      <c r="D162" s="9" t="s">
        <v>11</v>
      </c>
      <c r="E162" s="9">
        <v>2014</v>
      </c>
      <c r="F162" s="44">
        <f t="shared" si="2"/>
        <v>1061.6934328695725</v>
      </c>
      <c r="G162" s="38">
        <v>1061.3603254485363</v>
      </c>
      <c r="H162" s="38">
        <v>998.82797191805332</v>
      </c>
      <c r="I162" s="38">
        <v>1127.0382516363516</v>
      </c>
      <c r="J162" s="3">
        <v>1097.9084412043283</v>
      </c>
      <c r="K162" s="9">
        <v>0.96701454604444925</v>
      </c>
      <c r="L162" s="9"/>
      <c r="M162" s="9"/>
      <c r="O162" s="9"/>
    </row>
    <row r="163" spans="1:15" x14ac:dyDescent="0.25">
      <c r="A163" s="9" t="s">
        <v>10</v>
      </c>
      <c r="B163" s="9" t="s">
        <v>27</v>
      </c>
      <c r="C163" s="9" t="s">
        <v>20</v>
      </c>
      <c r="D163" s="9" t="s">
        <v>11</v>
      </c>
      <c r="E163" s="9">
        <v>2014</v>
      </c>
      <c r="F163" s="44">
        <f t="shared" si="2"/>
        <v>112.72806719657622</v>
      </c>
      <c r="G163" s="38">
        <v>112.54876864937816</v>
      </c>
      <c r="H163" s="38">
        <v>92.907739392755872</v>
      </c>
      <c r="I163" s="38">
        <v>134.56592467352047</v>
      </c>
      <c r="J163" s="3">
        <v>116.57329008926266</v>
      </c>
      <c r="K163" s="9">
        <v>0.96701454604444925</v>
      </c>
      <c r="L163" s="9"/>
      <c r="M163" s="9"/>
      <c r="O163" s="9"/>
    </row>
    <row r="164" spans="1:15" x14ac:dyDescent="0.25">
      <c r="A164" s="9" t="s">
        <v>10</v>
      </c>
      <c r="B164" s="9" t="s">
        <v>28</v>
      </c>
      <c r="C164" s="9" t="s">
        <v>11</v>
      </c>
      <c r="D164" s="9" t="s">
        <v>12</v>
      </c>
      <c r="E164" s="9">
        <v>2014</v>
      </c>
      <c r="F164" s="44">
        <f>SUM(F165:F167)</f>
        <v>1403.345242065559</v>
      </c>
      <c r="G164" s="38"/>
      <c r="H164" s="38"/>
      <c r="I164" s="38"/>
      <c r="J164" s="3"/>
      <c r="K164" s="9"/>
      <c r="L164" s="9"/>
      <c r="M164" s="9"/>
      <c r="O164" s="9"/>
    </row>
    <row r="165" spans="1:15" x14ac:dyDescent="0.25">
      <c r="A165" s="9" t="s">
        <v>10</v>
      </c>
      <c r="B165" s="9" t="s">
        <v>28</v>
      </c>
      <c r="C165" s="9" t="s">
        <v>31</v>
      </c>
      <c r="D165" s="9" t="s">
        <v>12</v>
      </c>
      <c r="E165" s="9">
        <v>2014</v>
      </c>
      <c r="F165" s="44">
        <f t="shared" si="2"/>
        <v>93.840715274900603</v>
      </c>
      <c r="G165" s="38">
        <v>93.723167702108498</v>
      </c>
      <c r="H165" s="38">
        <v>75.616816640733717</v>
      </c>
      <c r="I165" s="38">
        <v>113.46145053006661</v>
      </c>
      <c r="J165" s="3">
        <v>97.041679113053561</v>
      </c>
      <c r="K165" s="9">
        <v>0.96701454604444925</v>
      </c>
      <c r="L165" s="9"/>
      <c r="M165" s="9"/>
      <c r="O165" s="9"/>
    </row>
    <row r="166" spans="1:15" x14ac:dyDescent="0.25">
      <c r="A166" s="9" t="s">
        <v>10</v>
      </c>
      <c r="B166" s="9" t="s">
        <v>28</v>
      </c>
      <c r="C166" s="9" t="s">
        <v>19</v>
      </c>
      <c r="D166" s="9" t="s">
        <v>12</v>
      </c>
      <c r="E166" s="9">
        <v>2014</v>
      </c>
      <c r="F166" s="44">
        <f t="shared" si="2"/>
        <v>1180.4735432876703</v>
      </c>
      <c r="G166" s="38">
        <v>1180.4216921555485</v>
      </c>
      <c r="H166" s="38">
        <v>1113.6217770103369</v>
      </c>
      <c r="I166" s="38">
        <v>1247.2466922004614</v>
      </c>
      <c r="J166" s="3">
        <v>1220.7402133880717</v>
      </c>
      <c r="K166" s="9">
        <v>0.96701454604444925</v>
      </c>
      <c r="L166" s="9"/>
      <c r="M166" s="9"/>
      <c r="O166" s="9"/>
    </row>
    <row r="167" spans="1:15" x14ac:dyDescent="0.25">
      <c r="A167" s="9" t="s">
        <v>10</v>
      </c>
      <c r="B167" s="9" t="s">
        <v>28</v>
      </c>
      <c r="C167" s="9" t="s">
        <v>20</v>
      </c>
      <c r="D167" s="9" t="s">
        <v>12</v>
      </c>
      <c r="E167" s="9">
        <v>2014</v>
      </c>
      <c r="F167" s="44">
        <f t="shared" si="2"/>
        <v>129.03098350298831</v>
      </c>
      <c r="G167" s="38">
        <v>128.95996640038925</v>
      </c>
      <c r="H167" s="38">
        <v>107.91640110371142</v>
      </c>
      <c r="I167" s="38">
        <v>152.29483892328042</v>
      </c>
      <c r="J167" s="3">
        <v>133.43230878044864</v>
      </c>
      <c r="K167" s="9">
        <v>0.96701454604444925</v>
      </c>
      <c r="L167" s="9"/>
      <c r="M167" s="9"/>
      <c r="O167" s="9"/>
    </row>
    <row r="168" spans="1:15" x14ac:dyDescent="0.25">
      <c r="A168" s="9" t="s">
        <v>10</v>
      </c>
      <c r="B168" s="9" t="s">
        <v>28</v>
      </c>
      <c r="C168" s="9" t="s">
        <v>11</v>
      </c>
      <c r="D168" s="9" t="s">
        <v>15</v>
      </c>
      <c r="E168" s="9">
        <v>2014</v>
      </c>
      <c r="F168" s="44">
        <f>SUM(F169:F171)</f>
        <v>6220.1465022556267</v>
      </c>
      <c r="G168" s="38"/>
      <c r="H168" s="38"/>
      <c r="I168" s="38"/>
      <c r="J168" s="3"/>
      <c r="K168" s="9"/>
      <c r="L168" s="9"/>
      <c r="M168" s="9"/>
      <c r="O168" s="9"/>
    </row>
    <row r="169" spans="1:15" x14ac:dyDescent="0.25">
      <c r="A169" s="9" t="s">
        <v>10</v>
      </c>
      <c r="B169" s="9" t="s">
        <v>28</v>
      </c>
      <c r="C169" s="9" t="s">
        <v>31</v>
      </c>
      <c r="D169" s="9" t="s">
        <v>15</v>
      </c>
      <c r="E169" s="9">
        <v>2014</v>
      </c>
      <c r="F169" s="44">
        <f>J169*K169</f>
        <v>461.73897402309046</v>
      </c>
      <c r="G169" s="38">
        <v>461.88462706291739</v>
      </c>
      <c r="H169" s="38">
        <v>420.39418253096721</v>
      </c>
      <c r="I169" s="38">
        <v>505.0271180263677</v>
      </c>
      <c r="J169" s="3">
        <v>477.4891710903658</v>
      </c>
      <c r="K169" s="9">
        <v>0.96701454604444925</v>
      </c>
      <c r="L169" s="9"/>
      <c r="M169" s="9"/>
      <c r="O169" s="9"/>
    </row>
    <row r="170" spans="1:15" x14ac:dyDescent="0.25">
      <c r="A170" s="9" t="s">
        <v>10</v>
      </c>
      <c r="B170" s="9" t="s">
        <v>28</v>
      </c>
      <c r="C170" s="9" t="s">
        <v>19</v>
      </c>
      <c r="D170" s="9" t="s">
        <v>15</v>
      </c>
      <c r="E170" s="9">
        <v>2014</v>
      </c>
      <c r="F170" s="44">
        <f>J170*K170</f>
        <v>5379.8455518394721</v>
      </c>
      <c r="G170" s="38">
        <v>5380.0757360704083</v>
      </c>
      <c r="H170" s="38">
        <v>5235.9155821394215</v>
      </c>
      <c r="I170" s="38">
        <v>5527.1326704383928</v>
      </c>
      <c r="J170" s="3">
        <v>5563.3553536972186</v>
      </c>
      <c r="K170" s="9">
        <v>0.96701454604444925</v>
      </c>
      <c r="L170" s="9"/>
      <c r="M170" s="9"/>
      <c r="O170" s="9"/>
    </row>
    <row r="171" spans="1:15" x14ac:dyDescent="0.25">
      <c r="A171" s="9" t="s">
        <v>10</v>
      </c>
      <c r="B171" s="9" t="s">
        <v>28</v>
      </c>
      <c r="C171" s="9" t="s">
        <v>20</v>
      </c>
      <c r="D171" s="9" t="s">
        <v>15</v>
      </c>
      <c r="E171" s="9">
        <v>2014</v>
      </c>
      <c r="F171" s="44">
        <f>J171*K171</f>
        <v>378.56197639306487</v>
      </c>
      <c r="G171" s="38">
        <v>378.55436237193732</v>
      </c>
      <c r="H171" s="38">
        <v>341.67752465303482</v>
      </c>
      <c r="I171" s="38">
        <v>417.32268955156502</v>
      </c>
      <c r="J171" s="3">
        <v>391.47495551288648</v>
      </c>
      <c r="K171" s="9">
        <v>0.96701454604444925</v>
      </c>
      <c r="L171" s="9"/>
      <c r="M171" s="9"/>
      <c r="O171" s="9"/>
    </row>
    <row r="172" spans="1:15" x14ac:dyDescent="0.25">
      <c r="A172" s="9" t="s">
        <v>21</v>
      </c>
      <c r="B172" s="9" t="s">
        <v>11</v>
      </c>
      <c r="C172" s="9" t="s">
        <v>11</v>
      </c>
      <c r="D172" s="9" t="s">
        <v>11</v>
      </c>
      <c r="E172" s="9">
        <v>2014</v>
      </c>
      <c r="F172" s="44">
        <f t="shared" si="2"/>
        <v>1694.7661691542287</v>
      </c>
      <c r="G172" s="38">
        <v>1694.5198</v>
      </c>
      <c r="H172" s="38">
        <v>1616</v>
      </c>
      <c r="I172" s="38">
        <v>1777</v>
      </c>
      <c r="J172" s="3">
        <f>SUM(J175:J192)</f>
        <v>1737.9999999999998</v>
      </c>
      <c r="K172" s="9">
        <v>0.97512437810945274</v>
      </c>
      <c r="L172" s="9"/>
      <c r="M172" s="9"/>
      <c r="O172" s="9"/>
    </row>
    <row r="173" spans="1:15" x14ac:dyDescent="0.25">
      <c r="A173" s="9" t="s">
        <v>21</v>
      </c>
      <c r="B173" s="9" t="s">
        <v>11</v>
      </c>
      <c r="C173" s="9" t="s">
        <v>19</v>
      </c>
      <c r="D173" s="9" t="s">
        <v>11</v>
      </c>
      <c r="E173" s="9">
        <v>2014</v>
      </c>
      <c r="F173" s="44">
        <f t="shared" si="2"/>
        <v>1263.9128360900029</v>
      </c>
      <c r="G173" s="38"/>
      <c r="H173" s="38"/>
      <c r="I173" s="38"/>
      <c r="J173" s="3">
        <f>J176+J179+J182+J185+J188+J191</f>
        <v>1296.1555104800541</v>
      </c>
      <c r="K173" s="9">
        <v>0.97512437810945274</v>
      </c>
      <c r="L173" s="9"/>
      <c r="M173" s="9"/>
      <c r="O173" s="9"/>
    </row>
    <row r="174" spans="1:15" x14ac:dyDescent="0.25">
      <c r="A174" s="9" t="s">
        <v>21</v>
      </c>
      <c r="B174" s="9" t="s">
        <v>24</v>
      </c>
      <c r="C174" s="9" t="s">
        <v>11</v>
      </c>
      <c r="D174" s="9" t="s">
        <v>11</v>
      </c>
      <c r="E174" s="9">
        <v>2014</v>
      </c>
      <c r="F174" s="44">
        <f t="shared" si="2"/>
        <v>1226.0985807944724</v>
      </c>
      <c r="G174" s="38"/>
      <c r="H174" s="38"/>
      <c r="I174" s="38"/>
      <c r="J174" s="3">
        <f>SUM(J175:J177)</f>
        <v>1257.3766058147396</v>
      </c>
      <c r="K174" s="9">
        <v>0.97512437810945274</v>
      </c>
      <c r="L174" s="9"/>
      <c r="M174" s="9"/>
      <c r="O174" s="9"/>
    </row>
    <row r="175" spans="1:15" x14ac:dyDescent="0.25">
      <c r="A175" s="9" t="s">
        <v>21</v>
      </c>
      <c r="B175" s="9" t="s">
        <v>24</v>
      </c>
      <c r="C175" s="9" t="s">
        <v>31</v>
      </c>
      <c r="D175" s="9" t="s">
        <v>11</v>
      </c>
      <c r="E175" s="9">
        <v>2014</v>
      </c>
      <c r="F175" s="44">
        <f t="shared" si="2"/>
        <v>239.49028353835959</v>
      </c>
      <c r="G175" s="38">
        <v>239.42408489971982</v>
      </c>
      <c r="H175" s="38">
        <v>209.45995797704518</v>
      </c>
      <c r="I175" s="38">
        <v>270.40240710723282</v>
      </c>
      <c r="J175" s="3">
        <v>245.59972954699123</v>
      </c>
      <c r="K175" s="9">
        <v>0.97512437810945274</v>
      </c>
      <c r="L175" s="9"/>
      <c r="M175" s="9"/>
      <c r="O175" s="9"/>
    </row>
    <row r="176" spans="1:15" x14ac:dyDescent="0.25">
      <c r="A176" s="9" t="s">
        <v>21</v>
      </c>
      <c r="B176" s="9" t="s">
        <v>24</v>
      </c>
      <c r="C176" s="9" t="s">
        <v>19</v>
      </c>
      <c r="D176" s="9" t="s">
        <v>11</v>
      </c>
      <c r="E176" s="9">
        <v>2014</v>
      </c>
      <c r="F176" s="44">
        <f t="shared" si="2"/>
        <v>897.2291483757682</v>
      </c>
      <c r="G176" s="38">
        <v>897.51973653977507</v>
      </c>
      <c r="H176" s="38">
        <v>839.91121052813423</v>
      </c>
      <c r="I176" s="38">
        <v>957.11998285252355</v>
      </c>
      <c r="J176" s="3">
        <v>920.11764705882354</v>
      </c>
      <c r="K176" s="9">
        <v>0.97512437810945274</v>
      </c>
      <c r="L176" s="9"/>
      <c r="M176" s="9"/>
      <c r="O176" s="9"/>
    </row>
    <row r="177" spans="1:18" x14ac:dyDescent="0.25">
      <c r="A177" s="9" t="s">
        <v>21</v>
      </c>
      <c r="B177" s="9" t="s">
        <v>24</v>
      </c>
      <c r="C177" s="9" t="s">
        <v>20</v>
      </c>
      <c r="D177" s="9" t="s">
        <v>11</v>
      </c>
      <c r="E177" s="9">
        <v>2014</v>
      </c>
      <c r="F177" s="44">
        <f t="shared" si="2"/>
        <v>89.379148880344729</v>
      </c>
      <c r="G177" s="38">
        <v>89.308373654726353</v>
      </c>
      <c r="H177" s="38">
        <v>71.802637094258614</v>
      </c>
      <c r="I177" s="38">
        <v>108.34888427839655</v>
      </c>
      <c r="J177" s="3">
        <v>91.659229208924955</v>
      </c>
      <c r="K177" s="9">
        <v>0.97512437810945274</v>
      </c>
      <c r="L177" s="9"/>
      <c r="M177" s="9"/>
      <c r="O177" s="9"/>
    </row>
    <row r="178" spans="1:18" x14ac:dyDescent="0.25">
      <c r="A178" s="9" t="s">
        <v>21</v>
      </c>
      <c r="B178" s="9" t="s">
        <v>26</v>
      </c>
      <c r="C178" s="9" t="s">
        <v>31</v>
      </c>
      <c r="D178" s="9" t="s">
        <v>12</v>
      </c>
      <c r="E178" s="9">
        <v>2014</v>
      </c>
      <c r="F178" s="44">
        <f t="shared" si="2"/>
        <v>9.1670921928558702</v>
      </c>
      <c r="G178" s="38">
        <v>9.1286305777433832</v>
      </c>
      <c r="H178" s="38">
        <v>4.1809264259652696</v>
      </c>
      <c r="I178" s="38">
        <v>15.832440487350395</v>
      </c>
      <c r="J178" s="3">
        <v>9.4009465855307646</v>
      </c>
      <c r="K178" s="9">
        <v>0.97512437810945274</v>
      </c>
      <c r="L178" s="9"/>
      <c r="M178" s="9"/>
      <c r="O178" s="9"/>
    </row>
    <row r="179" spans="1:18" x14ac:dyDescent="0.25">
      <c r="A179" s="9" t="s">
        <v>21</v>
      </c>
      <c r="B179" s="9" t="s">
        <v>26</v>
      </c>
      <c r="C179" s="9" t="s">
        <v>19</v>
      </c>
      <c r="D179" s="9" t="s">
        <v>12</v>
      </c>
      <c r="E179" s="9">
        <v>2014</v>
      </c>
      <c r="F179" s="44">
        <f t="shared" si="2"/>
        <v>19.480070909818725</v>
      </c>
      <c r="G179" s="38">
        <v>19.442627535906812</v>
      </c>
      <c r="H179" s="38">
        <v>11.824007868510325</v>
      </c>
      <c r="I179" s="38">
        <v>28.844644026994288</v>
      </c>
      <c r="J179" s="3">
        <v>19.977011494252874</v>
      </c>
      <c r="K179" s="9">
        <v>0.97512437810945274</v>
      </c>
      <c r="L179" s="9"/>
      <c r="M179" s="9"/>
      <c r="O179" s="9"/>
    </row>
    <row r="180" spans="1:18" x14ac:dyDescent="0.25">
      <c r="A180" s="9" t="s">
        <v>21</v>
      </c>
      <c r="B180" s="9" t="s">
        <v>26</v>
      </c>
      <c r="C180" s="9" t="s">
        <v>20</v>
      </c>
      <c r="D180" s="9" t="s">
        <v>12</v>
      </c>
      <c r="E180" s="9">
        <v>2014</v>
      </c>
      <c r="F180" s="44">
        <f t="shared" si="2"/>
        <v>4.5835460964279351</v>
      </c>
      <c r="G180" s="38">
        <v>4.5989366170272534</v>
      </c>
      <c r="H180" s="38">
        <v>1.4019457408762026</v>
      </c>
      <c r="I180" s="38">
        <v>9.4217602281866633</v>
      </c>
      <c r="J180" s="3">
        <v>4.7004732927653823</v>
      </c>
      <c r="K180" s="9">
        <v>0.97512437810945274</v>
      </c>
      <c r="L180" s="9"/>
      <c r="M180" s="9"/>
      <c r="O180" s="9"/>
    </row>
    <row r="181" spans="1:18" x14ac:dyDescent="0.25">
      <c r="A181" s="9" t="s">
        <v>21</v>
      </c>
      <c r="B181" s="9" t="s">
        <v>26</v>
      </c>
      <c r="C181" s="9" t="s">
        <v>31</v>
      </c>
      <c r="D181" s="9" t="s">
        <v>15</v>
      </c>
      <c r="E181" s="9">
        <v>2014</v>
      </c>
      <c r="F181" s="44">
        <f t="shared" si="2"/>
        <v>5.7294326205349186</v>
      </c>
      <c r="G181" s="38">
        <v>5.7575825090871602</v>
      </c>
      <c r="H181" s="38">
        <v>2.0801202533998135</v>
      </c>
      <c r="I181" s="38">
        <v>11.420835192688269</v>
      </c>
      <c r="J181" s="3">
        <v>5.8755916159567274</v>
      </c>
      <c r="K181" s="9">
        <v>0.97512437810945274</v>
      </c>
      <c r="L181" s="9"/>
      <c r="M181" s="9"/>
      <c r="O181" s="9"/>
    </row>
    <row r="182" spans="1:18" x14ac:dyDescent="0.25">
      <c r="A182" s="9" t="s">
        <v>21</v>
      </c>
      <c r="B182" s="9" t="s">
        <v>26</v>
      </c>
      <c r="C182" s="9" t="s">
        <v>19</v>
      </c>
      <c r="D182" s="9" t="s">
        <v>15</v>
      </c>
      <c r="E182" s="9">
        <v>2014</v>
      </c>
      <c r="F182" s="44">
        <f t="shared" si="2"/>
        <v>12.60475176517682</v>
      </c>
      <c r="G182" s="38">
        <v>12.657908509926903</v>
      </c>
      <c r="H182" s="38">
        <v>6.6561115363884991</v>
      </c>
      <c r="I182" s="38">
        <v>20.464947224355868</v>
      </c>
      <c r="J182" s="3">
        <v>12.9263015551048</v>
      </c>
      <c r="K182" s="9">
        <v>0.97512437810945274</v>
      </c>
      <c r="L182" s="9"/>
      <c r="M182" s="9"/>
      <c r="O182" s="9"/>
    </row>
    <row r="183" spans="1:18" x14ac:dyDescent="0.25">
      <c r="A183" s="9" t="s">
        <v>21</v>
      </c>
      <c r="B183" s="9" t="s">
        <v>26</v>
      </c>
      <c r="C183" s="9" t="s">
        <v>20</v>
      </c>
      <c r="D183" s="9" t="s">
        <v>15</v>
      </c>
      <c r="E183" s="9">
        <v>2014</v>
      </c>
      <c r="F183" s="44">
        <f t="shared" si="2"/>
        <v>6.8753191446419013</v>
      </c>
      <c r="G183" s="38">
        <v>6.8708657480880797</v>
      </c>
      <c r="H183" s="38">
        <v>2.7357001628631865</v>
      </c>
      <c r="I183" s="38">
        <v>12.861170781552232</v>
      </c>
      <c r="J183" s="3">
        <v>7.0507099391480725</v>
      </c>
      <c r="K183" s="9">
        <v>0.97512437810945274</v>
      </c>
      <c r="L183" s="9"/>
      <c r="M183" s="9"/>
      <c r="O183" s="9"/>
    </row>
    <row r="184" spans="1:18" x14ac:dyDescent="0.25">
      <c r="A184" s="9" t="s">
        <v>21</v>
      </c>
      <c r="B184" s="9" t="s">
        <v>27</v>
      </c>
      <c r="C184" s="9" t="s">
        <v>31</v>
      </c>
      <c r="D184" s="9" t="s">
        <v>11</v>
      </c>
      <c r="E184" s="9">
        <v>2014</v>
      </c>
      <c r="F184" s="44">
        <f t="shared" si="2"/>
        <v>9.1670921928558702</v>
      </c>
      <c r="G184" s="38">
        <v>9.1826513121507123</v>
      </c>
      <c r="H184" s="38">
        <v>4.1986537333239129</v>
      </c>
      <c r="I184" s="38">
        <v>15.900277212326248</v>
      </c>
      <c r="J184" s="3">
        <v>9.4009465855307646</v>
      </c>
      <c r="K184" s="9">
        <v>0.97512437810945274</v>
      </c>
      <c r="L184" s="9"/>
      <c r="M184" s="9"/>
      <c r="O184" s="9"/>
    </row>
    <row r="185" spans="1:18" x14ac:dyDescent="0.25">
      <c r="A185" s="9" t="s">
        <v>21</v>
      </c>
      <c r="B185" s="9" t="s">
        <v>27</v>
      </c>
      <c r="C185" s="9" t="s">
        <v>19</v>
      </c>
      <c r="D185" s="9" t="s">
        <v>11</v>
      </c>
      <c r="E185" s="9">
        <v>2014</v>
      </c>
      <c r="F185" s="44">
        <f t="shared" si="2"/>
        <v>19.480070909818725</v>
      </c>
      <c r="G185" s="38">
        <v>19.402645908888122</v>
      </c>
      <c r="H185" s="38">
        <v>11.819719802468462</v>
      </c>
      <c r="I185" s="38">
        <v>28.707734660203155</v>
      </c>
      <c r="J185" s="3">
        <v>19.977011494252874</v>
      </c>
      <c r="K185" s="9">
        <v>0.97512437810945274</v>
      </c>
      <c r="L185" s="9"/>
      <c r="M185" s="9"/>
      <c r="O185" s="9"/>
    </row>
    <row r="186" spans="1:18" x14ac:dyDescent="0.25">
      <c r="A186" s="9" t="s">
        <v>21</v>
      </c>
      <c r="B186" s="9" t="s">
        <v>27</v>
      </c>
      <c r="C186" s="9" t="s">
        <v>20</v>
      </c>
      <c r="D186" s="9" t="s">
        <v>11</v>
      </c>
      <c r="E186" s="9">
        <v>2014</v>
      </c>
      <c r="F186" s="44">
        <f t="shared" si="2"/>
        <v>4.5835460964279351</v>
      </c>
      <c r="G186" s="38">
        <v>4.5855544952256144</v>
      </c>
      <c r="H186" s="38">
        <v>1.3407094823653725</v>
      </c>
      <c r="I186" s="38">
        <v>9.546552351871739</v>
      </c>
      <c r="J186" s="3">
        <v>4.7004732927653823</v>
      </c>
      <c r="K186" s="9">
        <v>0.97512437810945274</v>
      </c>
      <c r="L186" s="9"/>
      <c r="M186" s="9"/>
      <c r="O186" s="9"/>
    </row>
    <row r="187" spans="1:18" x14ac:dyDescent="0.25">
      <c r="A187" s="9" t="s">
        <v>21</v>
      </c>
      <c r="B187" s="9" t="s">
        <v>28</v>
      </c>
      <c r="C187" s="9" t="s">
        <v>31</v>
      </c>
      <c r="D187" s="9" t="s">
        <v>12</v>
      </c>
      <c r="E187" s="9">
        <v>2014</v>
      </c>
      <c r="F187" s="44">
        <f t="shared" si="2"/>
        <v>13.750638289283803</v>
      </c>
      <c r="G187" s="38">
        <v>13.770301884619213</v>
      </c>
      <c r="H187" s="38">
        <v>7.5314433353355392</v>
      </c>
      <c r="I187" s="38">
        <v>21.900855236847605</v>
      </c>
      <c r="J187" s="3">
        <v>14.101419878296145</v>
      </c>
      <c r="K187" s="9">
        <v>0.97512437810945274</v>
      </c>
      <c r="L187" s="9"/>
      <c r="M187" s="9"/>
      <c r="O187" s="9"/>
    </row>
    <row r="188" spans="1:18" x14ac:dyDescent="0.25">
      <c r="A188" s="9" t="s">
        <v>21</v>
      </c>
      <c r="B188" s="9" t="s">
        <v>28</v>
      </c>
      <c r="C188" s="9" t="s">
        <v>19</v>
      </c>
      <c r="D188" s="9" t="s">
        <v>12</v>
      </c>
      <c r="E188" s="9">
        <v>2014</v>
      </c>
      <c r="F188" s="44">
        <f t="shared" si="2"/>
        <v>85.941489308023776</v>
      </c>
      <c r="G188" s="38">
        <v>85.73936993675315</v>
      </c>
      <c r="H188" s="38">
        <v>68.783734048963623</v>
      </c>
      <c r="I188" s="38">
        <v>104.4729696966686</v>
      </c>
      <c r="J188" s="3">
        <v>88.133874239350916</v>
      </c>
      <c r="K188" s="9">
        <v>0.97512437810945274</v>
      </c>
      <c r="L188" s="9"/>
      <c r="M188" s="9"/>
      <c r="O188" s="9"/>
    </row>
    <row r="189" spans="1:18" x14ac:dyDescent="0.25">
      <c r="A189" s="9" t="s">
        <v>21</v>
      </c>
      <c r="B189" s="9" t="s">
        <v>28</v>
      </c>
      <c r="C189" s="9" t="s">
        <v>20</v>
      </c>
      <c r="D189" s="9" t="s">
        <v>12</v>
      </c>
      <c r="E189" s="9">
        <v>2014</v>
      </c>
      <c r="F189" s="44">
        <f t="shared" si="2"/>
        <v>11.458865241069837</v>
      </c>
      <c r="G189" s="38">
        <v>11.460853967041238</v>
      </c>
      <c r="H189" s="38">
        <v>5.7690487887477957</v>
      </c>
      <c r="I189" s="38">
        <v>18.86475190138578</v>
      </c>
      <c r="J189" s="3">
        <v>11.751183231913455</v>
      </c>
      <c r="K189" s="9">
        <v>0.97512437810945274</v>
      </c>
      <c r="L189" s="9"/>
      <c r="M189" s="9"/>
      <c r="N189" s="4"/>
      <c r="O189" s="11"/>
      <c r="P189" s="4"/>
      <c r="Q189" s="4"/>
      <c r="R189" s="4"/>
    </row>
    <row r="190" spans="1:18" x14ac:dyDescent="0.25">
      <c r="A190" s="9" t="s">
        <v>21</v>
      </c>
      <c r="B190" s="9" t="s">
        <v>28</v>
      </c>
      <c r="C190" s="9" t="s">
        <v>31</v>
      </c>
      <c r="D190" s="9" t="s">
        <v>15</v>
      </c>
      <c r="E190" s="9">
        <v>2014</v>
      </c>
      <c r="F190" s="44">
        <f t="shared" si="2"/>
        <v>24.063617006246655</v>
      </c>
      <c r="G190" s="38">
        <v>24.099194910737275</v>
      </c>
      <c r="H190" s="38">
        <v>15.553813087960265</v>
      </c>
      <c r="I190" s="38">
        <v>34.587014278370347</v>
      </c>
      <c r="J190" s="3">
        <v>24.677484787018255</v>
      </c>
      <c r="K190" s="9">
        <v>0.97512437810945274</v>
      </c>
      <c r="L190" s="9"/>
      <c r="M190" s="9"/>
      <c r="N190" s="4"/>
      <c r="O190" s="11"/>
      <c r="P190" s="4"/>
      <c r="Q190" s="4"/>
      <c r="R190" s="4"/>
    </row>
    <row r="191" spans="1:18" x14ac:dyDescent="0.25">
      <c r="A191" s="9" t="s">
        <v>21</v>
      </c>
      <c r="B191" s="9" t="s">
        <v>28</v>
      </c>
      <c r="C191" s="9" t="s">
        <v>19</v>
      </c>
      <c r="D191" s="9" t="s">
        <v>15</v>
      </c>
      <c r="E191" s="9">
        <v>2014</v>
      </c>
      <c r="F191" s="44">
        <f t="shared" si="2"/>
        <v>229.17730482139675</v>
      </c>
      <c r="G191" s="38">
        <v>228.9416192260089</v>
      </c>
      <c r="H191" s="38">
        <v>199.95281117316841</v>
      </c>
      <c r="I191" s="38">
        <v>259.84839696933375</v>
      </c>
      <c r="J191" s="3">
        <v>235.02366463826911</v>
      </c>
      <c r="K191" s="9">
        <v>0.97512437810945274</v>
      </c>
      <c r="L191" s="9"/>
      <c r="M191" s="9"/>
      <c r="N191" s="4"/>
      <c r="O191" s="11"/>
      <c r="P191" s="4"/>
      <c r="Q191" s="4"/>
      <c r="R191" s="4"/>
    </row>
    <row r="192" spans="1:18" x14ac:dyDescent="0.25">
      <c r="A192" s="9" t="s">
        <v>21</v>
      </c>
      <c r="B192" s="9" t="s">
        <v>28</v>
      </c>
      <c r="C192" s="9" t="s">
        <v>20</v>
      </c>
      <c r="D192" s="9" t="s">
        <v>15</v>
      </c>
      <c r="E192" s="9">
        <v>2014</v>
      </c>
      <c r="F192" s="44">
        <f t="shared" si="2"/>
        <v>12.60475176517682</v>
      </c>
      <c r="G192" s="38">
        <v>12.628861766574984</v>
      </c>
      <c r="H192" s="38">
        <v>6.6170391052631219</v>
      </c>
      <c r="I192" s="38">
        <v>20.576292690181774</v>
      </c>
      <c r="J192" s="3">
        <v>12.9263015551048</v>
      </c>
      <c r="K192" s="9">
        <v>0.97512437810945274</v>
      </c>
      <c r="L192" s="9"/>
      <c r="M192" s="9"/>
      <c r="N192" s="4"/>
      <c r="O192" s="11"/>
      <c r="P192" s="4"/>
      <c r="Q192" s="4"/>
      <c r="R192" s="4"/>
    </row>
    <row r="193" spans="1:18" x14ac:dyDescent="0.25">
      <c r="A193" s="9" t="s">
        <v>22</v>
      </c>
      <c r="B193" s="9" t="s">
        <v>11</v>
      </c>
      <c r="C193" s="9" t="s">
        <v>11</v>
      </c>
      <c r="D193" s="9" t="s">
        <v>11</v>
      </c>
      <c r="E193" s="9">
        <v>2014</v>
      </c>
      <c r="F193" s="44">
        <f>SUM(F196:F198,F200:F205,F207:F209,F211:F216)</f>
        <v>430.6278824053893</v>
      </c>
      <c r="G193" s="38">
        <v>430.7285</v>
      </c>
      <c r="H193" s="38">
        <v>391</v>
      </c>
      <c r="I193" s="38">
        <v>471</v>
      </c>
      <c r="J193" s="11"/>
      <c r="K193" s="9"/>
      <c r="L193" s="9"/>
      <c r="M193" s="9"/>
      <c r="N193" s="4"/>
      <c r="O193" s="11"/>
      <c r="P193" s="4"/>
      <c r="Q193" s="4"/>
      <c r="R193" s="4"/>
    </row>
    <row r="194" spans="1:18" x14ac:dyDescent="0.25">
      <c r="A194" s="9" t="s">
        <v>22</v>
      </c>
      <c r="B194" s="9" t="s">
        <v>11</v>
      </c>
      <c r="C194" s="9" t="s">
        <v>19</v>
      </c>
      <c r="D194" s="9" t="s">
        <v>11</v>
      </c>
      <c r="E194" s="9">
        <v>2014</v>
      </c>
      <c r="F194" s="44">
        <f>SUM(F197,F201,F204,F208,F212,F215)</f>
        <v>308.74589950400372</v>
      </c>
      <c r="G194" s="38"/>
      <c r="H194" s="38"/>
      <c r="I194" s="38"/>
      <c r="J194" s="11"/>
      <c r="K194" s="9"/>
      <c r="L194" s="9"/>
      <c r="M194" s="9"/>
      <c r="N194" s="4"/>
      <c r="O194" s="11"/>
      <c r="P194" s="4"/>
      <c r="Q194" s="4"/>
      <c r="R194" s="4"/>
    </row>
    <row r="195" spans="1:18" x14ac:dyDescent="0.25">
      <c r="A195" s="9" t="s">
        <v>22</v>
      </c>
      <c r="B195" s="9" t="s">
        <v>24</v>
      </c>
      <c r="C195" s="9" t="s">
        <v>11</v>
      </c>
      <c r="D195" s="9" t="s">
        <v>11</v>
      </c>
      <c r="E195" s="9">
        <v>2014</v>
      </c>
      <c r="F195" s="44">
        <f>SUM(F196:F198)</f>
        <v>214.47289675328656</v>
      </c>
      <c r="G195" s="38"/>
      <c r="H195" s="38"/>
      <c r="I195" s="38"/>
      <c r="J195" s="11"/>
      <c r="K195" s="9"/>
      <c r="L195" s="9"/>
      <c r="M195" s="9"/>
      <c r="N195" s="11"/>
      <c r="O195" s="11"/>
      <c r="P195" s="4"/>
      <c r="Q195" s="4"/>
      <c r="R195" s="4"/>
    </row>
    <row r="196" spans="1:18" x14ac:dyDescent="0.25">
      <c r="A196" s="9" t="s">
        <v>22</v>
      </c>
      <c r="B196" s="9" t="s">
        <v>24</v>
      </c>
      <c r="C196" s="9" t="s">
        <v>31</v>
      </c>
      <c r="D196" s="9" t="s">
        <v>11</v>
      </c>
      <c r="E196" s="9">
        <v>2014</v>
      </c>
      <c r="F196" s="44">
        <f t="shared" si="2"/>
        <v>70.04208403944709</v>
      </c>
      <c r="G196" s="38">
        <v>70.135393850285595</v>
      </c>
      <c r="H196" s="38">
        <v>54.320251174093677</v>
      </c>
      <c r="I196" s="38">
        <v>87.579424242836978</v>
      </c>
      <c r="J196" s="3">
        <v>88.748976049982645</v>
      </c>
      <c r="K196" s="9">
        <v>0.78921568627450978</v>
      </c>
      <c r="L196" s="9"/>
      <c r="M196" s="9"/>
      <c r="N196" s="11"/>
      <c r="O196" s="11"/>
      <c r="P196" s="4"/>
      <c r="Q196" s="4"/>
      <c r="R196" s="4"/>
    </row>
    <row r="197" spans="1:18" x14ac:dyDescent="0.25">
      <c r="A197" s="9" t="s">
        <v>22</v>
      </c>
      <c r="B197" s="9" t="s">
        <v>24</v>
      </c>
      <c r="C197" s="9" t="s">
        <v>19</v>
      </c>
      <c r="D197" s="9" t="s">
        <v>11</v>
      </c>
      <c r="E197" s="9">
        <v>2014</v>
      </c>
      <c r="F197" s="44">
        <f t="shared" si="2"/>
        <v>132.01047255417268</v>
      </c>
      <c r="G197" s="38">
        <v>131.86582454107472</v>
      </c>
      <c r="H197" s="38">
        <v>110.34277512816973</v>
      </c>
      <c r="I197" s="38">
        <v>155.36514816930935</v>
      </c>
      <c r="J197" s="3">
        <v>168.01332870531067</v>
      </c>
      <c r="K197" s="9">
        <v>0.7857142857142857</v>
      </c>
      <c r="L197" s="9"/>
      <c r="M197" s="9"/>
      <c r="N197" s="11"/>
      <c r="O197" s="11"/>
      <c r="P197" s="4"/>
      <c r="Q197" s="4"/>
      <c r="R197" s="4"/>
    </row>
    <row r="198" spans="1:18" x14ac:dyDescent="0.25">
      <c r="A198" s="9" t="s">
        <v>22</v>
      </c>
      <c r="B198" s="9" t="s">
        <v>24</v>
      </c>
      <c r="C198" s="9" t="s">
        <v>20</v>
      </c>
      <c r="D198" s="9" t="s">
        <v>11</v>
      </c>
      <c r="E198" s="9">
        <v>2014</v>
      </c>
      <c r="F198" s="44">
        <f t="shared" si="2"/>
        <v>12.420340159666782</v>
      </c>
      <c r="G198" s="38">
        <v>12.406425854635465</v>
      </c>
      <c r="H198" s="38">
        <v>6.461002987124548</v>
      </c>
      <c r="I198" s="38">
        <v>20.091007539909153</v>
      </c>
      <c r="J198" s="3">
        <v>14.904408191600139</v>
      </c>
      <c r="K198" s="9">
        <v>0.83333333333333337</v>
      </c>
      <c r="L198" s="9"/>
      <c r="M198" s="9"/>
      <c r="N198" s="9"/>
      <c r="O198" s="9"/>
    </row>
    <row r="199" spans="1:18" x14ac:dyDescent="0.25">
      <c r="A199" s="9" t="s">
        <v>22</v>
      </c>
      <c r="B199" s="9" t="s">
        <v>26</v>
      </c>
      <c r="C199" s="9" t="s">
        <v>11</v>
      </c>
      <c r="D199" s="9" t="s">
        <v>11</v>
      </c>
      <c r="E199" s="9">
        <v>2014</v>
      </c>
      <c r="F199" s="44">
        <f>SUM(F200:F205)</f>
        <v>62.965007215007219</v>
      </c>
      <c r="G199" s="38"/>
      <c r="H199" s="38"/>
      <c r="I199" s="38"/>
      <c r="J199" s="3"/>
      <c r="K199" s="9"/>
      <c r="L199" s="9"/>
      <c r="M199" s="9"/>
      <c r="N199" s="9"/>
      <c r="O199" s="9"/>
    </row>
    <row r="200" spans="1:18" x14ac:dyDescent="0.25">
      <c r="A200" s="9" t="s">
        <v>22</v>
      </c>
      <c r="B200" s="9" t="s">
        <v>26</v>
      </c>
      <c r="C200" s="9" t="s">
        <v>31</v>
      </c>
      <c r="D200" s="9" t="s">
        <v>12</v>
      </c>
      <c r="E200" s="9">
        <v>2014</v>
      </c>
      <c r="F200" s="44">
        <f t="shared" si="2"/>
        <v>4.297607485107485</v>
      </c>
      <c r="G200" s="38">
        <v>4.271563296779525</v>
      </c>
      <c r="H200" s="38">
        <v>1.2068872738843828</v>
      </c>
      <c r="I200" s="38">
        <v>9.3351598732638088</v>
      </c>
      <c r="J200" s="3">
        <v>5.4454156954156954</v>
      </c>
      <c r="K200" s="9">
        <v>0.78921568627450978</v>
      </c>
      <c r="L200" s="9"/>
      <c r="M200" s="9"/>
      <c r="N200" s="9"/>
      <c r="O200" s="9"/>
    </row>
    <row r="201" spans="1:18" x14ac:dyDescent="0.25">
      <c r="A201" s="9" t="s">
        <v>22</v>
      </c>
      <c r="B201" s="9" t="s">
        <v>26</v>
      </c>
      <c r="C201" s="9" t="s">
        <v>19</v>
      </c>
      <c r="D201" s="9" t="s">
        <v>12</v>
      </c>
      <c r="E201" s="9">
        <v>2014</v>
      </c>
      <c r="F201" s="44">
        <f t="shared" si="2"/>
        <v>32.718253968253968</v>
      </c>
      <c r="G201" s="38">
        <v>32.799224293001537</v>
      </c>
      <c r="H201" s="38">
        <v>22.423367820726153</v>
      </c>
      <c r="I201" s="38">
        <v>45.018024888460779</v>
      </c>
      <c r="J201" s="3">
        <v>41.641414141414138</v>
      </c>
      <c r="K201" s="9">
        <v>0.7857142857142857</v>
      </c>
      <c r="L201" s="9"/>
      <c r="M201" s="9"/>
      <c r="N201" s="9"/>
      <c r="O201" s="9"/>
    </row>
    <row r="202" spans="1:18" x14ac:dyDescent="0.25">
      <c r="A202" s="9" t="s">
        <v>22</v>
      </c>
      <c r="B202" s="9" t="s">
        <v>26</v>
      </c>
      <c r="C202" s="9" t="s">
        <v>20</v>
      </c>
      <c r="D202" s="9" t="s">
        <v>12</v>
      </c>
      <c r="E202" s="9">
        <v>2014</v>
      </c>
      <c r="F202" s="44">
        <f t="shared" si="2"/>
        <v>2.1354571354571354</v>
      </c>
      <c r="G202" s="38">
        <v>2.125008745400335</v>
      </c>
      <c r="H202" s="38">
        <v>0.296893714838251</v>
      </c>
      <c r="I202" s="38">
        <v>5.776707909994232</v>
      </c>
      <c r="J202" s="3">
        <v>2.5625485625485624</v>
      </c>
      <c r="K202" s="9">
        <v>0.83333333333333337</v>
      </c>
      <c r="L202" s="9"/>
      <c r="M202" s="9"/>
      <c r="N202" s="9"/>
      <c r="O202" s="9"/>
    </row>
    <row r="203" spans="1:18" x14ac:dyDescent="0.25">
      <c r="A203" s="9" t="s">
        <v>22</v>
      </c>
      <c r="B203" s="9" t="s">
        <v>26</v>
      </c>
      <c r="C203" s="9" t="s">
        <v>31</v>
      </c>
      <c r="D203" s="9" t="s">
        <v>15</v>
      </c>
      <c r="E203" s="9">
        <v>2014</v>
      </c>
      <c r="F203" s="44">
        <f t="shared" si="2"/>
        <v>2.6140086765086759</v>
      </c>
      <c r="G203" s="38">
        <v>2.6231011991317894</v>
      </c>
      <c r="H203" s="38">
        <v>0.45703846100952311</v>
      </c>
      <c r="I203" s="38">
        <v>6.7389664214091223</v>
      </c>
      <c r="J203" s="3">
        <v>3.3121600621600615</v>
      </c>
      <c r="K203" s="9">
        <v>0.78921568627450978</v>
      </c>
      <c r="L203" s="9"/>
      <c r="M203" s="9"/>
      <c r="N203" s="9"/>
      <c r="O203" s="9"/>
    </row>
    <row r="204" spans="1:18" x14ac:dyDescent="0.25">
      <c r="A204" s="9" t="s">
        <v>22</v>
      </c>
      <c r="B204" s="9" t="s">
        <v>26</v>
      </c>
      <c r="C204" s="9" t="s">
        <v>19</v>
      </c>
      <c r="D204" s="9" t="s">
        <v>15</v>
      </c>
      <c r="E204" s="9">
        <v>2014</v>
      </c>
      <c r="F204" s="44">
        <f t="shared" si="2"/>
        <v>19.900793650793648</v>
      </c>
      <c r="G204" s="38">
        <v>19.886951727121136</v>
      </c>
      <c r="H204" s="38">
        <v>12.106086592439654</v>
      </c>
      <c r="I204" s="38">
        <v>29.531557667111997</v>
      </c>
      <c r="J204" s="3">
        <v>25.328282828282827</v>
      </c>
      <c r="K204" s="9">
        <v>0.7857142857142857</v>
      </c>
      <c r="L204" s="9"/>
      <c r="M204" s="9"/>
      <c r="N204" s="9"/>
      <c r="O204" s="9"/>
    </row>
    <row r="205" spans="1:18" x14ac:dyDescent="0.25">
      <c r="A205" s="9" t="s">
        <v>22</v>
      </c>
      <c r="B205" s="9" t="s">
        <v>26</v>
      </c>
      <c r="C205" s="9" t="s">
        <v>20</v>
      </c>
      <c r="D205" s="9" t="s">
        <v>15</v>
      </c>
      <c r="E205" s="9">
        <v>2014</v>
      </c>
      <c r="F205" s="44">
        <f t="shared" si="2"/>
        <v>1.298886298886299</v>
      </c>
      <c r="G205" s="38">
        <v>1.3001474217990279</v>
      </c>
      <c r="H205" s="38">
        <v>6.4815586223881255E-2</v>
      </c>
      <c r="I205" s="38">
        <v>4.2298626860005362</v>
      </c>
      <c r="J205" s="3">
        <v>1.5586635586635587</v>
      </c>
      <c r="K205" s="9">
        <v>0.83333333333333337</v>
      </c>
      <c r="L205" s="9"/>
      <c r="M205" s="9"/>
      <c r="N205" s="9"/>
      <c r="O205" s="9"/>
    </row>
    <row r="206" spans="1:18" x14ac:dyDescent="0.25">
      <c r="A206" s="9" t="s">
        <v>22</v>
      </c>
      <c r="B206" s="9" t="s">
        <v>27</v>
      </c>
      <c r="C206" s="9" t="s">
        <v>11</v>
      </c>
      <c r="D206" s="9" t="s">
        <v>11</v>
      </c>
      <c r="E206" s="9">
        <v>2014</v>
      </c>
      <c r="F206" s="44">
        <f>SUM(F207:F209)</f>
        <v>26.036043499752843</v>
      </c>
      <c r="G206" s="38"/>
      <c r="H206" s="38"/>
      <c r="I206" s="38"/>
      <c r="J206" s="3"/>
      <c r="K206" s="9"/>
      <c r="L206" s="9"/>
      <c r="M206" s="9"/>
      <c r="N206" s="9"/>
      <c r="O206" s="9"/>
    </row>
    <row r="207" spans="1:18" x14ac:dyDescent="0.25">
      <c r="A207" s="9" t="s">
        <v>22</v>
      </c>
      <c r="B207" s="9" t="s">
        <v>27</v>
      </c>
      <c r="C207" s="9" t="s">
        <v>31</v>
      </c>
      <c r="D207" s="9" t="s">
        <v>11</v>
      </c>
      <c r="E207" s="9">
        <v>2014</v>
      </c>
      <c r="F207" s="44">
        <f t="shared" si="2"/>
        <v>7.6544636678200693</v>
      </c>
      <c r="G207" s="38">
        <v>7.6668435899109326</v>
      </c>
      <c r="H207" s="38">
        <v>3.2200154630813689</v>
      </c>
      <c r="I207" s="38">
        <v>14.038282190661993</v>
      </c>
      <c r="J207" s="3">
        <v>9.6988235294117651</v>
      </c>
      <c r="K207" s="9">
        <v>0.78921568627450978</v>
      </c>
      <c r="L207" s="9"/>
      <c r="M207" s="9"/>
      <c r="N207" s="9"/>
      <c r="O207" s="9"/>
    </row>
    <row r="208" spans="1:18" x14ac:dyDescent="0.25">
      <c r="A208" s="9" t="s">
        <v>22</v>
      </c>
      <c r="B208" s="9" t="s">
        <v>27</v>
      </c>
      <c r="C208" s="9" t="s">
        <v>19</v>
      </c>
      <c r="D208" s="9" t="s">
        <v>11</v>
      </c>
      <c r="E208" s="9">
        <v>2014</v>
      </c>
      <c r="F208" s="44">
        <f t="shared" si="2"/>
        <v>16.765109243697481</v>
      </c>
      <c r="G208" s="38">
        <v>16.790225849237075</v>
      </c>
      <c r="H208" s="38">
        <v>9.7460367774223204</v>
      </c>
      <c r="I208" s="38">
        <v>25.643994563185938</v>
      </c>
      <c r="J208" s="3">
        <v>21.337411764705884</v>
      </c>
      <c r="K208" s="9">
        <v>0.7857142857142857</v>
      </c>
      <c r="L208" s="9"/>
      <c r="M208" s="9"/>
      <c r="N208" s="9"/>
      <c r="O208" s="9"/>
    </row>
    <row r="209" spans="1:15" x14ac:dyDescent="0.25">
      <c r="A209" s="9" t="s">
        <v>22</v>
      </c>
      <c r="B209" s="9" t="s">
        <v>27</v>
      </c>
      <c r="C209" s="9" t="s">
        <v>20</v>
      </c>
      <c r="D209" s="9" t="s">
        <v>11</v>
      </c>
      <c r="E209" s="9">
        <v>2014</v>
      </c>
      <c r="F209" s="44">
        <f t="shared" si="2"/>
        <v>1.6164705882352943</v>
      </c>
      <c r="G209" s="38">
        <v>1.6010166578013809</v>
      </c>
      <c r="H209" s="38">
        <v>0.13283478244333369</v>
      </c>
      <c r="I209" s="38">
        <v>4.8524773693069134</v>
      </c>
      <c r="J209" s="3">
        <v>1.9397647058823531</v>
      </c>
      <c r="K209" s="9">
        <v>0.83333333333333337</v>
      </c>
      <c r="L209" s="9"/>
      <c r="M209" s="9"/>
      <c r="N209" s="9"/>
      <c r="O209" s="9"/>
    </row>
    <row r="210" spans="1:15" x14ac:dyDescent="0.25">
      <c r="A210" s="9" t="s">
        <v>22</v>
      </c>
      <c r="B210" s="9" t="s">
        <v>28</v>
      </c>
      <c r="C210" s="9" t="s">
        <v>11</v>
      </c>
      <c r="D210" s="9" t="s">
        <v>11</v>
      </c>
      <c r="E210" s="9">
        <v>2014</v>
      </c>
      <c r="F210" s="44">
        <f>SUM(F211:F216)</f>
        <v>127.15393493734254</v>
      </c>
      <c r="G210" s="38"/>
      <c r="H210" s="38"/>
      <c r="I210" s="38"/>
      <c r="J210" s="3"/>
      <c r="K210" s="9"/>
      <c r="L210" s="9"/>
      <c r="M210" s="9"/>
      <c r="N210" s="9"/>
      <c r="O210" s="9"/>
    </row>
    <row r="211" spans="1:15" x14ac:dyDescent="0.25">
      <c r="A211" s="9" t="s">
        <v>22</v>
      </c>
      <c r="B211" s="9" t="s">
        <v>28</v>
      </c>
      <c r="C211" s="9" t="s">
        <v>31</v>
      </c>
      <c r="D211" s="9" t="s">
        <v>12</v>
      </c>
      <c r="E211" s="9">
        <v>2014</v>
      </c>
      <c r="F211" s="44">
        <f t="shared" si="2"/>
        <v>5.227302994641291</v>
      </c>
      <c r="G211" s="38">
        <v>5.2334720108219761</v>
      </c>
      <c r="H211" s="38">
        <v>1.7592445858031338</v>
      </c>
      <c r="I211" s="38">
        <v>10.519615166096864</v>
      </c>
      <c r="J211" s="3">
        <v>6.6234149745765425</v>
      </c>
      <c r="K211" s="9">
        <v>0.78921568627450978</v>
      </c>
      <c r="L211" s="9"/>
      <c r="M211" s="9"/>
      <c r="N211" s="9"/>
      <c r="O211" s="9"/>
    </row>
    <row r="212" spans="1:15" x14ac:dyDescent="0.25">
      <c r="A212" s="9" t="s">
        <v>22</v>
      </c>
      <c r="B212" s="9" t="s">
        <v>28</v>
      </c>
      <c r="C212" s="9" t="s">
        <v>19</v>
      </c>
      <c r="D212" s="9" t="s">
        <v>12</v>
      </c>
      <c r="E212" s="9">
        <v>2014</v>
      </c>
      <c r="F212" s="44">
        <f t="shared" si="2"/>
        <v>34.905627697027946</v>
      </c>
      <c r="G212" s="38">
        <v>34.931397750644678</v>
      </c>
      <c r="H212" s="38">
        <v>24.166729225147066</v>
      </c>
      <c r="I212" s="38">
        <v>47.494916279590782</v>
      </c>
      <c r="J212" s="3">
        <v>44.425344341671931</v>
      </c>
      <c r="K212" s="9">
        <v>0.7857142857142857</v>
      </c>
      <c r="L212" s="9"/>
      <c r="M212" s="9"/>
      <c r="N212" s="9"/>
      <c r="O212" s="9"/>
    </row>
    <row r="213" spans="1:15" x14ac:dyDescent="0.25">
      <c r="A213" s="9" t="s">
        <v>22</v>
      </c>
      <c r="B213" s="9" t="s">
        <v>28</v>
      </c>
      <c r="C213" s="9" t="s">
        <v>20</v>
      </c>
      <c r="D213" s="9" t="s">
        <v>12</v>
      </c>
      <c r="E213" s="9">
        <v>2014</v>
      </c>
      <c r="F213" s="44">
        <f t="shared" si="2"/>
        <v>1.2116003002274165</v>
      </c>
      <c r="G213" s="38">
        <v>1.2063833574267846</v>
      </c>
      <c r="H213" s="38">
        <v>5.1288970439958864E-2</v>
      </c>
      <c r="I213" s="38">
        <v>4.2437921675362915</v>
      </c>
      <c r="J213" s="3">
        <v>1.4539203602728996</v>
      </c>
      <c r="K213" s="9">
        <v>0.83333333333333337</v>
      </c>
      <c r="L213" s="9"/>
      <c r="M213" s="9"/>
      <c r="N213" s="9"/>
      <c r="O213" s="9"/>
    </row>
    <row r="214" spans="1:15" x14ac:dyDescent="0.25">
      <c r="A214" s="9" t="s">
        <v>22</v>
      </c>
      <c r="B214" s="9" t="s">
        <v>28</v>
      </c>
      <c r="C214" s="9" t="s">
        <v>31</v>
      </c>
      <c r="D214" s="9" t="s">
        <v>15</v>
      </c>
      <c r="E214" s="9">
        <v>2014</v>
      </c>
      <c r="F214" s="44">
        <f t="shared" si="2"/>
        <v>10.849119422840415</v>
      </c>
      <c r="G214" s="38">
        <v>10.830182658599448</v>
      </c>
      <c r="H214" s="38">
        <v>5.3591647217961107</v>
      </c>
      <c r="I214" s="38">
        <v>18.056203756673114</v>
      </c>
      <c r="J214" s="3">
        <v>13.746710324592824</v>
      </c>
      <c r="K214" s="9">
        <v>0.78921568627450978</v>
      </c>
      <c r="L214" s="9"/>
      <c r="M214" s="9"/>
      <c r="N214" s="9"/>
      <c r="O214" s="9"/>
    </row>
    <row r="215" spans="1:15" x14ac:dyDescent="0.25">
      <c r="A215" s="9" t="s">
        <v>22</v>
      </c>
      <c r="B215" s="9" t="s">
        <v>28</v>
      </c>
      <c r="C215" s="9" t="s">
        <v>19</v>
      </c>
      <c r="D215" s="9" t="s">
        <v>15</v>
      </c>
      <c r="E215" s="9">
        <v>2014</v>
      </c>
      <c r="F215" s="44">
        <f t="shared" si="2"/>
        <v>72.445642390057998</v>
      </c>
      <c r="G215" s="38">
        <v>72.540058099899923</v>
      </c>
      <c r="H215" s="38">
        <v>56.960877769964696</v>
      </c>
      <c r="I215" s="38">
        <v>90.166804856674062</v>
      </c>
      <c r="J215" s="3">
        <v>92.203544860073819</v>
      </c>
      <c r="K215" s="9">
        <v>0.7857142857142857</v>
      </c>
      <c r="L215" s="9"/>
      <c r="M215" s="9"/>
      <c r="N215" s="9"/>
      <c r="O215" s="9"/>
    </row>
    <row r="216" spans="1:15" ht="15.75" thickBot="1" x14ac:dyDescent="0.3">
      <c r="A216" s="6" t="s">
        <v>22</v>
      </c>
      <c r="B216" s="6" t="s">
        <v>28</v>
      </c>
      <c r="C216" s="6" t="s">
        <v>20</v>
      </c>
      <c r="D216" s="6" t="s">
        <v>15</v>
      </c>
      <c r="E216" s="6">
        <v>2014</v>
      </c>
      <c r="F216" s="45">
        <f t="shared" si="2"/>
        <v>2.5146421325474679</v>
      </c>
      <c r="G216" s="65">
        <v>2.5152790964286678</v>
      </c>
      <c r="H216" s="65">
        <v>0.40485962727535146</v>
      </c>
      <c r="I216" s="65">
        <v>6.4954085787631159</v>
      </c>
      <c r="J216" s="12">
        <v>3.0175705590569613</v>
      </c>
      <c r="K216" s="6">
        <v>0.83333333333333337</v>
      </c>
      <c r="L216" s="6"/>
      <c r="M216" s="6"/>
      <c r="N216" s="6"/>
      <c r="O216" s="9"/>
    </row>
    <row r="217" spans="1:15" x14ac:dyDescent="0.25">
      <c r="A217" s="9" t="s">
        <v>10</v>
      </c>
      <c r="B217" s="9" t="s">
        <v>11</v>
      </c>
      <c r="C217" s="9" t="s">
        <v>11</v>
      </c>
      <c r="D217" s="9" t="s">
        <v>11</v>
      </c>
      <c r="E217" s="9">
        <v>2015</v>
      </c>
      <c r="F217" s="44">
        <f t="shared" si="2"/>
        <v>36573.623929770802</v>
      </c>
      <c r="G217" s="38">
        <v>36572.169399999999</v>
      </c>
      <c r="H217" s="38">
        <v>36198.974999999999</v>
      </c>
      <c r="I217" s="38">
        <v>36941.024999999994</v>
      </c>
      <c r="J217" s="3">
        <f>SUM(J219:J221,J223:J228,J230:J232,J234:J236,J238:J240)</f>
        <v>38120.692488328408</v>
      </c>
      <c r="K217" s="9">
        <v>0.95941656728740488</v>
      </c>
      <c r="L217" s="9"/>
      <c r="M217" s="9"/>
      <c r="N217" s="9"/>
      <c r="O217" s="9"/>
    </row>
    <row r="218" spans="1:15" x14ac:dyDescent="0.25">
      <c r="A218" s="9" t="s">
        <v>10</v>
      </c>
      <c r="B218" s="9" t="s">
        <v>24</v>
      </c>
      <c r="C218" s="9" t="s">
        <v>11</v>
      </c>
      <c r="D218" s="9" t="s">
        <v>11</v>
      </c>
      <c r="E218" s="9">
        <v>2015</v>
      </c>
      <c r="F218" s="44">
        <f t="shared" si="2"/>
        <v>24523.858260599114</v>
      </c>
      <c r="G218" s="38"/>
      <c r="H218" s="38"/>
      <c r="I218" s="38"/>
      <c r="J218" s="3">
        <f>SUM(J219:J221)</f>
        <v>25561.220325740629</v>
      </c>
      <c r="K218" s="9">
        <v>0.95941656728740488</v>
      </c>
      <c r="L218" s="9"/>
      <c r="M218" s="9"/>
      <c r="N218" s="9"/>
      <c r="O218" s="9"/>
    </row>
    <row r="219" spans="1:15" x14ac:dyDescent="0.25">
      <c r="A219" s="9" t="s">
        <v>10</v>
      </c>
      <c r="B219" s="9" t="s">
        <v>24</v>
      </c>
      <c r="C219" s="9" t="s">
        <v>31</v>
      </c>
      <c r="D219" s="9" t="s">
        <v>11</v>
      </c>
      <c r="E219" s="9">
        <v>2015</v>
      </c>
      <c r="F219" s="44">
        <f t="shared" si="2"/>
        <v>6705.2554100820244</v>
      </c>
      <c r="G219" s="38">
        <v>6704.4881108257769</v>
      </c>
      <c r="H219" s="38">
        <v>6545.3648005606419</v>
      </c>
      <c r="I219" s="38">
        <v>6866.2082714970265</v>
      </c>
      <c r="J219" s="3">
        <v>6988.8884960993</v>
      </c>
      <c r="K219" s="9">
        <v>0.95941656728740488</v>
      </c>
      <c r="L219" s="9"/>
      <c r="M219" s="9"/>
      <c r="O219" s="9"/>
    </row>
    <row r="220" spans="1:15" x14ac:dyDescent="0.25">
      <c r="A220" s="9" t="s">
        <v>10</v>
      </c>
      <c r="B220" s="9" t="s">
        <v>24</v>
      </c>
      <c r="C220" s="9" t="s">
        <v>19</v>
      </c>
      <c r="D220" s="9" t="s">
        <v>11</v>
      </c>
      <c r="E220" s="9">
        <v>2015</v>
      </c>
      <c r="F220" s="44">
        <f t="shared" si="2"/>
        <v>16141.438020867523</v>
      </c>
      <c r="G220" s="38">
        <v>16142.263962110923</v>
      </c>
      <c r="H220" s="38">
        <v>15892.429699397939</v>
      </c>
      <c r="I220" s="38">
        <v>16391.882080997439</v>
      </c>
      <c r="J220" s="3">
        <v>16824.222732055616</v>
      </c>
      <c r="K220" s="9">
        <v>0.95941656728740488</v>
      </c>
      <c r="L220" s="9"/>
      <c r="M220" s="9"/>
      <c r="O220" s="9"/>
    </row>
    <row r="221" spans="1:15" x14ac:dyDescent="0.25">
      <c r="A221" s="9" t="s">
        <v>10</v>
      </c>
      <c r="B221" s="9" t="s">
        <v>24</v>
      </c>
      <c r="C221" s="9" t="s">
        <v>20</v>
      </c>
      <c r="D221" s="9" t="s">
        <v>11</v>
      </c>
      <c r="E221" s="9">
        <v>2015</v>
      </c>
      <c r="F221" s="44">
        <f t="shared" si="2"/>
        <v>1677.1648296495684</v>
      </c>
      <c r="G221" s="38">
        <v>1676.7657829978293</v>
      </c>
      <c r="H221" s="38">
        <v>1597.1959237140034</v>
      </c>
      <c r="I221" s="38">
        <v>1757.3640198916062</v>
      </c>
      <c r="J221" s="3">
        <v>1748.1090975857137</v>
      </c>
      <c r="K221" s="9">
        <v>0.95941656728740488</v>
      </c>
      <c r="L221" s="9"/>
      <c r="M221" s="9"/>
      <c r="O221" s="9"/>
    </row>
    <row r="222" spans="1:15" x14ac:dyDescent="0.25">
      <c r="A222" s="9" t="s">
        <v>10</v>
      </c>
      <c r="B222" s="9" t="s">
        <v>26</v>
      </c>
      <c r="C222" s="9" t="s">
        <v>11</v>
      </c>
      <c r="D222" s="9" t="s">
        <v>11</v>
      </c>
      <c r="E222" s="9">
        <v>2015</v>
      </c>
      <c r="F222" s="44">
        <f t="shared" si="2"/>
        <v>2298.1158662054104</v>
      </c>
      <c r="G222" s="38"/>
      <c r="H222" s="38"/>
      <c r="I222" s="38"/>
      <c r="J222" s="3">
        <f>SUM(J223:J228)</f>
        <v>2395.3264354220619</v>
      </c>
      <c r="K222" s="9">
        <v>0.95941656728740488</v>
      </c>
      <c r="L222" s="9"/>
      <c r="M222" s="9"/>
      <c r="O222" s="9"/>
    </row>
    <row r="223" spans="1:15" x14ac:dyDescent="0.25">
      <c r="A223" s="9" t="s">
        <v>10</v>
      </c>
      <c r="B223" s="9" t="s">
        <v>26</v>
      </c>
      <c r="C223" s="9" t="s">
        <v>31</v>
      </c>
      <c r="D223" s="9" t="s">
        <v>12</v>
      </c>
      <c r="E223" s="9">
        <v>2015</v>
      </c>
      <c r="F223" s="44">
        <f t="shared" si="2"/>
        <v>172.10897719920422</v>
      </c>
      <c r="G223" s="38">
        <v>172.1780260530077</v>
      </c>
      <c r="H223" s="38">
        <v>147.49092194174855</v>
      </c>
      <c r="I223" s="38">
        <v>199.03006532553266</v>
      </c>
      <c r="J223" s="3">
        <v>179.38920701131366</v>
      </c>
      <c r="K223" s="9">
        <v>0.95941656728740488</v>
      </c>
      <c r="L223" s="9"/>
      <c r="M223" s="9"/>
      <c r="O223" s="9"/>
    </row>
    <row r="224" spans="1:15" x14ac:dyDescent="0.25">
      <c r="A224" s="9" t="s">
        <v>10</v>
      </c>
      <c r="B224" s="9" t="s">
        <v>26</v>
      </c>
      <c r="C224" s="9" t="s">
        <v>19</v>
      </c>
      <c r="D224" s="9" t="s">
        <v>12</v>
      </c>
      <c r="E224" s="9">
        <v>2015</v>
      </c>
      <c r="F224" s="44">
        <f t="shared" si="2"/>
        <v>1104.0190572738823</v>
      </c>
      <c r="G224" s="38">
        <v>1104.0004651936922</v>
      </c>
      <c r="H224" s="38">
        <v>1040.3025160218042</v>
      </c>
      <c r="I224" s="38">
        <v>1169.2840231305925</v>
      </c>
      <c r="J224" s="3">
        <v>1150.7191921808453</v>
      </c>
      <c r="K224" s="9">
        <v>0.95941656728740488</v>
      </c>
      <c r="L224" s="9"/>
      <c r="M224" s="9"/>
      <c r="O224" s="9"/>
    </row>
    <row r="225" spans="1:15" x14ac:dyDescent="0.25">
      <c r="A225" s="9" t="s">
        <v>10</v>
      </c>
      <c r="B225" s="9" t="s">
        <v>26</v>
      </c>
      <c r="C225" s="9" t="s">
        <v>20</v>
      </c>
      <c r="D225" s="9" t="s">
        <v>12</v>
      </c>
      <c r="E225" s="9">
        <v>2015</v>
      </c>
      <c r="F225" s="44">
        <f t="shared" si="2"/>
        <v>72.017285254424351</v>
      </c>
      <c r="G225" s="38">
        <v>72.090481354927192</v>
      </c>
      <c r="H225" s="38">
        <v>56.432780268519863</v>
      </c>
      <c r="I225" s="38">
        <v>89.379450068128719</v>
      </c>
      <c r="J225" s="3">
        <v>75.0636248215325</v>
      </c>
      <c r="K225" s="9">
        <v>0.95941656728740488</v>
      </c>
      <c r="L225" s="9"/>
      <c r="M225" s="9"/>
      <c r="O225" s="9"/>
    </row>
    <row r="226" spans="1:15" x14ac:dyDescent="0.25">
      <c r="A226" s="9" t="s">
        <v>10</v>
      </c>
      <c r="B226" s="9" t="s">
        <v>26</v>
      </c>
      <c r="C226" s="9" t="s">
        <v>31</v>
      </c>
      <c r="D226" s="9" t="s">
        <v>15</v>
      </c>
      <c r="E226" s="9">
        <v>2015</v>
      </c>
      <c r="F226" s="44">
        <f t="shared" si="2"/>
        <v>184.39318762727754</v>
      </c>
      <c r="G226" s="38">
        <v>184.3446067472091</v>
      </c>
      <c r="H226" s="38">
        <v>158.84538980667909</v>
      </c>
      <c r="I226" s="38">
        <v>211.42743459491658</v>
      </c>
      <c r="J226" s="3">
        <v>192.1930409734527</v>
      </c>
      <c r="K226" s="9">
        <v>0.95941656728740488</v>
      </c>
      <c r="L226" s="9"/>
      <c r="M226" s="9"/>
      <c r="O226" s="9"/>
    </row>
    <row r="227" spans="1:15" x14ac:dyDescent="0.25">
      <c r="A227" s="9" t="s">
        <v>10</v>
      </c>
      <c r="B227" s="9" t="s">
        <v>26</v>
      </c>
      <c r="C227" s="9" t="s">
        <v>19</v>
      </c>
      <c r="D227" s="9" t="s">
        <v>15</v>
      </c>
      <c r="E227" s="9">
        <v>2015</v>
      </c>
      <c r="F227" s="44">
        <f t="shared" si="2"/>
        <v>710.1235597609782</v>
      </c>
      <c r="G227" s="38">
        <v>709.72561817526775</v>
      </c>
      <c r="H227" s="38">
        <v>658.13632645882956</v>
      </c>
      <c r="I227" s="38">
        <v>762.44861746897118</v>
      </c>
      <c r="J227" s="3">
        <v>740.16186917507343</v>
      </c>
      <c r="K227" s="9">
        <v>0.95941656728740488</v>
      </c>
      <c r="L227" s="9"/>
      <c r="M227" s="9"/>
      <c r="O227" s="9"/>
    </row>
    <row r="228" spans="1:15" x14ac:dyDescent="0.25">
      <c r="A228" s="9" t="s">
        <v>10</v>
      </c>
      <c r="B228" s="9" t="s">
        <v>26</v>
      </c>
      <c r="C228" s="9" t="s">
        <v>20</v>
      </c>
      <c r="D228" s="9" t="s">
        <v>15</v>
      </c>
      <c r="E228" s="9">
        <v>2015</v>
      </c>
      <c r="F228" s="44">
        <f t="shared" si="2"/>
        <v>55.453799089643709</v>
      </c>
      <c r="G228" s="38">
        <v>55.493577718788096</v>
      </c>
      <c r="H228" s="38">
        <v>41.762894993921918</v>
      </c>
      <c r="I228" s="38">
        <v>71.433724096729563</v>
      </c>
      <c r="J228" s="3">
        <v>57.799501259844149</v>
      </c>
      <c r="K228" s="9">
        <v>0.95941656728740488</v>
      </c>
      <c r="L228" s="9"/>
      <c r="M228" s="9"/>
      <c r="O228" s="9"/>
    </row>
    <row r="229" spans="1:15" x14ac:dyDescent="0.25">
      <c r="A229" s="9" t="s">
        <v>10</v>
      </c>
      <c r="B229" s="9" t="s">
        <v>27</v>
      </c>
      <c r="C229" s="9" t="s">
        <v>11</v>
      </c>
      <c r="D229" s="9" t="s">
        <v>11</v>
      </c>
      <c r="E229" s="9">
        <v>2015</v>
      </c>
      <c r="F229" s="44">
        <f t="shared" si="2"/>
        <v>1723.9381838392378</v>
      </c>
      <c r="G229" s="38"/>
      <c r="H229" s="38"/>
      <c r="I229" s="38"/>
      <c r="J229" s="3">
        <f>SUM(J230:J232)</f>
        <v>1796.860970113737</v>
      </c>
      <c r="K229" s="9">
        <v>0.95941656728740488</v>
      </c>
      <c r="L229" s="9"/>
      <c r="M229" s="9"/>
      <c r="O229" s="9"/>
    </row>
    <row r="230" spans="1:15" x14ac:dyDescent="0.25">
      <c r="A230" s="9" t="s">
        <v>10</v>
      </c>
      <c r="B230" s="9" t="s">
        <v>27</v>
      </c>
      <c r="C230" s="9" t="s">
        <v>31</v>
      </c>
      <c r="D230" s="9" t="s">
        <v>11</v>
      </c>
      <c r="E230" s="9">
        <v>2015</v>
      </c>
      <c r="F230" s="44">
        <f t="shared" si="2"/>
        <v>557.10359084556933</v>
      </c>
      <c r="G230" s="38">
        <v>557.28157005704077</v>
      </c>
      <c r="H230" s="38">
        <v>511.84127477292441</v>
      </c>
      <c r="I230" s="38">
        <v>605.38070829295464</v>
      </c>
      <c r="J230" s="3">
        <v>580.66913772470036</v>
      </c>
      <c r="K230" s="9">
        <v>0.95941656728740488</v>
      </c>
      <c r="L230" s="9"/>
      <c r="M230" s="9"/>
      <c r="O230" s="9"/>
    </row>
    <row r="231" spans="1:15" x14ac:dyDescent="0.25">
      <c r="A231" s="9" t="s">
        <v>10</v>
      </c>
      <c r="B231" s="9" t="s">
        <v>27</v>
      </c>
      <c r="C231" s="9" t="s">
        <v>19</v>
      </c>
      <c r="D231" s="9" t="s">
        <v>11</v>
      </c>
      <c r="E231" s="9">
        <v>2015</v>
      </c>
      <c r="F231" s="44">
        <f t="shared" si="2"/>
        <v>1050.3340080532466</v>
      </c>
      <c r="G231" s="38">
        <v>1050.4652006802175</v>
      </c>
      <c r="H231" s="38">
        <v>988.82859400042946</v>
      </c>
      <c r="I231" s="38">
        <v>1115.6416212923316</v>
      </c>
      <c r="J231" s="3">
        <v>1094.7632591157937</v>
      </c>
      <c r="K231" s="9">
        <v>0.95941656728740488</v>
      </c>
      <c r="L231" s="9"/>
      <c r="M231" s="9"/>
      <c r="O231" s="9"/>
    </row>
    <row r="232" spans="1:15" x14ac:dyDescent="0.25">
      <c r="A232" s="9" t="s">
        <v>10</v>
      </c>
      <c r="B232" s="9" t="s">
        <v>27</v>
      </c>
      <c r="C232" s="9" t="s">
        <v>20</v>
      </c>
      <c r="D232" s="9" t="s">
        <v>11</v>
      </c>
      <c r="E232" s="9">
        <v>2015</v>
      </c>
      <c r="F232" s="44">
        <f t="shared" si="2"/>
        <v>116.50058494042173</v>
      </c>
      <c r="G232" s="38">
        <v>116.63195864053681</v>
      </c>
      <c r="H232" s="38">
        <v>96.503097630387273</v>
      </c>
      <c r="I232" s="38">
        <v>138.39022750689463</v>
      </c>
      <c r="J232" s="3">
        <v>121.4285732732428</v>
      </c>
      <c r="K232" s="9">
        <v>0.95941656728740488</v>
      </c>
      <c r="L232" s="9"/>
      <c r="M232" s="9"/>
      <c r="O232" s="9"/>
    </row>
    <row r="233" spans="1:15" x14ac:dyDescent="0.25">
      <c r="A233" s="9" t="s">
        <v>10</v>
      </c>
      <c r="B233" s="9" t="s">
        <v>28</v>
      </c>
      <c r="C233" s="9" t="s">
        <v>11</v>
      </c>
      <c r="D233" s="9" t="s">
        <v>12</v>
      </c>
      <c r="E233" s="9">
        <v>2015</v>
      </c>
      <c r="F233" s="44">
        <f t="shared" si="2"/>
        <v>1582.5879126290411</v>
      </c>
      <c r="G233" s="38"/>
      <c r="H233" s="38"/>
      <c r="I233" s="38"/>
      <c r="J233" s="3">
        <f>SUM(J234:J236)</f>
        <v>1649.5315659427815</v>
      </c>
      <c r="K233" s="9">
        <v>0.95941656728740488</v>
      </c>
      <c r="L233" s="9"/>
      <c r="M233" s="9"/>
      <c r="O233" s="9"/>
    </row>
    <row r="234" spans="1:15" x14ac:dyDescent="0.25">
      <c r="A234" s="9" t="s">
        <v>10</v>
      </c>
      <c r="B234" s="9" t="s">
        <v>28</v>
      </c>
      <c r="C234" s="9" t="s">
        <v>31</v>
      </c>
      <c r="D234" s="9" t="s">
        <v>12</v>
      </c>
      <c r="E234" s="9">
        <v>2015</v>
      </c>
      <c r="F234" s="44">
        <f t="shared" si="2"/>
        <v>98.924626283161018</v>
      </c>
      <c r="G234" s="38">
        <v>98.846506253186661</v>
      </c>
      <c r="H234" s="38">
        <v>80.054145379652439</v>
      </c>
      <c r="I234" s="38">
        <v>119.50963800465156</v>
      </c>
      <c r="J234" s="3">
        <v>103.10914951453715</v>
      </c>
      <c r="K234" s="9">
        <v>0.95941656728740488</v>
      </c>
      <c r="L234" s="9"/>
      <c r="M234" s="9"/>
      <c r="O234" s="9"/>
    </row>
    <row r="235" spans="1:15" x14ac:dyDescent="0.25">
      <c r="A235" s="9" t="s">
        <v>10</v>
      </c>
      <c r="B235" s="9" t="s">
        <v>28</v>
      </c>
      <c r="C235" s="9" t="s">
        <v>19</v>
      </c>
      <c r="D235" s="9" t="s">
        <v>12</v>
      </c>
      <c r="E235" s="9">
        <v>2015</v>
      </c>
      <c r="F235" s="44">
        <f t="shared" si="2"/>
        <v>1331.6141682458003</v>
      </c>
      <c r="G235" s="38">
        <v>1331.3087676483815</v>
      </c>
      <c r="H235" s="38">
        <v>1260.4402887420097</v>
      </c>
      <c r="I235" s="38">
        <v>1403.5721983461042</v>
      </c>
      <c r="J235" s="3">
        <v>1387.941602895939</v>
      </c>
      <c r="K235" s="9">
        <v>0.95941656728740488</v>
      </c>
      <c r="L235" s="9"/>
      <c r="M235" s="9"/>
      <c r="O235" s="9"/>
    </row>
    <row r="236" spans="1:15" x14ac:dyDescent="0.25">
      <c r="A236" s="9" t="s">
        <v>10</v>
      </c>
      <c r="B236" s="9" t="s">
        <v>28</v>
      </c>
      <c r="C236" s="9" t="s">
        <v>20</v>
      </c>
      <c r="D236" s="9" t="s">
        <v>12</v>
      </c>
      <c r="E236" s="9">
        <v>2015</v>
      </c>
      <c r="F236" s="44">
        <f t="shared" si="2"/>
        <v>152.04911810007965</v>
      </c>
      <c r="G236" s="38">
        <v>152.16585414331016</v>
      </c>
      <c r="H236" s="38">
        <v>129.11579773730014</v>
      </c>
      <c r="I236" s="38">
        <v>177.15553277452511</v>
      </c>
      <c r="J236" s="3">
        <v>158.48081353230529</v>
      </c>
      <c r="K236" s="9">
        <v>0.95941656728740488</v>
      </c>
      <c r="L236" s="9"/>
      <c r="M236" s="9"/>
      <c r="O236" s="9"/>
    </row>
    <row r="237" spans="1:15" x14ac:dyDescent="0.25">
      <c r="A237" s="9" t="s">
        <v>10</v>
      </c>
      <c r="B237" s="9" t="s">
        <v>28</v>
      </c>
      <c r="C237" s="9" t="s">
        <v>11</v>
      </c>
      <c r="D237" s="9" t="s">
        <v>15</v>
      </c>
      <c r="E237" s="9">
        <v>2015</v>
      </c>
      <c r="F237" s="44">
        <f t="shared" si="2"/>
        <v>6445.1237064979969</v>
      </c>
      <c r="G237" s="38"/>
      <c r="H237" s="38"/>
      <c r="I237" s="38"/>
      <c r="J237" s="3">
        <f>SUM(J238:J240)</f>
        <v>6717.7531911091983</v>
      </c>
      <c r="K237" s="9">
        <v>0.95941656728740488</v>
      </c>
      <c r="L237" s="9"/>
      <c r="M237" s="9"/>
      <c r="O237" s="9"/>
    </row>
    <row r="238" spans="1:15" x14ac:dyDescent="0.25">
      <c r="A238" s="9" t="s">
        <v>10</v>
      </c>
      <c r="B238" s="9" t="s">
        <v>28</v>
      </c>
      <c r="C238" s="9" t="s">
        <v>31</v>
      </c>
      <c r="D238" s="9" t="s">
        <v>15</v>
      </c>
      <c r="E238" s="9">
        <v>2015</v>
      </c>
      <c r="F238" s="44">
        <f t="shared" si="2"/>
        <v>448.07427094903665</v>
      </c>
      <c r="G238" s="38">
        <v>448.0450857855455</v>
      </c>
      <c r="H238" s="38">
        <v>407.98784984550809</v>
      </c>
      <c r="I238" s="38">
        <v>488.90691115249206</v>
      </c>
      <c r="J238" s="3">
        <v>467.02786487822925</v>
      </c>
      <c r="K238" s="9">
        <v>0.95941656728740488</v>
      </c>
      <c r="L238" s="9"/>
      <c r="M238" s="9"/>
      <c r="O238" s="9"/>
    </row>
    <row r="239" spans="1:15" x14ac:dyDescent="0.25">
      <c r="A239" s="9" t="s">
        <v>10</v>
      </c>
      <c r="B239" s="9" t="s">
        <v>28</v>
      </c>
      <c r="C239" s="9" t="s">
        <v>19</v>
      </c>
      <c r="D239" s="9" t="s">
        <v>15</v>
      </c>
      <c r="E239" s="9">
        <v>2015</v>
      </c>
      <c r="F239" s="44">
        <f t="shared" si="2"/>
        <v>5586.4037609981087</v>
      </c>
      <c r="G239" s="38">
        <v>5585.8481889016102</v>
      </c>
      <c r="H239" s="38">
        <v>5439.80413476996</v>
      </c>
      <c r="I239" s="38">
        <v>5730.5830318449007</v>
      </c>
      <c r="J239" s="3">
        <v>5822.7092917446289</v>
      </c>
      <c r="K239" s="9">
        <v>0.95941656728740488</v>
      </c>
      <c r="L239" s="9"/>
      <c r="M239" s="9"/>
      <c r="O239" s="9"/>
    </row>
    <row r="240" spans="1:15" x14ac:dyDescent="0.25">
      <c r="A240" s="9" t="s">
        <v>10</v>
      </c>
      <c r="B240" s="9" t="s">
        <v>28</v>
      </c>
      <c r="C240" s="9" t="s">
        <v>20</v>
      </c>
      <c r="D240" s="9" t="s">
        <v>15</v>
      </c>
      <c r="E240" s="9">
        <v>2015</v>
      </c>
      <c r="F240" s="44">
        <f t="shared" si="2"/>
        <v>410.64567455085154</v>
      </c>
      <c r="G240" s="38">
        <v>410.22563671275032</v>
      </c>
      <c r="H240" s="38">
        <v>371.27105053672494</v>
      </c>
      <c r="I240" s="38">
        <v>450.29148673982081</v>
      </c>
      <c r="J240" s="3">
        <v>428.01603448633972</v>
      </c>
      <c r="K240" s="9">
        <v>0.95941656728740488</v>
      </c>
      <c r="L240" s="9"/>
      <c r="M240" s="9"/>
      <c r="O240" s="9"/>
    </row>
    <row r="241" spans="1:15" x14ac:dyDescent="0.25">
      <c r="A241" s="9" t="s">
        <v>21</v>
      </c>
      <c r="B241" s="9" t="s">
        <v>11</v>
      </c>
      <c r="C241" s="9" t="s">
        <v>11</v>
      </c>
      <c r="D241" s="9" t="s">
        <v>11</v>
      </c>
      <c r="E241" s="9">
        <v>2015</v>
      </c>
      <c r="F241" s="44">
        <f t="shared" si="2"/>
        <v>1841.6960729045907</v>
      </c>
      <c r="G241" s="38">
        <v>1841.3834999999999</v>
      </c>
      <c r="H241" s="38">
        <v>1759</v>
      </c>
      <c r="I241" s="38">
        <v>1926</v>
      </c>
      <c r="J241" s="3">
        <f>SUM(J244:J261)</f>
        <v>1899.3793838672627</v>
      </c>
      <c r="K241" s="9">
        <v>0.96963044273691912</v>
      </c>
      <c r="L241" s="9"/>
      <c r="M241" s="9"/>
      <c r="O241" s="9"/>
    </row>
    <row r="242" spans="1:15" x14ac:dyDescent="0.25">
      <c r="A242" s="9" t="s">
        <v>21</v>
      </c>
      <c r="B242" s="9" t="s">
        <v>11</v>
      </c>
      <c r="C242" s="9" t="s">
        <v>19</v>
      </c>
      <c r="D242" s="9" t="s">
        <v>11</v>
      </c>
      <c r="E242" s="9">
        <v>2015</v>
      </c>
      <c r="F242" s="44">
        <f t="shared" si="2"/>
        <v>1460.0364119074341</v>
      </c>
      <c r="G242" s="38"/>
      <c r="H242" s="38"/>
      <c r="I242" s="38"/>
      <c r="J242" s="3">
        <f>SUM(J245,J248,J251,J254,J257,J260)</f>
        <v>1505.7658542426479</v>
      </c>
      <c r="K242" s="9">
        <v>0.96963044273691912</v>
      </c>
      <c r="L242" s="9"/>
      <c r="M242" s="9"/>
      <c r="O242" s="9"/>
    </row>
    <row r="243" spans="1:15" x14ac:dyDescent="0.25">
      <c r="A243" s="9" t="s">
        <v>21</v>
      </c>
      <c r="B243" s="9" t="s">
        <v>24</v>
      </c>
      <c r="C243" s="9" t="s">
        <v>11</v>
      </c>
      <c r="D243" s="9" t="s">
        <v>11</v>
      </c>
      <c r="E243" s="9">
        <v>2015</v>
      </c>
      <c r="F243" s="44">
        <f t="shared" si="2"/>
        <v>1320.6374599313642</v>
      </c>
      <c r="G243" s="38"/>
      <c r="H243" s="38"/>
      <c r="I243" s="38"/>
      <c r="J243" s="3">
        <f>SUM(J244:J246)</f>
        <v>1362.0008218839314</v>
      </c>
      <c r="K243" s="9">
        <v>0.96963044273691912</v>
      </c>
      <c r="L243" s="9"/>
      <c r="M243" s="9"/>
      <c r="O243" s="9"/>
    </row>
    <row r="244" spans="1:15" x14ac:dyDescent="0.25">
      <c r="A244" s="9" t="s">
        <v>21</v>
      </c>
      <c r="B244" s="9" t="s">
        <v>24</v>
      </c>
      <c r="C244" s="9" t="s">
        <v>31</v>
      </c>
      <c r="D244" s="9" t="s">
        <v>11</v>
      </c>
      <c r="E244" s="9">
        <v>2015</v>
      </c>
      <c r="F244" s="44">
        <f t="shared" si="2"/>
        <v>176.01408254895745</v>
      </c>
      <c r="G244" s="38">
        <v>176.23807488746993</v>
      </c>
      <c r="H244" s="38">
        <v>150.9181514139951</v>
      </c>
      <c r="I244" s="38">
        <v>203.09216463770898</v>
      </c>
      <c r="J244" s="3">
        <v>181.5269764552078</v>
      </c>
      <c r="K244" s="9">
        <v>0.96963044273691912</v>
      </c>
      <c r="L244" s="9"/>
      <c r="M244" s="9"/>
      <c r="O244" s="9"/>
    </row>
    <row r="245" spans="1:15" x14ac:dyDescent="0.25">
      <c r="A245" s="9" t="s">
        <v>21</v>
      </c>
      <c r="B245" s="9" t="s">
        <v>24</v>
      </c>
      <c r="C245" s="9" t="s">
        <v>19</v>
      </c>
      <c r="D245" s="9" t="s">
        <v>11</v>
      </c>
      <c r="E245" s="9">
        <v>2015</v>
      </c>
      <c r="F245" s="44">
        <f t="shared" si="2"/>
        <v>1027.6166218612079</v>
      </c>
      <c r="G245" s="38">
        <v>1026.9595859612205</v>
      </c>
      <c r="H245" s="38">
        <v>963.95346002973122</v>
      </c>
      <c r="I245" s="38">
        <v>1091.0558041005627</v>
      </c>
      <c r="J245" s="3">
        <v>1059.8023500176155</v>
      </c>
      <c r="K245" s="9">
        <v>0.96963044273691912</v>
      </c>
      <c r="L245" s="9"/>
      <c r="M245" s="9"/>
      <c r="O245" s="9"/>
    </row>
    <row r="246" spans="1:15" x14ac:dyDescent="0.25">
      <c r="A246" s="9" t="s">
        <v>21</v>
      </c>
      <c r="B246" s="9" t="s">
        <v>24</v>
      </c>
      <c r="C246" s="9" t="s">
        <v>20</v>
      </c>
      <c r="D246" s="9" t="s">
        <v>11</v>
      </c>
      <c r="E246" s="9">
        <v>2015</v>
      </c>
      <c r="F246" s="44">
        <f t="shared" si="2"/>
        <v>117.0067555211987</v>
      </c>
      <c r="G246" s="38">
        <v>116.96674894233358</v>
      </c>
      <c r="H246" s="38">
        <v>96.743338937290929</v>
      </c>
      <c r="I246" s="38">
        <v>139.24289017159043</v>
      </c>
      <c r="J246" s="3">
        <v>120.67149541110794</v>
      </c>
      <c r="K246" s="9">
        <v>0.96963044273691912</v>
      </c>
      <c r="L246" s="9"/>
      <c r="M246" s="9"/>
      <c r="O246" s="9"/>
    </row>
    <row r="247" spans="1:15" x14ac:dyDescent="0.25">
      <c r="A247" s="9" t="s">
        <v>21</v>
      </c>
      <c r="B247" s="9" t="s">
        <v>26</v>
      </c>
      <c r="C247" s="9" t="s">
        <v>31</v>
      </c>
      <c r="D247" s="9" t="s">
        <v>12</v>
      </c>
      <c r="E247" s="9">
        <v>2015</v>
      </c>
      <c r="F247" s="44">
        <f t="shared" si="2"/>
        <v>4.5057097211863679</v>
      </c>
      <c r="G247" s="38">
        <v>4.5225371245253703</v>
      </c>
      <c r="H247" s="38">
        <v>1.3297556891499258</v>
      </c>
      <c r="I247" s="38">
        <v>9.5787435078994143</v>
      </c>
      <c r="J247" s="3">
        <v>4.6468319501895641</v>
      </c>
      <c r="K247" s="9">
        <v>0.96963044273691912</v>
      </c>
      <c r="L247" s="9"/>
      <c r="M247" s="9"/>
      <c r="O247" s="9"/>
    </row>
    <row r="248" spans="1:15" x14ac:dyDescent="0.25">
      <c r="A248" s="9" t="s">
        <v>21</v>
      </c>
      <c r="B248" s="9" t="s">
        <v>26</v>
      </c>
      <c r="C248" s="9" t="s">
        <v>19</v>
      </c>
      <c r="D248" s="9" t="s">
        <v>12</v>
      </c>
      <c r="E248" s="9">
        <v>2015</v>
      </c>
      <c r="F248" s="44">
        <f t="shared" si="2"/>
        <v>14.920740307070046</v>
      </c>
      <c r="G248" s="38">
        <v>14.955970906962449</v>
      </c>
      <c r="H248" s="38">
        <v>8.3006176696149758</v>
      </c>
      <c r="I248" s="38">
        <v>23.463833886927151</v>
      </c>
      <c r="J248" s="3">
        <v>15.388069154423562</v>
      </c>
      <c r="K248" s="9">
        <v>0.96963044273691912</v>
      </c>
      <c r="L248" s="9"/>
      <c r="M248" s="9"/>
      <c r="O248" s="9"/>
    </row>
    <row r="249" spans="1:15" x14ac:dyDescent="0.25">
      <c r="A249" s="9" t="s">
        <v>21</v>
      </c>
      <c r="B249" s="9" t="s">
        <v>26</v>
      </c>
      <c r="C249" s="9" t="s">
        <v>20</v>
      </c>
      <c r="D249" s="9" t="s">
        <v>12</v>
      </c>
      <c r="E249" s="9">
        <v>2015</v>
      </c>
      <c r="F249" s="44">
        <f t="shared" si="2"/>
        <v>3.0493237044103978</v>
      </c>
      <c r="G249" s="38">
        <v>3.0744123026331596</v>
      </c>
      <c r="H249" s="38">
        <v>0.65997215736352788</v>
      </c>
      <c r="I249" s="38">
        <v>7.3352830235487874</v>
      </c>
      <c r="J249" s="3">
        <v>3.144830824208912</v>
      </c>
      <c r="K249" s="9">
        <v>0.96963044273691912</v>
      </c>
      <c r="L249" s="9"/>
      <c r="M249" s="9"/>
      <c r="O249" s="9"/>
    </row>
    <row r="250" spans="1:15" x14ac:dyDescent="0.25">
      <c r="A250" s="9" t="s">
        <v>21</v>
      </c>
      <c r="B250" s="9" t="s">
        <v>26</v>
      </c>
      <c r="C250" s="9" t="s">
        <v>31</v>
      </c>
      <c r="D250" s="9" t="s">
        <v>15</v>
      </c>
      <c r="E250" s="9">
        <v>2015</v>
      </c>
      <c r="F250" s="44">
        <f t="shared" si="2"/>
        <v>4.5463978132227254</v>
      </c>
      <c r="G250" s="38">
        <v>4.5185235477097212</v>
      </c>
      <c r="H250" s="38">
        <v>1.3384043807206514</v>
      </c>
      <c r="I250" s="38">
        <v>9.6251054122264286</v>
      </c>
      <c r="J250" s="3">
        <v>4.6887944239764936</v>
      </c>
      <c r="K250" s="9">
        <v>0.96963044273691912</v>
      </c>
      <c r="L250" s="9"/>
      <c r="M250" s="9"/>
      <c r="O250" s="9"/>
    </row>
    <row r="251" spans="1:15" x14ac:dyDescent="0.25">
      <c r="A251" s="9" t="s">
        <v>21</v>
      </c>
      <c r="B251" s="9" t="s">
        <v>26</v>
      </c>
      <c r="C251" s="9" t="s">
        <v>19</v>
      </c>
      <c r="D251" s="9" t="s">
        <v>15</v>
      </c>
      <c r="E251" s="9">
        <v>2015</v>
      </c>
      <c r="F251" s="44">
        <f t="shared" si="2"/>
        <v>15.586849540127927</v>
      </c>
      <c r="G251" s="38">
        <v>15.628114180456112</v>
      </c>
      <c r="H251" s="38">
        <v>8.8266985432945724</v>
      </c>
      <c r="I251" s="38">
        <v>24.187410526572442</v>
      </c>
      <c r="J251" s="3">
        <v>16.075041431384765</v>
      </c>
      <c r="K251" s="9">
        <v>0.96963044273691912</v>
      </c>
      <c r="L251" s="9"/>
      <c r="M251" s="9"/>
      <c r="O251" s="9"/>
    </row>
    <row r="252" spans="1:15" x14ac:dyDescent="0.25">
      <c r="A252" s="9" t="s">
        <v>21</v>
      </c>
      <c r="B252" s="9" t="s">
        <v>26</v>
      </c>
      <c r="C252" s="9" t="s">
        <v>20</v>
      </c>
      <c r="D252" s="9" t="s">
        <v>15</v>
      </c>
      <c r="E252" s="9">
        <v>2015</v>
      </c>
      <c r="F252" s="44">
        <f t="shared" si="2"/>
        <v>2.6396672237378231</v>
      </c>
      <c r="G252" s="38">
        <v>2.630620981214562</v>
      </c>
      <c r="H252" s="38">
        <v>0.47831698373922815</v>
      </c>
      <c r="I252" s="38">
        <v>6.512651083016376</v>
      </c>
      <c r="J252" s="3">
        <v>2.7223435933869702</v>
      </c>
      <c r="K252" s="9">
        <v>0.96963044273691912</v>
      </c>
      <c r="L252" s="9"/>
      <c r="M252" s="9"/>
      <c r="O252" s="9"/>
    </row>
    <row r="253" spans="1:15" x14ac:dyDescent="0.25">
      <c r="A253" s="9" t="s">
        <v>21</v>
      </c>
      <c r="B253" s="9" t="s">
        <v>27</v>
      </c>
      <c r="C253" s="9" t="s">
        <v>31</v>
      </c>
      <c r="D253" s="9" t="s">
        <v>11</v>
      </c>
      <c r="E253" s="9">
        <v>2015</v>
      </c>
      <c r="F253" s="44">
        <f t="shared" si="2"/>
        <v>5.0910788412783861</v>
      </c>
      <c r="G253" s="38">
        <v>5.0492983201162183</v>
      </c>
      <c r="H253" s="38">
        <v>1.6892764805807312</v>
      </c>
      <c r="I253" s="38">
        <v>10.36656421622536</v>
      </c>
      <c r="J253" s="3">
        <v>5.250535272910879</v>
      </c>
      <c r="K253" s="9">
        <v>0.96963044273691912</v>
      </c>
      <c r="L253" s="9"/>
      <c r="M253" s="9"/>
      <c r="O253" s="9"/>
    </row>
    <row r="254" spans="1:15" x14ac:dyDescent="0.25">
      <c r="A254" s="9" t="s">
        <v>21</v>
      </c>
      <c r="B254" s="9" t="s">
        <v>27</v>
      </c>
      <c r="C254" s="9" t="s">
        <v>19</v>
      </c>
      <c r="D254" s="9" t="s">
        <v>11</v>
      </c>
      <c r="E254" s="9">
        <v>2015</v>
      </c>
      <c r="F254" s="44">
        <f t="shared" si="2"/>
        <v>16.859200874914031</v>
      </c>
      <c r="G254" s="38">
        <v>16.813181308396231</v>
      </c>
      <c r="H254" s="38">
        <v>9.7441202832747447</v>
      </c>
      <c r="I254" s="38">
        <v>25.660576970469666</v>
      </c>
      <c r="J254" s="3">
        <v>17.387243770241525</v>
      </c>
      <c r="K254" s="9">
        <v>0.96963044273691912</v>
      </c>
      <c r="L254" s="9"/>
      <c r="M254" s="9"/>
      <c r="O254" s="9"/>
    </row>
    <row r="255" spans="1:15" x14ac:dyDescent="0.25">
      <c r="A255" s="9" t="s">
        <v>21</v>
      </c>
      <c r="B255" s="9" t="s">
        <v>27</v>
      </c>
      <c r="C255" s="9" t="s">
        <v>20</v>
      </c>
      <c r="D255" s="9" t="s">
        <v>11</v>
      </c>
      <c r="E255" s="9">
        <v>2015</v>
      </c>
      <c r="F255" s="44">
        <f t="shared" si="2"/>
        <v>2.4527168926779281</v>
      </c>
      <c r="G255" s="38">
        <v>2.4311299517353255</v>
      </c>
      <c r="H255" s="38">
        <v>0.40569651814185548</v>
      </c>
      <c r="I255" s="38">
        <v>6.3654689957743091</v>
      </c>
      <c r="J255" s="3">
        <v>2.5295378368636898</v>
      </c>
      <c r="K255" s="9">
        <v>0.96963044273691912</v>
      </c>
      <c r="L255" s="9"/>
      <c r="M255" s="9"/>
      <c r="O255" s="9"/>
    </row>
    <row r="256" spans="1:15" x14ac:dyDescent="0.25">
      <c r="A256" s="9" t="s">
        <v>21</v>
      </c>
      <c r="B256" s="9" t="s">
        <v>28</v>
      </c>
      <c r="C256" s="9" t="s">
        <v>31</v>
      </c>
      <c r="D256" s="9" t="s">
        <v>12</v>
      </c>
      <c r="E256" s="9">
        <v>2015</v>
      </c>
      <c r="F256" s="44">
        <f t="shared" si="2"/>
        <v>13.32722569261292</v>
      </c>
      <c r="G256" s="38">
        <v>13.338443622149306</v>
      </c>
      <c r="H256" s="38">
        <v>7.1525040070910713</v>
      </c>
      <c r="I256" s="38">
        <v>21.415480717965035</v>
      </c>
      <c r="J256" s="3">
        <v>13.744644459589098</v>
      </c>
      <c r="K256" s="9">
        <v>0.96963044273691912</v>
      </c>
      <c r="L256" s="9"/>
      <c r="M256" s="9"/>
      <c r="O256" s="9"/>
    </row>
    <row r="257" spans="1:15" x14ac:dyDescent="0.25">
      <c r="A257" s="9" t="s">
        <v>21</v>
      </c>
      <c r="B257" s="9" t="s">
        <v>28</v>
      </c>
      <c r="C257" s="9" t="s">
        <v>19</v>
      </c>
      <c r="D257" s="9" t="s">
        <v>12</v>
      </c>
      <c r="E257" s="9">
        <v>2015</v>
      </c>
      <c r="F257" s="44">
        <f t="shared" si="2"/>
        <v>129.80397675666265</v>
      </c>
      <c r="G257" s="38">
        <v>129.80523302785753</v>
      </c>
      <c r="H257" s="38">
        <v>108.50885163495987</v>
      </c>
      <c r="I257" s="38">
        <v>153.15716980013929</v>
      </c>
      <c r="J257" s="3">
        <v>133.86953527394681</v>
      </c>
      <c r="K257" s="9">
        <v>0.96963044273691912</v>
      </c>
      <c r="L257" s="9"/>
      <c r="M257" s="9"/>
      <c r="O257" s="9"/>
    </row>
    <row r="258" spans="1:15" x14ac:dyDescent="0.25">
      <c r="A258" s="9" t="s">
        <v>21</v>
      </c>
      <c r="B258" s="9" t="s">
        <v>28</v>
      </c>
      <c r="C258" s="9" t="s">
        <v>20</v>
      </c>
      <c r="D258" s="9" t="s">
        <v>12</v>
      </c>
      <c r="E258" s="9">
        <v>2015</v>
      </c>
      <c r="F258" s="44">
        <f t="shared" si="2"/>
        <v>19.782160015590275</v>
      </c>
      <c r="G258" s="38">
        <v>19.741316913950548</v>
      </c>
      <c r="H258" s="38">
        <v>11.968897600105944</v>
      </c>
      <c r="I258" s="38">
        <v>29.559676745899253</v>
      </c>
      <c r="J258" s="3">
        <v>20.401752197210651</v>
      </c>
      <c r="K258" s="9">
        <v>0.96963044273691912</v>
      </c>
      <c r="L258" s="9"/>
      <c r="M258" s="9"/>
      <c r="O258" s="9"/>
    </row>
    <row r="259" spans="1:15" x14ac:dyDescent="0.25">
      <c r="A259" s="9" t="s">
        <v>21</v>
      </c>
      <c r="B259" s="9" t="s">
        <v>28</v>
      </c>
      <c r="C259" s="9" t="s">
        <v>31</v>
      </c>
      <c r="D259" s="9" t="s">
        <v>15</v>
      </c>
      <c r="E259" s="9">
        <v>2015</v>
      </c>
      <c r="F259" s="44">
        <f t="shared" si="2"/>
        <v>17.198285673722125</v>
      </c>
      <c r="G259" s="38">
        <v>17.277565695373063</v>
      </c>
      <c r="H259" s="38">
        <v>10.015329015923362</v>
      </c>
      <c r="I259" s="38">
        <v>26.60807679445287</v>
      </c>
      <c r="J259" s="3">
        <v>17.736948960861348</v>
      </c>
      <c r="K259" s="9">
        <v>0.96963044273691912</v>
      </c>
      <c r="L259" s="9"/>
      <c r="M259" s="9"/>
      <c r="O259" s="9"/>
    </row>
    <row r="260" spans="1:15" x14ac:dyDescent="0.25">
      <c r="A260" s="9" t="s">
        <v>21</v>
      </c>
      <c r="B260" s="9" t="s">
        <v>28</v>
      </c>
      <c r="C260" s="9" t="s">
        <v>19</v>
      </c>
      <c r="D260" s="9" t="s">
        <v>15</v>
      </c>
      <c r="E260" s="9">
        <v>2015</v>
      </c>
      <c r="F260" s="44">
        <f t="shared" si="2"/>
        <v>255.24902256745119</v>
      </c>
      <c r="G260" s="38">
        <v>255.42845662159905</v>
      </c>
      <c r="H260" s="38">
        <v>225.0385813169986</v>
      </c>
      <c r="I260" s="38">
        <v>287.67764593474868</v>
      </c>
      <c r="J260" s="3">
        <v>263.24361459503552</v>
      </c>
      <c r="K260" s="9">
        <v>0.96963044273691912</v>
      </c>
      <c r="L260" s="9"/>
      <c r="M260" s="9"/>
      <c r="O260" s="9"/>
    </row>
    <row r="261" spans="1:15" x14ac:dyDescent="0.25">
      <c r="A261" s="9" t="s">
        <v>21</v>
      </c>
      <c r="B261" s="9" t="s">
        <v>28</v>
      </c>
      <c r="C261" s="9" t="s">
        <v>20</v>
      </c>
      <c r="D261" s="9" t="s">
        <v>15</v>
      </c>
      <c r="E261" s="9">
        <v>2015</v>
      </c>
      <c r="F261" s="44">
        <f t="shared" si="2"/>
        <v>16.046257348561369</v>
      </c>
      <c r="G261" s="38">
        <v>16.004285704297274</v>
      </c>
      <c r="H261" s="38">
        <v>9.0814749700118913</v>
      </c>
      <c r="I261" s="38">
        <v>24.944024997160337</v>
      </c>
      <c r="J261" s="3">
        <v>16.548838239101215</v>
      </c>
      <c r="K261" s="9">
        <v>0.96963044273691912</v>
      </c>
      <c r="L261" s="9"/>
      <c r="M261" s="9"/>
      <c r="O261" s="9"/>
    </row>
    <row r="262" spans="1:15" x14ac:dyDescent="0.25">
      <c r="A262" s="9" t="s">
        <v>22</v>
      </c>
      <c r="B262" s="9" t="s">
        <v>11</v>
      </c>
      <c r="C262" s="9" t="s">
        <v>11</v>
      </c>
      <c r="D262" s="9" t="s">
        <v>11</v>
      </c>
      <c r="E262" s="9">
        <v>2015</v>
      </c>
      <c r="F262" s="44">
        <f>SUM(F265:F282)</f>
        <v>378.08607707019775</v>
      </c>
      <c r="G262" s="38">
        <v>378.10399999999998</v>
      </c>
      <c r="H262" s="38">
        <v>342</v>
      </c>
      <c r="I262" s="38">
        <v>417</v>
      </c>
      <c r="J262" s="9"/>
      <c r="K262" s="9"/>
      <c r="L262" s="9"/>
      <c r="M262" s="9"/>
      <c r="O262" s="9"/>
    </row>
    <row r="263" spans="1:15" x14ac:dyDescent="0.25">
      <c r="A263" s="9" t="s">
        <v>22</v>
      </c>
      <c r="B263" s="9" t="s">
        <v>11</v>
      </c>
      <c r="C263" s="9" t="s">
        <v>19</v>
      </c>
      <c r="D263" s="9" t="s">
        <v>11</v>
      </c>
      <c r="E263" s="9">
        <v>2015</v>
      </c>
      <c r="F263" s="44">
        <f>SUM(F266,F269,F272,F275,F278,F281)</f>
        <v>266.3195823554226</v>
      </c>
      <c r="G263" s="38"/>
      <c r="H263" s="38"/>
      <c r="I263" s="38"/>
      <c r="J263" s="9"/>
      <c r="K263" s="9"/>
      <c r="L263" s="9"/>
      <c r="M263" s="9"/>
      <c r="O263" s="9"/>
    </row>
    <row r="264" spans="1:15" x14ac:dyDescent="0.25">
      <c r="A264" s="9" t="s">
        <v>22</v>
      </c>
      <c r="B264" s="9" t="s">
        <v>24</v>
      </c>
      <c r="C264" s="9" t="s">
        <v>11</v>
      </c>
      <c r="D264" s="9" t="s">
        <v>11</v>
      </c>
      <c r="E264" s="9">
        <v>2015</v>
      </c>
      <c r="F264" s="44">
        <f>SUM(F265:F267)</f>
        <v>205.16419095673083</v>
      </c>
      <c r="G264" s="38"/>
      <c r="H264" s="38"/>
      <c r="I264" s="38"/>
      <c r="J264" s="9"/>
      <c r="K264" s="9"/>
      <c r="L264" s="9"/>
      <c r="M264" s="9"/>
      <c r="O264" s="9"/>
    </row>
    <row r="265" spans="1:15" x14ac:dyDescent="0.25">
      <c r="A265" s="9" t="s">
        <v>22</v>
      </c>
      <c r="B265" s="9" t="s">
        <v>24</v>
      </c>
      <c r="C265" s="9" t="s">
        <v>31</v>
      </c>
      <c r="D265" s="9" t="s">
        <v>11</v>
      </c>
      <c r="E265" s="9">
        <v>2015</v>
      </c>
      <c r="F265" s="44">
        <f t="shared" si="2"/>
        <v>72.274813115364765</v>
      </c>
      <c r="G265" s="38">
        <v>72.289769487733849</v>
      </c>
      <c r="H265" s="38">
        <v>56.648288263917877</v>
      </c>
      <c r="I265" s="38">
        <v>89.592054161304588</v>
      </c>
      <c r="J265" s="24">
        <v>91.458868448455405</v>
      </c>
      <c r="K265" s="9">
        <v>0.79024390243902443</v>
      </c>
      <c r="L265" s="9"/>
      <c r="M265" s="9"/>
      <c r="O265" s="9"/>
    </row>
    <row r="266" spans="1:15" x14ac:dyDescent="0.25">
      <c r="A266" s="9" t="s">
        <v>22</v>
      </c>
      <c r="B266" s="9" t="s">
        <v>24</v>
      </c>
      <c r="C266" s="9" t="s">
        <v>19</v>
      </c>
      <c r="D266" s="9" t="s">
        <v>11</v>
      </c>
      <c r="E266" s="9">
        <v>2015</v>
      </c>
      <c r="F266" s="44">
        <f t="shared" ref="F266:F282" si="3">J266*K266</f>
        <v>128.37289051057815</v>
      </c>
      <c r="G266" s="38">
        <v>128.41198625600404</v>
      </c>
      <c r="H266" s="38">
        <v>106.97508386638805</v>
      </c>
      <c r="I266" s="38">
        <v>151.96752818138862</v>
      </c>
      <c r="J266" s="24">
        <v>161.23859770912878</v>
      </c>
      <c r="K266" s="9">
        <v>0.79616724738675959</v>
      </c>
      <c r="L266" s="9"/>
      <c r="M266" s="9"/>
      <c r="O266" s="9"/>
    </row>
    <row r="267" spans="1:15" x14ac:dyDescent="0.25">
      <c r="A267" s="9" t="s">
        <v>22</v>
      </c>
      <c r="B267" s="9" t="s">
        <v>24</v>
      </c>
      <c r="C267" s="9" t="s">
        <v>20</v>
      </c>
      <c r="D267" s="9" t="s">
        <v>11</v>
      </c>
      <c r="E267" s="9">
        <v>2015</v>
      </c>
      <c r="F267" s="44">
        <f t="shared" si="3"/>
        <v>4.5164873307879212</v>
      </c>
      <c r="G267" s="38">
        <v>4.5228685162993969</v>
      </c>
      <c r="H267" s="38">
        <v>1.3448667986977219</v>
      </c>
      <c r="I267" s="38">
        <v>9.4863621966492762</v>
      </c>
      <c r="J267" s="24">
        <v>5.4197847969455051</v>
      </c>
      <c r="K267" s="9">
        <v>0.83333333333333337</v>
      </c>
      <c r="L267" s="9"/>
      <c r="M267" s="9"/>
      <c r="O267" s="9"/>
    </row>
    <row r="268" spans="1:15" x14ac:dyDescent="0.25">
      <c r="A268" s="9" t="s">
        <v>22</v>
      </c>
      <c r="B268" s="9" t="s">
        <v>26</v>
      </c>
      <c r="C268" s="9" t="s">
        <v>31</v>
      </c>
      <c r="D268" s="9" t="s">
        <v>12</v>
      </c>
      <c r="E268" s="9">
        <v>2015</v>
      </c>
      <c r="F268" s="44">
        <f t="shared" si="3"/>
        <v>6.3678978962738642</v>
      </c>
      <c r="G268" s="38">
        <v>6.3635645582703937</v>
      </c>
      <c r="H268" s="38">
        <v>2.4036147675695148</v>
      </c>
      <c r="I268" s="38">
        <v>12.331068245333755</v>
      </c>
      <c r="J268" s="24">
        <v>8.0581423996058152</v>
      </c>
      <c r="K268" s="9">
        <v>0.79024390243902443</v>
      </c>
      <c r="L268" s="9"/>
      <c r="M268" s="9"/>
      <c r="O268" s="9"/>
    </row>
    <row r="269" spans="1:15" x14ac:dyDescent="0.25">
      <c r="A269" s="9" t="s">
        <v>22</v>
      </c>
      <c r="B269" s="9" t="s">
        <v>26</v>
      </c>
      <c r="C269" s="9" t="s">
        <v>19</v>
      </c>
      <c r="D269" s="9" t="s">
        <v>12</v>
      </c>
      <c r="E269" s="9">
        <v>2015</v>
      </c>
      <c r="F269" s="44">
        <f t="shared" si="3"/>
        <v>22.701456650296628</v>
      </c>
      <c r="G269" s="38">
        <v>22.776930380892267</v>
      </c>
      <c r="H269" s="38">
        <v>14.31460503007153</v>
      </c>
      <c r="I269" s="38">
        <v>33.179195428853575</v>
      </c>
      <c r="J269" s="24">
        <v>28.513426952451344</v>
      </c>
      <c r="K269" s="9">
        <v>0.79616724738675959</v>
      </c>
      <c r="L269" s="9"/>
      <c r="M269" s="9"/>
      <c r="O269" s="9"/>
    </row>
    <row r="270" spans="1:15" x14ac:dyDescent="0.25">
      <c r="A270" s="9" t="s">
        <v>22</v>
      </c>
      <c r="B270" s="9" t="s">
        <v>26</v>
      </c>
      <c r="C270" s="9" t="s">
        <v>20</v>
      </c>
      <c r="D270" s="9" t="s">
        <v>12</v>
      </c>
      <c r="E270" s="9">
        <v>2015</v>
      </c>
      <c r="F270" s="44">
        <f t="shared" si="3"/>
        <v>1.2913689742958037</v>
      </c>
      <c r="G270" s="38">
        <v>1.2965780600929699</v>
      </c>
      <c r="H270" s="38">
        <v>6.4682989976462865E-2</v>
      </c>
      <c r="I270" s="38">
        <v>4.257291421117305</v>
      </c>
      <c r="J270" s="24">
        <v>1.5496427691549644</v>
      </c>
      <c r="K270" s="9">
        <v>0.83333333333333337</v>
      </c>
      <c r="L270" s="9"/>
      <c r="M270" s="9"/>
      <c r="O270" s="9"/>
    </row>
    <row r="271" spans="1:15" x14ac:dyDescent="0.25">
      <c r="A271" s="9" t="s">
        <v>22</v>
      </c>
      <c r="B271" s="37" t="s">
        <v>26</v>
      </c>
      <c r="C271" s="37" t="s">
        <v>31</v>
      </c>
      <c r="D271" s="37" t="s">
        <v>15</v>
      </c>
      <c r="E271" s="37">
        <v>2015</v>
      </c>
      <c r="F271" s="44">
        <f t="shared" si="3"/>
        <v>4.2165810394245851</v>
      </c>
      <c r="G271" s="38">
        <v>4.2090813564338907</v>
      </c>
      <c r="H271" s="38">
        <v>1.2170277689203481</v>
      </c>
      <c r="I271" s="38">
        <v>9.0918207659032575</v>
      </c>
      <c r="J271" s="1">
        <v>5.3357969943335792</v>
      </c>
      <c r="K271" s="37">
        <v>0.79024390243902443</v>
      </c>
      <c r="O271" s="9"/>
    </row>
    <row r="272" spans="1:15" x14ac:dyDescent="0.25">
      <c r="A272" s="9" t="s">
        <v>22</v>
      </c>
      <c r="B272" s="37" t="s">
        <v>26</v>
      </c>
      <c r="C272" s="37" t="s">
        <v>19</v>
      </c>
      <c r="D272" s="37" t="s">
        <v>15</v>
      </c>
      <c r="E272" s="37">
        <v>2015</v>
      </c>
      <c r="F272" s="44">
        <f t="shared" si="3"/>
        <v>15.03204561979101</v>
      </c>
      <c r="G272" s="38">
        <v>15.071887044833449</v>
      </c>
      <c r="H272" s="38">
        <v>8.5075619892002869</v>
      </c>
      <c r="I272" s="38">
        <v>23.578128952274017</v>
      </c>
      <c r="J272" s="1">
        <v>18.880512441488051</v>
      </c>
      <c r="K272" s="37">
        <v>0.79616724738675959</v>
      </c>
      <c r="O272" s="9"/>
    </row>
    <row r="273" spans="1:15" x14ac:dyDescent="0.25">
      <c r="A273" s="9" t="s">
        <v>22</v>
      </c>
      <c r="B273" s="37" t="s">
        <v>26</v>
      </c>
      <c r="C273" s="37" t="s">
        <v>20</v>
      </c>
      <c r="D273" s="37" t="s">
        <v>15</v>
      </c>
      <c r="E273" s="37">
        <v>2015</v>
      </c>
      <c r="F273" s="44">
        <f t="shared" si="3"/>
        <v>0.85509567216884297</v>
      </c>
      <c r="G273" s="38">
        <v>0.85377099388625066</v>
      </c>
      <c r="H273" s="38">
        <v>1.1902938420371358E-2</v>
      </c>
      <c r="I273" s="38">
        <v>3.3780397781393945</v>
      </c>
      <c r="J273" s="1">
        <v>1.0261148066026116</v>
      </c>
      <c r="K273" s="37">
        <v>0.83333333333333337</v>
      </c>
      <c r="O273" s="9"/>
    </row>
    <row r="274" spans="1:15" x14ac:dyDescent="0.25">
      <c r="A274" s="9" t="s">
        <v>22</v>
      </c>
      <c r="B274" s="9" t="s">
        <v>27</v>
      </c>
      <c r="C274" s="9" t="s">
        <v>31</v>
      </c>
      <c r="D274" s="9" t="s">
        <v>11</v>
      </c>
      <c r="E274" s="9">
        <v>2015</v>
      </c>
      <c r="F274" s="44">
        <f t="shared" si="3"/>
        <v>7.1534737446197996</v>
      </c>
      <c r="G274" s="38">
        <v>7.1358074138874539</v>
      </c>
      <c r="H274" s="38">
        <v>2.9309436078888167</v>
      </c>
      <c r="I274" s="38">
        <v>13.158548353845248</v>
      </c>
      <c r="J274" s="1">
        <v>9.0522352941176472</v>
      </c>
      <c r="K274" s="37">
        <v>0.79024390243902443</v>
      </c>
      <c r="O274" s="9"/>
    </row>
    <row r="275" spans="1:15" x14ac:dyDescent="0.25">
      <c r="A275" s="9" t="s">
        <v>22</v>
      </c>
      <c r="B275" s="9" t="s">
        <v>27</v>
      </c>
      <c r="C275" s="9" t="s">
        <v>19</v>
      </c>
      <c r="D275" s="9" t="s">
        <v>11</v>
      </c>
      <c r="E275" s="9">
        <v>2015</v>
      </c>
      <c r="F275" s="44">
        <f t="shared" si="3"/>
        <v>15.958563640090183</v>
      </c>
      <c r="G275" s="38">
        <v>15.965923122605711</v>
      </c>
      <c r="H275" s="38">
        <v>9.1953916215866194</v>
      </c>
      <c r="I275" s="38">
        <v>24.660125805059444</v>
      </c>
      <c r="J275" s="1">
        <v>20.044235294117648</v>
      </c>
      <c r="K275" s="37">
        <v>0.79616724738675959</v>
      </c>
      <c r="O275" s="9"/>
    </row>
    <row r="276" spans="1:15" x14ac:dyDescent="0.25">
      <c r="A276" s="9" t="s">
        <v>22</v>
      </c>
      <c r="B276" s="9" t="s">
        <v>27</v>
      </c>
      <c r="C276" s="9" t="s">
        <v>20</v>
      </c>
      <c r="D276" s="9" t="s">
        <v>11</v>
      </c>
      <c r="E276" s="9">
        <v>2015</v>
      </c>
      <c r="F276" s="44">
        <f t="shared" si="3"/>
        <v>0</v>
      </c>
      <c r="G276" s="38">
        <v>0</v>
      </c>
      <c r="H276" s="38">
        <v>0</v>
      </c>
      <c r="I276" s="38">
        <v>0</v>
      </c>
      <c r="J276" s="1">
        <v>0</v>
      </c>
      <c r="K276" s="37">
        <v>0.83333333333333337</v>
      </c>
      <c r="O276" s="9"/>
    </row>
    <row r="277" spans="1:15" x14ac:dyDescent="0.25">
      <c r="A277" s="9" t="s">
        <v>22</v>
      </c>
      <c r="B277" s="9" t="s">
        <v>28</v>
      </c>
      <c r="C277" s="9" t="s">
        <v>31</v>
      </c>
      <c r="D277" s="9" t="s">
        <v>12</v>
      </c>
      <c r="E277" s="9">
        <v>2015</v>
      </c>
      <c r="F277" s="44">
        <f t="shared" si="3"/>
        <v>4.300109734268438</v>
      </c>
      <c r="G277" s="38">
        <v>4.3032062976992531</v>
      </c>
      <c r="H277" s="38">
        <v>1.2365774947795178</v>
      </c>
      <c r="I277" s="38">
        <v>9.3341129495136173</v>
      </c>
      <c r="J277" s="1">
        <v>5.4414968859569735</v>
      </c>
      <c r="K277" s="37">
        <v>0.79024390243902443</v>
      </c>
      <c r="O277" s="9"/>
    </row>
    <row r="278" spans="1:15" x14ac:dyDescent="0.25">
      <c r="A278" s="9" t="s">
        <v>22</v>
      </c>
      <c r="B278" s="9" t="s">
        <v>28</v>
      </c>
      <c r="C278" s="9" t="s">
        <v>19</v>
      </c>
      <c r="D278" s="9" t="s">
        <v>12</v>
      </c>
      <c r="E278" s="9">
        <v>2015</v>
      </c>
      <c r="F278" s="44">
        <f t="shared" si="3"/>
        <v>30.759625341227512</v>
      </c>
      <c r="G278" s="38">
        <v>30.639157261200126</v>
      </c>
      <c r="H278" s="38">
        <v>20.834876717969596</v>
      </c>
      <c r="I278" s="38">
        <v>42.536866562122263</v>
      </c>
      <c r="J278" s="1">
        <v>38.63462789029451</v>
      </c>
      <c r="K278" s="37">
        <v>0.79616724738675959</v>
      </c>
      <c r="O278" s="9"/>
    </row>
    <row r="279" spans="1:15" x14ac:dyDescent="0.25">
      <c r="A279" s="9" t="s">
        <v>22</v>
      </c>
      <c r="B279" s="9" t="s">
        <v>28</v>
      </c>
      <c r="C279" s="9" t="s">
        <v>20</v>
      </c>
      <c r="D279" s="9" t="s">
        <v>12</v>
      </c>
      <c r="E279" s="9">
        <v>2015</v>
      </c>
      <c r="F279" s="44">
        <f t="shared" si="3"/>
        <v>1.2092215302126608</v>
      </c>
      <c r="G279" s="38">
        <v>1.2147236866177837</v>
      </c>
      <c r="H279" s="38">
        <v>5.3018383668701416E-2</v>
      </c>
      <c r="I279" s="38">
        <v>4.2143384431709574</v>
      </c>
      <c r="J279" s="1">
        <v>1.4510658362551929</v>
      </c>
      <c r="K279" s="37">
        <v>0.83333333333333337</v>
      </c>
      <c r="O279" s="9"/>
    </row>
    <row r="280" spans="1:15" x14ac:dyDescent="0.25">
      <c r="A280" s="9" t="s">
        <v>22</v>
      </c>
      <c r="B280" s="37" t="s">
        <v>28</v>
      </c>
      <c r="C280" s="37" t="s">
        <v>31</v>
      </c>
      <c r="D280" s="37" t="s">
        <v>15</v>
      </c>
      <c r="E280" s="37">
        <v>2015</v>
      </c>
      <c r="F280" s="44">
        <f t="shared" si="3"/>
        <v>7.4784517117711964</v>
      </c>
      <c r="G280" s="38">
        <v>7.4361459982014964</v>
      </c>
      <c r="H280" s="38">
        <v>3.144115308755592</v>
      </c>
      <c r="I280" s="38">
        <v>13.718786938522063</v>
      </c>
      <c r="J280" s="1">
        <v>9.4634728451425634</v>
      </c>
      <c r="K280" s="37">
        <v>0.79024390243902443</v>
      </c>
      <c r="O280" s="9"/>
    </row>
    <row r="281" spans="1:15" x14ac:dyDescent="0.25">
      <c r="A281" s="9" t="s">
        <v>22</v>
      </c>
      <c r="B281" s="37" t="s">
        <v>28</v>
      </c>
      <c r="C281" s="37" t="s">
        <v>19</v>
      </c>
      <c r="D281" s="37" t="s">
        <v>15</v>
      </c>
      <c r="E281" s="37">
        <v>2015</v>
      </c>
      <c r="F281" s="44">
        <f t="shared" si="3"/>
        <v>53.495000593439151</v>
      </c>
      <c r="G281" s="38">
        <v>53.495766736271946</v>
      </c>
      <c r="H281" s="38">
        <v>40.287833437729631</v>
      </c>
      <c r="I281" s="38">
        <v>68.650635719587271</v>
      </c>
      <c r="J281" s="1">
        <v>67.190657200512192</v>
      </c>
      <c r="K281" s="37">
        <v>0.79616724738675959</v>
      </c>
      <c r="O281" s="9"/>
    </row>
    <row r="282" spans="1:15" ht="15.75" thickBot="1" x14ac:dyDescent="0.3">
      <c r="A282" s="6" t="s">
        <v>22</v>
      </c>
      <c r="B282" s="6" t="s">
        <v>28</v>
      </c>
      <c r="C282" s="6" t="s">
        <v>20</v>
      </c>
      <c r="D282" s="6" t="s">
        <v>15</v>
      </c>
      <c r="E282" s="6">
        <v>2015</v>
      </c>
      <c r="F282" s="45">
        <f t="shared" si="3"/>
        <v>2.1029939655872361</v>
      </c>
      <c r="G282" s="65">
        <v>2.1168328290697147</v>
      </c>
      <c r="H282" s="65">
        <v>0.26932199685368996</v>
      </c>
      <c r="I282" s="65">
        <v>5.7842072290097413</v>
      </c>
      <c r="J282" s="42">
        <v>2.5235927587046834</v>
      </c>
      <c r="K282" s="6">
        <v>0.83333333333333337</v>
      </c>
      <c r="L282" s="6"/>
      <c r="M282" s="6"/>
      <c r="N282" s="6"/>
      <c r="O282" s="9"/>
    </row>
    <row r="283" spans="1:15" x14ac:dyDescent="0.25">
      <c r="A283" s="9"/>
      <c r="B283" s="9"/>
      <c r="C283" s="9"/>
      <c r="D283" s="9"/>
      <c r="E283" s="9"/>
      <c r="F283" s="44" t="s">
        <v>62</v>
      </c>
      <c r="G283" s="38"/>
      <c r="H283" s="38"/>
      <c r="I283" s="38"/>
      <c r="J283" s="9" t="s">
        <v>63</v>
      </c>
      <c r="K283" s="9" t="s">
        <v>64</v>
      </c>
      <c r="L283" s="9"/>
      <c r="M283" s="9"/>
      <c r="N283" s="9"/>
      <c r="O283" s="9"/>
    </row>
    <row r="284" spans="1:15" x14ac:dyDescent="0.25">
      <c r="A284" s="11" t="s">
        <v>61</v>
      </c>
      <c r="B284" s="11" t="s">
        <v>11</v>
      </c>
      <c r="C284" s="37" t="s">
        <v>11</v>
      </c>
      <c r="D284" s="11" t="s">
        <v>11</v>
      </c>
      <c r="E284" s="11">
        <v>2012</v>
      </c>
      <c r="F284" s="44">
        <f>F285+F286</f>
        <v>1554.4843191281655</v>
      </c>
      <c r="G284" s="38"/>
      <c r="H284" s="38"/>
      <c r="I284" s="38"/>
      <c r="J284" s="3">
        <f t="shared" ref="J284:K284" si="4">J285+J286</f>
        <v>1295.4035992734714</v>
      </c>
      <c r="K284" s="3">
        <f t="shared" si="4"/>
        <v>1748.7948590191863</v>
      </c>
      <c r="L284" s="9"/>
      <c r="M284" s="9"/>
      <c r="N284" s="9"/>
      <c r="O284" s="9"/>
    </row>
    <row r="285" spans="1:15" x14ac:dyDescent="0.25">
      <c r="A285" s="11" t="s">
        <v>61</v>
      </c>
      <c r="B285" s="11" t="s">
        <v>11</v>
      </c>
      <c r="C285" s="37" t="s">
        <v>11</v>
      </c>
      <c r="D285" s="11" t="s">
        <v>12</v>
      </c>
      <c r="E285" s="11">
        <v>2012</v>
      </c>
      <c r="F285" s="47">
        <v>1269.4719671206376</v>
      </c>
      <c r="G285" s="14"/>
      <c r="H285" s="14"/>
      <c r="I285" s="14"/>
      <c r="J285" s="3">
        <v>1057.8933059338649</v>
      </c>
      <c r="K285" s="3">
        <v>1428.1559630107174</v>
      </c>
      <c r="O285" s="9"/>
    </row>
    <row r="286" spans="1:15" x14ac:dyDescent="0.25">
      <c r="A286" s="11" t="s">
        <v>61</v>
      </c>
      <c r="B286" s="37" t="s">
        <v>11</v>
      </c>
      <c r="C286" s="37" t="s">
        <v>11</v>
      </c>
      <c r="D286" s="11" t="s">
        <v>15</v>
      </c>
      <c r="E286" s="11">
        <v>2012</v>
      </c>
      <c r="F286" s="47">
        <v>285.01235200752791</v>
      </c>
      <c r="G286" s="14"/>
      <c r="H286" s="14"/>
      <c r="I286" s="14"/>
      <c r="J286" s="3">
        <v>237.51029333960659</v>
      </c>
      <c r="K286" s="3">
        <v>320.63889600846886</v>
      </c>
      <c r="O286" s="9"/>
    </row>
    <row r="287" spans="1:15" x14ac:dyDescent="0.25">
      <c r="A287" s="11" t="s">
        <v>61</v>
      </c>
      <c r="B287" s="37" t="s">
        <v>11</v>
      </c>
      <c r="C287" s="37" t="s">
        <v>31</v>
      </c>
      <c r="D287" s="37" t="s">
        <v>11</v>
      </c>
      <c r="E287" s="11">
        <v>2012</v>
      </c>
      <c r="F287" s="47">
        <v>423.69920226206426</v>
      </c>
      <c r="G287" s="14"/>
      <c r="H287" s="14"/>
      <c r="I287" s="14"/>
      <c r="J287" s="3">
        <v>353.08266855172025</v>
      </c>
      <c r="K287" s="3">
        <v>476.66160254482224</v>
      </c>
      <c r="O287" s="9"/>
    </row>
    <row r="288" spans="1:15" x14ac:dyDescent="0.25">
      <c r="A288" s="11" t="s">
        <v>61</v>
      </c>
      <c r="B288" s="37" t="s">
        <v>11</v>
      </c>
      <c r="C288" s="37" t="s">
        <v>19</v>
      </c>
      <c r="D288" s="37" t="s">
        <v>11</v>
      </c>
      <c r="E288" s="11">
        <v>2012</v>
      </c>
      <c r="F288" s="47">
        <v>1046.1194369122343</v>
      </c>
      <c r="G288" s="14"/>
      <c r="H288" s="14"/>
      <c r="I288" s="14"/>
      <c r="J288" s="3">
        <v>871.76619742686194</v>
      </c>
      <c r="K288" s="3">
        <v>1176.8843665262634</v>
      </c>
      <c r="O288" s="9"/>
    </row>
    <row r="289" spans="1:15" x14ac:dyDescent="0.25">
      <c r="A289" s="11" t="s">
        <v>61</v>
      </c>
      <c r="B289" s="37" t="s">
        <v>11</v>
      </c>
      <c r="C289" s="37" t="s">
        <v>20</v>
      </c>
      <c r="D289" s="37" t="s">
        <v>11</v>
      </c>
      <c r="E289" s="11">
        <v>2012</v>
      </c>
      <c r="F289" s="47">
        <v>84.665679953866956</v>
      </c>
      <c r="G289" s="14"/>
      <c r="H289" s="14"/>
      <c r="I289" s="14"/>
      <c r="J289" s="3">
        <v>70.554733294889132</v>
      </c>
      <c r="K289" s="3">
        <v>95.248889948100327</v>
      </c>
      <c r="O289" s="9"/>
    </row>
    <row r="290" spans="1:15" x14ac:dyDescent="0.25">
      <c r="A290" s="11" t="s">
        <v>61</v>
      </c>
      <c r="B290" s="37" t="s">
        <v>24</v>
      </c>
      <c r="C290" s="37" t="s">
        <v>11</v>
      </c>
      <c r="D290" s="37" t="s">
        <v>11</v>
      </c>
      <c r="E290" s="11">
        <v>2012</v>
      </c>
      <c r="F290" s="44">
        <v>1135.7494215968829</v>
      </c>
      <c r="G290" s="38"/>
      <c r="H290" s="38"/>
      <c r="I290" s="38"/>
      <c r="J290" s="3">
        <v>946.45785133073582</v>
      </c>
      <c r="K290" s="3">
        <v>1277.7180992964932</v>
      </c>
      <c r="M290" s="21"/>
      <c r="O290" s="9"/>
    </row>
    <row r="291" spans="1:15" x14ac:dyDescent="0.25">
      <c r="A291" s="11" t="s">
        <v>61</v>
      </c>
      <c r="B291" s="11" t="s">
        <v>11</v>
      </c>
      <c r="C291" s="37" t="s">
        <v>11</v>
      </c>
      <c r="D291" s="11" t="s">
        <v>11</v>
      </c>
      <c r="E291" s="11">
        <v>2013</v>
      </c>
      <c r="F291" s="44">
        <f>F292+F293</f>
        <v>1643.1912654199496</v>
      </c>
      <c r="G291" s="38"/>
      <c r="H291" s="38"/>
      <c r="I291" s="38"/>
      <c r="J291" s="3">
        <f>J292+J293</f>
        <v>1344.4292171617772</v>
      </c>
      <c r="K291" s="3">
        <f>K292+K293</f>
        <v>1941.9533136781222</v>
      </c>
      <c r="M291" s="21"/>
      <c r="O291" s="9"/>
    </row>
    <row r="292" spans="1:15" x14ac:dyDescent="0.25">
      <c r="A292" s="11" t="s">
        <v>61</v>
      </c>
      <c r="B292" s="11" t="s">
        <v>11</v>
      </c>
      <c r="C292" s="37" t="s">
        <v>11</v>
      </c>
      <c r="D292" s="11" t="s">
        <v>12</v>
      </c>
      <c r="E292" s="11">
        <v>2013</v>
      </c>
      <c r="F292" s="44">
        <v>1355.5375609252694</v>
      </c>
      <c r="G292" s="38"/>
      <c r="H292" s="38"/>
      <c r="I292" s="38"/>
      <c r="J292" s="3">
        <v>1109.0761862115842</v>
      </c>
      <c r="K292" s="3">
        <v>1601.9989356389547</v>
      </c>
      <c r="M292" s="1"/>
      <c r="O292" s="9"/>
    </row>
    <row r="293" spans="1:15" x14ac:dyDescent="0.25">
      <c r="A293" s="11" t="s">
        <v>61</v>
      </c>
      <c r="B293" s="37" t="s">
        <v>11</v>
      </c>
      <c r="C293" s="37" t="s">
        <v>11</v>
      </c>
      <c r="D293" s="11" t="s">
        <v>15</v>
      </c>
      <c r="E293" s="11">
        <v>2013</v>
      </c>
      <c r="F293" s="44">
        <v>287.6537044946802</v>
      </c>
      <c r="G293" s="38"/>
      <c r="H293" s="38"/>
      <c r="I293" s="38"/>
      <c r="J293" s="3">
        <v>235.35303095019287</v>
      </c>
      <c r="K293" s="3">
        <v>339.95437803916747</v>
      </c>
      <c r="M293" s="1"/>
      <c r="O293" s="9"/>
    </row>
    <row r="294" spans="1:15" x14ac:dyDescent="0.25">
      <c r="A294" s="11" t="s">
        <v>61</v>
      </c>
      <c r="B294" s="37" t="s">
        <v>11</v>
      </c>
      <c r="C294" s="37" t="s">
        <v>31</v>
      </c>
      <c r="D294" s="37" t="s">
        <v>11</v>
      </c>
      <c r="E294" s="11">
        <v>2013</v>
      </c>
      <c r="F294" s="44">
        <v>263.61712536621997</v>
      </c>
      <c r="G294" s="38"/>
      <c r="H294" s="38"/>
      <c r="I294" s="38"/>
      <c r="J294" s="3">
        <v>215.68673893599814</v>
      </c>
      <c r="K294" s="3">
        <v>311.54751179644177</v>
      </c>
      <c r="M294" s="1"/>
      <c r="O294" s="9"/>
    </row>
    <row r="295" spans="1:15" x14ac:dyDescent="0.25">
      <c r="A295" s="11" t="s">
        <v>61</v>
      </c>
      <c r="B295" s="37" t="s">
        <v>11</v>
      </c>
      <c r="C295" s="37" t="s">
        <v>19</v>
      </c>
      <c r="D295" s="37" t="s">
        <v>11</v>
      </c>
      <c r="E295" s="11">
        <v>2013</v>
      </c>
      <c r="F295" s="44">
        <v>1247.6001476212507</v>
      </c>
      <c r="G295" s="38"/>
      <c r="H295" s="38"/>
      <c r="I295" s="38"/>
      <c r="J295" s="3">
        <v>1020.7637571446597</v>
      </c>
      <c r="K295" s="3">
        <v>1474.4365380978418</v>
      </c>
      <c r="M295" s="1"/>
      <c r="O295" s="9"/>
    </row>
    <row r="296" spans="1:15" x14ac:dyDescent="0.25">
      <c r="A296" s="11" t="s">
        <v>61</v>
      </c>
      <c r="B296" s="37" t="s">
        <v>11</v>
      </c>
      <c r="C296" s="37" t="s">
        <v>20</v>
      </c>
      <c r="D296" s="37" t="s">
        <v>11</v>
      </c>
      <c r="E296" s="11">
        <v>2013</v>
      </c>
      <c r="F296" s="44">
        <v>131.97399243247943</v>
      </c>
      <c r="G296" s="38"/>
      <c r="H296" s="38"/>
      <c r="I296" s="38"/>
      <c r="J296" s="3">
        <v>107.97872108111955</v>
      </c>
      <c r="K296" s="3">
        <v>155.96926378383932</v>
      </c>
      <c r="M296" s="1"/>
      <c r="O296" s="9"/>
    </row>
    <row r="297" spans="1:15" x14ac:dyDescent="0.25">
      <c r="A297" s="11" t="s">
        <v>61</v>
      </c>
      <c r="B297" s="37" t="s">
        <v>24</v>
      </c>
      <c r="C297" s="37" t="s">
        <v>11</v>
      </c>
      <c r="D297" s="37" t="s">
        <v>11</v>
      </c>
      <c r="E297" s="11">
        <v>2013</v>
      </c>
      <c r="F297" s="44">
        <v>1181.0571646107912</v>
      </c>
      <c r="G297" s="38"/>
      <c r="H297" s="38"/>
      <c r="I297" s="38"/>
      <c r="J297" s="3">
        <v>966.31949831792008</v>
      </c>
      <c r="K297" s="3">
        <v>1395.7948309036622</v>
      </c>
      <c r="M297" s="1"/>
    </row>
    <row r="298" spans="1:15" x14ac:dyDescent="0.25">
      <c r="A298" s="11" t="s">
        <v>61</v>
      </c>
      <c r="B298" s="11" t="s">
        <v>11</v>
      </c>
      <c r="C298" s="37" t="s">
        <v>11</v>
      </c>
      <c r="D298" s="11" t="s">
        <v>11</v>
      </c>
      <c r="E298" s="11">
        <v>2014</v>
      </c>
      <c r="F298" s="44">
        <f>F299+F300</f>
        <v>1519.6451559452946</v>
      </c>
      <c r="G298" s="38"/>
      <c r="H298" s="38"/>
      <c r="I298" s="38"/>
      <c r="J298" s="3">
        <f>J299+J300</f>
        <v>1157.8248807202244</v>
      </c>
      <c r="K298" s="3">
        <f>K299+K300</f>
        <v>1809.1013761253507</v>
      </c>
      <c r="M298" s="1"/>
    </row>
    <row r="299" spans="1:15" x14ac:dyDescent="0.25">
      <c r="A299" s="37" t="s">
        <v>61</v>
      </c>
      <c r="B299" s="37" t="s">
        <v>11</v>
      </c>
      <c r="C299" s="37" t="s">
        <v>11</v>
      </c>
      <c r="D299" s="37" t="s">
        <v>12</v>
      </c>
      <c r="E299" s="37">
        <v>2014</v>
      </c>
      <c r="F299" s="44">
        <v>1258.6648519492805</v>
      </c>
      <c r="G299" s="38"/>
      <c r="H299" s="38"/>
      <c r="I299" s="38"/>
      <c r="J299" s="1">
        <v>958.98274434230893</v>
      </c>
      <c r="K299" s="1">
        <v>1498.4105380348576</v>
      </c>
      <c r="M299" s="1"/>
    </row>
    <row r="300" spans="1:15" x14ac:dyDescent="0.25">
      <c r="A300" s="37" t="s">
        <v>61</v>
      </c>
      <c r="B300" s="37" t="s">
        <v>11</v>
      </c>
      <c r="C300" s="37" t="s">
        <v>11</v>
      </c>
      <c r="D300" s="37" t="s">
        <v>15</v>
      </c>
      <c r="E300" s="37">
        <v>2014</v>
      </c>
      <c r="F300" s="44">
        <v>260.98030399601413</v>
      </c>
      <c r="G300" s="38"/>
      <c r="H300" s="38"/>
      <c r="I300" s="38"/>
      <c r="J300" s="1">
        <v>198.84213637791552</v>
      </c>
      <c r="K300" s="1">
        <v>310.690838090493</v>
      </c>
      <c r="M300" s="1"/>
    </row>
    <row r="301" spans="1:15" x14ac:dyDescent="0.25">
      <c r="A301" s="37" t="s">
        <v>61</v>
      </c>
      <c r="B301" s="37" t="s">
        <v>11</v>
      </c>
      <c r="C301" s="37" t="s">
        <v>31</v>
      </c>
      <c r="D301" s="37" t="s">
        <v>11</v>
      </c>
      <c r="E301" s="37">
        <v>2014</v>
      </c>
      <c r="F301" s="44">
        <v>270.22763760217208</v>
      </c>
      <c r="G301" s="38"/>
      <c r="H301" s="38"/>
      <c r="I301" s="38"/>
      <c r="J301" s="1">
        <v>205.88772388736922</v>
      </c>
      <c r="K301" s="1">
        <v>321.69956857401439</v>
      </c>
      <c r="M301" s="1"/>
    </row>
    <row r="302" spans="1:15" x14ac:dyDescent="0.25">
      <c r="A302" s="37" t="s">
        <v>61</v>
      </c>
      <c r="B302" s="37" t="s">
        <v>11</v>
      </c>
      <c r="C302" s="37" t="s">
        <v>19</v>
      </c>
      <c r="D302" s="37" t="s">
        <v>11</v>
      </c>
      <c r="E302" s="37">
        <v>2014</v>
      </c>
      <c r="F302" s="44">
        <v>1133.3121075102504</v>
      </c>
      <c r="G302" s="38"/>
      <c r="H302" s="38"/>
      <c r="I302" s="38"/>
      <c r="J302" s="1">
        <v>863.47589143638129</v>
      </c>
      <c r="K302" s="1">
        <v>1349.1810803693456</v>
      </c>
      <c r="M302" s="1"/>
    </row>
    <row r="303" spans="1:15" x14ac:dyDescent="0.25">
      <c r="A303" s="37" t="s">
        <v>61</v>
      </c>
      <c r="B303" s="37" t="s">
        <v>11</v>
      </c>
      <c r="C303" s="37" t="s">
        <v>20</v>
      </c>
      <c r="D303" s="37" t="s">
        <v>11</v>
      </c>
      <c r="E303" s="37">
        <v>2014</v>
      </c>
      <c r="F303" s="44">
        <v>116.10541083287244</v>
      </c>
      <c r="G303" s="38"/>
      <c r="H303" s="38"/>
      <c r="I303" s="38"/>
      <c r="J303" s="1">
        <v>88.461265396474246</v>
      </c>
      <c r="K303" s="1">
        <v>138.22072718199101</v>
      </c>
      <c r="M303" s="1"/>
    </row>
    <row r="304" spans="1:15" x14ac:dyDescent="0.25">
      <c r="A304" s="37" t="s">
        <v>61</v>
      </c>
      <c r="B304" s="37" t="s">
        <v>24</v>
      </c>
      <c r="C304" s="37" t="s">
        <v>11</v>
      </c>
      <c r="D304" s="37" t="s">
        <v>11</v>
      </c>
      <c r="E304" s="37">
        <v>2014</v>
      </c>
      <c r="F304" s="44">
        <v>1099.4052176210046</v>
      </c>
      <c r="G304" s="38"/>
      <c r="H304" s="38"/>
      <c r="I304" s="38"/>
      <c r="J304" s="1">
        <v>837.64207056838438</v>
      </c>
      <c r="K304" s="1">
        <v>1308.8157352631006</v>
      </c>
    </row>
    <row r="305" spans="1:13" x14ac:dyDescent="0.25">
      <c r="A305" s="11" t="s">
        <v>61</v>
      </c>
      <c r="B305" s="11" t="s">
        <v>11</v>
      </c>
      <c r="C305" s="37" t="s">
        <v>11</v>
      </c>
      <c r="D305" s="11" t="s">
        <v>11</v>
      </c>
      <c r="E305" s="11">
        <v>2015</v>
      </c>
      <c r="F305" s="44">
        <f>F306+F307</f>
        <v>1709.8919052112251</v>
      </c>
      <c r="G305" s="38"/>
      <c r="H305" s="38"/>
      <c r="I305" s="38"/>
      <c r="J305" s="3">
        <f>J306+J307</f>
        <v>1282.4189289084188</v>
      </c>
      <c r="K305" s="3">
        <f>K306+K307</f>
        <v>2066.1193854635635</v>
      </c>
    </row>
    <row r="306" spans="1:13" x14ac:dyDescent="0.25">
      <c r="A306" s="37" t="s">
        <v>61</v>
      </c>
      <c r="B306" s="37" t="s">
        <v>11</v>
      </c>
      <c r="C306" s="37" t="s">
        <v>11</v>
      </c>
      <c r="D306" s="37" t="s">
        <v>12</v>
      </c>
      <c r="E306" s="37">
        <v>2015</v>
      </c>
      <c r="F306" s="44">
        <v>1420.9017495437683</v>
      </c>
      <c r="G306" s="38"/>
      <c r="H306" s="38"/>
      <c r="I306" s="38"/>
      <c r="J306" s="1">
        <v>1065.6763121578263</v>
      </c>
      <c r="K306" s="1">
        <v>1716.9229473653868</v>
      </c>
    </row>
    <row r="307" spans="1:13" x14ac:dyDescent="0.25">
      <c r="A307" s="37" t="s">
        <v>61</v>
      </c>
      <c r="B307" s="37" t="s">
        <v>11</v>
      </c>
      <c r="C307" s="37" t="s">
        <v>11</v>
      </c>
      <c r="D307" s="37" t="s">
        <v>15</v>
      </c>
      <c r="E307" s="37">
        <v>2015</v>
      </c>
      <c r="F307" s="44">
        <v>288.99015566745669</v>
      </c>
      <c r="G307" s="38"/>
      <c r="H307" s="38"/>
      <c r="I307" s="38"/>
      <c r="J307" s="1">
        <v>216.74261675059253</v>
      </c>
      <c r="K307" s="1">
        <v>349.19643809817683</v>
      </c>
    </row>
    <row r="308" spans="1:13" x14ac:dyDescent="0.25">
      <c r="A308" s="37" t="s">
        <v>61</v>
      </c>
      <c r="B308" s="37" t="s">
        <v>11</v>
      </c>
      <c r="C308" s="37" t="s">
        <v>31</v>
      </c>
      <c r="D308" s="37" t="s">
        <v>11</v>
      </c>
      <c r="E308" s="37">
        <v>2015</v>
      </c>
      <c r="F308" s="44">
        <v>204.88923508640309</v>
      </c>
      <c r="G308" s="38"/>
      <c r="H308" s="38"/>
      <c r="I308" s="38"/>
      <c r="J308" s="1">
        <v>153.66692631480231</v>
      </c>
      <c r="K308" s="1">
        <v>247.57449239607038</v>
      </c>
    </row>
    <row r="309" spans="1:13" x14ac:dyDescent="0.25">
      <c r="A309" s="37" t="s">
        <v>61</v>
      </c>
      <c r="B309" s="37" t="s">
        <v>11</v>
      </c>
      <c r="C309" s="37" t="s">
        <v>19</v>
      </c>
      <c r="D309" s="37" t="s">
        <v>11</v>
      </c>
      <c r="E309" s="37">
        <v>2015</v>
      </c>
      <c r="F309" s="44">
        <v>1355.5463785600932</v>
      </c>
      <c r="G309" s="38"/>
      <c r="H309" s="38"/>
      <c r="I309" s="38"/>
      <c r="J309" s="1">
        <v>1016.65978392007</v>
      </c>
      <c r="K309" s="1">
        <v>1637.9518740934459</v>
      </c>
    </row>
    <row r="310" spans="1:13" x14ac:dyDescent="0.25">
      <c r="A310" s="37" t="s">
        <v>61</v>
      </c>
      <c r="B310" s="37" t="s">
        <v>11</v>
      </c>
      <c r="C310" s="37" t="s">
        <v>20</v>
      </c>
      <c r="D310" s="37" t="s">
        <v>11</v>
      </c>
      <c r="E310" s="37">
        <v>2015</v>
      </c>
      <c r="F310" s="44">
        <v>149.45629156472864</v>
      </c>
      <c r="G310" s="38"/>
      <c r="H310" s="38"/>
      <c r="I310" s="38"/>
      <c r="J310" s="1">
        <v>112.09221867354648</v>
      </c>
      <c r="K310" s="1">
        <v>180.59301897404711</v>
      </c>
    </row>
    <row r="311" spans="1:13" x14ac:dyDescent="0.25">
      <c r="A311" s="37" t="s">
        <v>61</v>
      </c>
      <c r="B311" s="37" t="s">
        <v>24</v>
      </c>
      <c r="C311" s="37" t="s">
        <v>11</v>
      </c>
      <c r="D311" s="37" t="s">
        <v>11</v>
      </c>
      <c r="E311" s="37">
        <v>2015</v>
      </c>
      <c r="F311" s="44">
        <v>1226.1237539014598</v>
      </c>
      <c r="G311" s="38"/>
      <c r="H311" s="38"/>
      <c r="I311" s="38"/>
      <c r="J311" s="1">
        <v>919.59281542609506</v>
      </c>
      <c r="K311" s="1">
        <v>1481.5662026309308</v>
      </c>
    </row>
    <row r="313" spans="1:13" x14ac:dyDescent="0.25">
      <c r="M313" s="21"/>
    </row>
    <row r="322" spans="1:12" x14ac:dyDescent="0.25">
      <c r="A322" s="21"/>
    </row>
    <row r="324" spans="1:12" x14ac:dyDescent="0.25">
      <c r="C324" s="21"/>
      <c r="D324" s="21"/>
      <c r="E324" s="21"/>
      <c r="F324" s="21"/>
      <c r="G324" s="21"/>
      <c r="H324" s="21"/>
      <c r="I324" s="21"/>
      <c r="J324" s="21"/>
      <c r="K324" s="21"/>
      <c r="L324" s="21"/>
    </row>
    <row r="325" spans="1:12" x14ac:dyDescent="0.25">
      <c r="A325" s="21"/>
      <c r="C325" s="1"/>
      <c r="E325" s="1"/>
      <c r="F325" s="1"/>
      <c r="G325" s="1"/>
      <c r="H325" s="1"/>
      <c r="I325" s="1"/>
      <c r="J325" s="1"/>
      <c r="K325" s="1"/>
      <c r="L325" s="1"/>
    </row>
    <row r="326" spans="1:12" x14ac:dyDescent="0.25">
      <c r="A326" s="21"/>
      <c r="C326" s="1"/>
      <c r="E326" s="1"/>
      <c r="F326" s="1"/>
      <c r="G326" s="1"/>
      <c r="H326" s="1"/>
      <c r="I326" s="1"/>
      <c r="J326" s="1"/>
      <c r="K326" s="1"/>
      <c r="L326" s="1"/>
    </row>
    <row r="327" spans="1:12" x14ac:dyDescent="0.25">
      <c r="A327" s="21"/>
      <c r="C327" s="1"/>
      <c r="E327" s="1"/>
      <c r="F327" s="1"/>
      <c r="G327" s="1"/>
      <c r="H327" s="1"/>
      <c r="I327" s="1"/>
      <c r="J327" s="1"/>
      <c r="K327" s="1"/>
      <c r="L327" s="1"/>
    </row>
    <row r="328" spans="1:12" x14ac:dyDescent="0.25">
      <c r="A328" s="21"/>
      <c r="C328" s="1"/>
      <c r="E328" s="1"/>
      <c r="F328" s="1"/>
      <c r="G328" s="1"/>
      <c r="H328" s="1"/>
      <c r="I328" s="1"/>
      <c r="J328" s="1"/>
      <c r="K328" s="1"/>
      <c r="L328" s="1"/>
    </row>
    <row r="329" spans="1:12" x14ac:dyDescent="0.25">
      <c r="A329" s="21"/>
      <c r="C329" s="1"/>
      <c r="E329" s="1"/>
      <c r="F329" s="1"/>
      <c r="G329" s="1"/>
      <c r="H329" s="1"/>
      <c r="I329" s="1"/>
      <c r="J329" s="1"/>
      <c r="K329" s="1"/>
      <c r="L329" s="1"/>
    </row>
    <row r="330" spans="1:12" x14ac:dyDescent="0.25">
      <c r="A330" s="21"/>
      <c r="C330" s="1"/>
      <c r="E330" s="1"/>
      <c r="F330" s="1"/>
      <c r="G330" s="1"/>
      <c r="H330" s="1"/>
      <c r="I330" s="1"/>
      <c r="J330" s="1"/>
      <c r="K330" s="1"/>
      <c r="L330" s="1"/>
    </row>
    <row r="331" spans="1:12" x14ac:dyDescent="0.25">
      <c r="A331" s="21"/>
      <c r="C331" s="1"/>
      <c r="E331" s="1"/>
      <c r="F331" s="1"/>
      <c r="G331" s="1"/>
      <c r="H331" s="1"/>
      <c r="I331" s="1"/>
      <c r="J331" s="1"/>
      <c r="K331" s="1"/>
      <c r="L331" s="1"/>
    </row>
    <row r="332" spans="1:12" x14ac:dyDescent="0.25">
      <c r="A332" s="21"/>
      <c r="C332" s="1"/>
      <c r="E332" s="1"/>
      <c r="F332" s="1"/>
      <c r="G332" s="1"/>
      <c r="H332" s="1"/>
      <c r="I332" s="1"/>
      <c r="J332" s="1"/>
      <c r="K332" s="1"/>
      <c r="L332" s="1"/>
    </row>
    <row r="333" spans="1:12" x14ac:dyDescent="0.25">
      <c r="A333" s="21"/>
      <c r="C333" s="1"/>
      <c r="E333" s="1"/>
      <c r="F333" s="1"/>
      <c r="G333" s="1"/>
      <c r="H333" s="1"/>
      <c r="I333" s="1"/>
      <c r="J333" s="1"/>
      <c r="K333" s="1"/>
      <c r="L333" s="1"/>
    </row>
    <row r="334" spans="1:12" x14ac:dyDescent="0.25">
      <c r="A334" s="21"/>
      <c r="C334" s="1"/>
      <c r="E334" s="1"/>
      <c r="F334" s="1"/>
      <c r="G334" s="1"/>
      <c r="H334" s="1"/>
      <c r="I334" s="1"/>
      <c r="J334" s="1"/>
      <c r="K334" s="1"/>
      <c r="L334" s="1"/>
    </row>
    <row r="335" spans="1:12" x14ac:dyDescent="0.25">
      <c r="A335" s="21"/>
      <c r="C335" s="1"/>
      <c r="E335" s="1"/>
      <c r="F335" s="1"/>
      <c r="G335" s="1"/>
      <c r="H335" s="1"/>
      <c r="I335" s="1"/>
      <c r="J335" s="1"/>
      <c r="K335" s="1"/>
      <c r="L335" s="1"/>
    </row>
    <row r="336" spans="1:12" x14ac:dyDescent="0.25">
      <c r="A336" s="21"/>
      <c r="C336" s="1"/>
      <c r="E336" s="1"/>
    </row>
    <row r="337" spans="1:12" x14ac:dyDescent="0.25">
      <c r="A337" s="21"/>
      <c r="C337" s="1"/>
      <c r="E337" s="1"/>
    </row>
    <row r="338" spans="1:12" x14ac:dyDescent="0.25">
      <c r="A338" s="21"/>
      <c r="C338" s="1"/>
      <c r="E338" s="1"/>
    </row>
    <row r="339" spans="1:12" x14ac:dyDescent="0.25">
      <c r="A339" s="21"/>
      <c r="C339" s="1"/>
      <c r="E339" s="1"/>
    </row>
    <row r="340" spans="1:12" x14ac:dyDescent="0.25">
      <c r="A340" s="21"/>
      <c r="C340" s="1"/>
      <c r="E340" s="1"/>
    </row>
    <row r="341" spans="1:12" x14ac:dyDescent="0.25">
      <c r="A341" s="21"/>
      <c r="C341" s="1"/>
      <c r="E341" s="1"/>
    </row>
    <row r="344" spans="1:12" x14ac:dyDescent="0.25">
      <c r="B344" s="25"/>
      <c r="C344" s="21"/>
      <c r="D344" s="21"/>
      <c r="E344" s="21"/>
      <c r="F344" s="21"/>
      <c r="G344" s="21"/>
      <c r="H344" s="21"/>
      <c r="I344" s="21"/>
      <c r="J344" s="21"/>
      <c r="K344" s="21"/>
      <c r="L344" s="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1"/>
  <sheetViews>
    <sheetView zoomScale="80" zoomScaleNormal="80" workbookViewId="0">
      <pane ySplit="1" topLeftCell="A277" activePane="bottomLeft" state="frozen"/>
      <selection activeCell="E872" sqref="E872"/>
      <selection pane="bottomLeft" activeCell="H317" sqref="H317"/>
    </sheetView>
  </sheetViews>
  <sheetFormatPr defaultRowHeight="15" x14ac:dyDescent="0.25"/>
  <cols>
    <col min="1" max="1" width="31.85546875" style="37" customWidth="1"/>
    <col min="2" max="2" width="15.140625" style="37" customWidth="1"/>
    <col min="3" max="3" width="18.28515625" style="37" customWidth="1"/>
    <col min="4" max="4" width="13.85546875" style="37" customWidth="1"/>
    <col min="5" max="5" width="9.140625" style="37"/>
    <col min="6" max="9" width="13.28515625" style="37" customWidth="1"/>
    <col min="10" max="10" width="10.7109375" style="37" customWidth="1"/>
    <col min="11" max="11" width="17.7109375" style="37" customWidth="1"/>
    <col min="12" max="13" width="9.140625" style="37"/>
    <col min="14" max="14" width="97.5703125" style="37" customWidth="1"/>
    <col min="15" max="15" width="9.85546875" style="37" customWidth="1"/>
    <col min="16" max="16" width="10.5703125" style="37" customWidth="1"/>
    <col min="17" max="16384" width="9.140625" style="37"/>
  </cols>
  <sheetData>
    <row r="1" spans="1:14" x14ac:dyDescent="0.25">
      <c r="A1" s="37" t="s">
        <v>0</v>
      </c>
      <c r="B1" s="37" t="s">
        <v>1</v>
      </c>
      <c r="C1" s="37" t="s">
        <v>2</v>
      </c>
      <c r="D1" s="37" t="s">
        <v>3</v>
      </c>
      <c r="E1" s="37" t="s">
        <v>4</v>
      </c>
      <c r="F1" s="43" t="s">
        <v>55</v>
      </c>
      <c r="G1" s="64" t="s">
        <v>72</v>
      </c>
      <c r="H1" s="64" t="s">
        <v>73</v>
      </c>
      <c r="I1" s="64" t="s">
        <v>74</v>
      </c>
      <c r="J1" s="37" t="s">
        <v>65</v>
      </c>
      <c r="K1" s="37" t="s">
        <v>58</v>
      </c>
      <c r="N1" s="37" t="s">
        <v>9</v>
      </c>
    </row>
    <row r="2" spans="1:14" x14ac:dyDescent="0.25">
      <c r="A2" s="9" t="s">
        <v>10</v>
      </c>
      <c r="B2" s="9" t="s">
        <v>11</v>
      </c>
      <c r="C2" s="9" t="s">
        <v>11</v>
      </c>
      <c r="D2" s="9" t="s">
        <v>11</v>
      </c>
      <c r="E2" s="9">
        <v>2011</v>
      </c>
      <c r="F2" s="44">
        <f>SUM(F3:F20)</f>
        <v>15568.333333333334</v>
      </c>
      <c r="G2" s="38">
        <v>15569.250899999999</v>
      </c>
      <c r="H2" s="38">
        <v>15329</v>
      </c>
      <c r="I2" s="38">
        <v>15820</v>
      </c>
      <c r="J2" s="24"/>
      <c r="K2" s="9"/>
      <c r="L2" s="9"/>
      <c r="M2" s="9"/>
    </row>
    <row r="3" spans="1:14" x14ac:dyDescent="0.25">
      <c r="A3" s="37" t="s">
        <v>10</v>
      </c>
      <c r="B3" s="37" t="s">
        <v>24</v>
      </c>
      <c r="C3" s="9" t="s">
        <v>31</v>
      </c>
      <c r="D3" s="11" t="s">
        <v>11</v>
      </c>
      <c r="E3" s="37">
        <v>2011</v>
      </c>
      <c r="F3" s="44">
        <f t="shared" ref="F3:F105" si="0">J3*K3</f>
        <v>711.54423488236444</v>
      </c>
      <c r="G3" s="38">
        <v>711.48361481394375</v>
      </c>
      <c r="H3" s="38">
        <v>661.84075636448506</v>
      </c>
      <c r="I3" s="38">
        <v>764.10213174394369</v>
      </c>
      <c r="J3" s="1">
        <v>749.81042193272413</v>
      </c>
      <c r="K3" s="37">
        <v>0.94896551724137934</v>
      </c>
      <c r="N3" s="37" t="s">
        <v>47</v>
      </c>
    </row>
    <row r="4" spans="1:14" x14ac:dyDescent="0.25">
      <c r="A4" s="37" t="s">
        <v>10</v>
      </c>
      <c r="B4" s="37" t="s">
        <v>24</v>
      </c>
      <c r="C4" s="9" t="s">
        <v>19</v>
      </c>
      <c r="D4" s="11" t="s">
        <v>11</v>
      </c>
      <c r="E4" s="37">
        <v>2011</v>
      </c>
      <c r="F4" s="44">
        <f t="shared" si="0"/>
        <v>2561.3064359323348</v>
      </c>
      <c r="G4" s="38">
        <v>2560.8448312216574</v>
      </c>
      <c r="H4" s="38">
        <v>2463.3345979728151</v>
      </c>
      <c r="I4" s="38">
        <v>2660.1740236064779</v>
      </c>
      <c r="J4" s="1">
        <v>2680.0120552206881</v>
      </c>
      <c r="K4" s="37">
        <v>0.95570705771374664</v>
      </c>
      <c r="N4" s="37" t="s">
        <v>48</v>
      </c>
    </row>
    <row r="5" spans="1:14" x14ac:dyDescent="0.25">
      <c r="A5" s="37" t="s">
        <v>10</v>
      </c>
      <c r="B5" s="37" t="s">
        <v>24</v>
      </c>
      <c r="C5" s="9" t="s">
        <v>20</v>
      </c>
      <c r="D5" s="11" t="s">
        <v>11</v>
      </c>
      <c r="E5" s="37">
        <v>2011</v>
      </c>
      <c r="F5" s="44">
        <f t="shared" si="0"/>
        <v>112.50029165856503</v>
      </c>
      <c r="G5" s="38">
        <v>112.58321954521138</v>
      </c>
      <c r="H5" s="38">
        <v>92.745270105971144</v>
      </c>
      <c r="I5" s="38">
        <v>134.48725858102074</v>
      </c>
      <c r="J5" s="1">
        <v>116.17752284658759</v>
      </c>
      <c r="K5" s="37">
        <v>0.96834817012858554</v>
      </c>
    </row>
    <row r="6" spans="1:14" x14ac:dyDescent="0.25">
      <c r="A6" s="37" t="s">
        <v>10</v>
      </c>
      <c r="B6" s="37" t="s">
        <v>26</v>
      </c>
      <c r="C6" s="9" t="s">
        <v>31</v>
      </c>
      <c r="D6" s="11" t="s">
        <v>12</v>
      </c>
      <c r="E6" s="37">
        <v>2011</v>
      </c>
      <c r="F6" s="44">
        <f t="shared" si="0"/>
        <v>582.5191522457709</v>
      </c>
      <c r="G6" s="38">
        <v>582.77055323895729</v>
      </c>
      <c r="H6" s="38">
        <v>536.48542956209337</v>
      </c>
      <c r="I6" s="38">
        <v>630.26440419326343</v>
      </c>
      <c r="J6" s="1">
        <v>613.84649037526731</v>
      </c>
      <c r="K6" s="37">
        <v>0.94896551724137934</v>
      </c>
    </row>
    <row r="7" spans="1:14" x14ac:dyDescent="0.25">
      <c r="A7" s="37" t="s">
        <v>10</v>
      </c>
      <c r="B7" s="37" t="s">
        <v>26</v>
      </c>
      <c r="C7" s="9" t="s">
        <v>19</v>
      </c>
      <c r="D7" s="11" t="s">
        <v>12</v>
      </c>
      <c r="E7" s="37">
        <v>2011</v>
      </c>
      <c r="F7" s="44">
        <f t="shared" si="0"/>
        <v>2096.8619806857218</v>
      </c>
      <c r="G7" s="38">
        <v>2096.6023354425506</v>
      </c>
      <c r="H7" s="38">
        <v>2006.8831667934753</v>
      </c>
      <c r="I7" s="38">
        <v>2188.5681517667335</v>
      </c>
      <c r="J7" s="1">
        <v>2194.0425821504959</v>
      </c>
      <c r="K7" s="37">
        <v>0.95570705771374664</v>
      </c>
    </row>
    <row r="8" spans="1:14" x14ac:dyDescent="0.25">
      <c r="A8" s="37" t="s">
        <v>10</v>
      </c>
      <c r="B8" s="37" t="s">
        <v>26</v>
      </c>
      <c r="C8" s="9" t="s">
        <v>20</v>
      </c>
      <c r="D8" s="11" t="s">
        <v>12</v>
      </c>
      <c r="E8" s="37">
        <v>2011</v>
      </c>
      <c r="F8" s="44">
        <f t="shared" si="0"/>
        <v>92.100492578909851</v>
      </c>
      <c r="G8" s="38">
        <v>92.058849334126776</v>
      </c>
      <c r="H8" s="38">
        <v>74.090729106714193</v>
      </c>
      <c r="I8" s="38">
        <v>111.58330242849802</v>
      </c>
      <c r="J8" s="1">
        <v>95.110927474236831</v>
      </c>
      <c r="K8" s="37">
        <v>0.96834817012858554</v>
      </c>
    </row>
    <row r="9" spans="1:14" x14ac:dyDescent="0.25">
      <c r="A9" s="37" t="s">
        <v>10</v>
      </c>
      <c r="B9" s="37" t="s">
        <v>26</v>
      </c>
      <c r="C9" s="9" t="s">
        <v>31</v>
      </c>
      <c r="D9" s="37" t="s">
        <v>15</v>
      </c>
      <c r="E9" s="37">
        <v>2011</v>
      </c>
      <c r="F9" s="44">
        <f t="shared" si="0"/>
        <v>218.4112772271684</v>
      </c>
      <c r="G9" s="38">
        <v>218.79339501057839</v>
      </c>
      <c r="H9" s="38">
        <v>190.68479202312338</v>
      </c>
      <c r="I9" s="38">
        <v>249.00272758956447</v>
      </c>
      <c r="J9" s="1">
        <v>226.55215857550817</v>
      </c>
      <c r="K9" s="37">
        <v>0.96406619385342784</v>
      </c>
    </row>
    <row r="10" spans="1:14" x14ac:dyDescent="0.25">
      <c r="A10" s="37" t="s">
        <v>10</v>
      </c>
      <c r="B10" s="37" t="s">
        <v>26</v>
      </c>
      <c r="C10" s="9" t="s">
        <v>19</v>
      </c>
      <c r="D10" s="37" t="s">
        <v>15</v>
      </c>
      <c r="E10" s="37">
        <v>2011</v>
      </c>
      <c r="F10" s="44">
        <f t="shared" si="0"/>
        <v>1591.435186740579</v>
      </c>
      <c r="G10" s="38">
        <v>1591.5099686689452</v>
      </c>
      <c r="H10" s="38">
        <v>1515.2525636109378</v>
      </c>
      <c r="I10" s="38">
        <v>1671.1351874122904</v>
      </c>
      <c r="J10" s="1">
        <v>1647.8857718797244</v>
      </c>
      <c r="K10" s="37">
        <v>0.96574362974518979</v>
      </c>
    </row>
    <row r="11" spans="1:14" x14ac:dyDescent="0.25">
      <c r="A11" s="37" t="s">
        <v>10</v>
      </c>
      <c r="B11" s="37" t="s">
        <v>26</v>
      </c>
      <c r="C11" s="9" t="s">
        <v>20</v>
      </c>
      <c r="D11" s="37" t="s">
        <v>15</v>
      </c>
      <c r="E11" s="37">
        <v>2011</v>
      </c>
      <c r="F11" s="44">
        <f t="shared" si="0"/>
        <v>37.383784086455002</v>
      </c>
      <c r="G11" s="38">
        <v>37.347860758072144</v>
      </c>
      <c r="H11" s="38">
        <v>26.307496831092848</v>
      </c>
      <c r="I11" s="38">
        <v>50.31518220706333</v>
      </c>
      <c r="J11" s="1">
        <v>38.56206954476734</v>
      </c>
      <c r="K11" s="37">
        <v>0.96944444444444444</v>
      </c>
    </row>
    <row r="12" spans="1:14" x14ac:dyDescent="0.25">
      <c r="A12" s="37" t="s">
        <v>10</v>
      </c>
      <c r="B12" s="37" t="s">
        <v>27</v>
      </c>
      <c r="C12" s="9" t="s">
        <v>31</v>
      </c>
      <c r="D12" s="11" t="s">
        <v>11</v>
      </c>
      <c r="E12" s="37">
        <v>2011</v>
      </c>
      <c r="F12" s="44">
        <f t="shared" si="0"/>
        <v>102.53781839393351</v>
      </c>
      <c r="G12" s="38">
        <v>102.5132446203031</v>
      </c>
      <c r="H12" s="38">
        <v>84.074767994371257</v>
      </c>
      <c r="I12" s="38">
        <v>123.45519101668023</v>
      </c>
      <c r="J12" s="1">
        <v>108.05220688314213</v>
      </c>
      <c r="K12" s="37">
        <v>0.94896551724137934</v>
      </c>
    </row>
    <row r="13" spans="1:14" x14ac:dyDescent="0.25">
      <c r="A13" s="37" t="s">
        <v>10</v>
      </c>
      <c r="B13" s="37" t="s">
        <v>27</v>
      </c>
      <c r="C13" s="9" t="s">
        <v>19</v>
      </c>
      <c r="D13" s="11" t="s">
        <v>11</v>
      </c>
      <c r="E13" s="37">
        <v>2011</v>
      </c>
      <c r="F13" s="44">
        <f t="shared" si="0"/>
        <v>369.09971482273642</v>
      </c>
      <c r="G13" s="38">
        <v>368.81049801166614</v>
      </c>
      <c r="H13" s="38">
        <v>331.96330465648475</v>
      </c>
      <c r="I13" s="38">
        <v>406.93583572925434</v>
      </c>
      <c r="J13" s="1">
        <v>386.20591094691815</v>
      </c>
      <c r="K13" s="37">
        <v>0.95570705771374664</v>
      </c>
    </row>
    <row r="14" spans="1:14" x14ac:dyDescent="0.25">
      <c r="A14" s="37" t="s">
        <v>10</v>
      </c>
      <c r="B14" s="37" t="s">
        <v>27</v>
      </c>
      <c r="C14" s="9" t="s">
        <v>20</v>
      </c>
      <c r="D14" s="11" t="s">
        <v>11</v>
      </c>
      <c r="E14" s="37">
        <v>2011</v>
      </c>
      <c r="F14" s="44">
        <f t="shared" si="0"/>
        <v>16.211970963769527</v>
      </c>
      <c r="G14" s="38">
        <v>16.220968412834353</v>
      </c>
      <c r="H14" s="38">
        <v>9.3570554251329181</v>
      </c>
      <c r="I14" s="38">
        <v>25.300699608730657</v>
      </c>
      <c r="J14" s="1">
        <v>16.741882169939725</v>
      </c>
      <c r="K14" s="37">
        <v>0.96834817012858554</v>
      </c>
    </row>
    <row r="15" spans="1:14" x14ac:dyDescent="0.25">
      <c r="A15" s="37" t="s">
        <v>10</v>
      </c>
      <c r="B15" s="37" t="s">
        <v>28</v>
      </c>
      <c r="C15" s="37" t="s">
        <v>31</v>
      </c>
      <c r="D15" s="37" t="s">
        <v>12</v>
      </c>
      <c r="E15" s="37">
        <v>2011</v>
      </c>
      <c r="F15" s="44">
        <f t="shared" si="0"/>
        <v>667.39879447793112</v>
      </c>
      <c r="G15" s="38">
        <v>667.19958428264908</v>
      </c>
      <c r="H15" s="38">
        <v>617.27197016807713</v>
      </c>
      <c r="I15" s="38">
        <v>718.96916379874096</v>
      </c>
      <c r="J15" s="1">
        <v>703.2908808088664</v>
      </c>
      <c r="K15" s="37">
        <v>0.94896551724137934</v>
      </c>
    </row>
    <row r="16" spans="1:14" x14ac:dyDescent="0.25">
      <c r="A16" s="37" t="s">
        <v>10</v>
      </c>
      <c r="B16" s="37" t="s">
        <v>28</v>
      </c>
      <c r="C16" s="37" t="s">
        <v>19</v>
      </c>
      <c r="D16" s="37" t="s">
        <v>12</v>
      </c>
      <c r="E16" s="37">
        <v>2011</v>
      </c>
      <c r="F16" s="44">
        <f t="shared" si="0"/>
        <v>2402.3985352258733</v>
      </c>
      <c r="G16" s="38">
        <v>2404.014530821074</v>
      </c>
      <c r="H16" s="38">
        <v>2308.0878276435906</v>
      </c>
      <c r="I16" s="38">
        <v>2498.6492083988596</v>
      </c>
      <c r="J16" s="1">
        <v>2513.7394516818977</v>
      </c>
      <c r="K16" s="37">
        <v>0.95570705771374664</v>
      </c>
    </row>
    <row r="17" spans="1:15" x14ac:dyDescent="0.25">
      <c r="A17" s="37" t="s">
        <v>10</v>
      </c>
      <c r="B17" s="37" t="s">
        <v>28</v>
      </c>
      <c r="C17" s="37" t="s">
        <v>20</v>
      </c>
      <c r="D17" s="37" t="s">
        <v>12</v>
      </c>
      <c r="E17" s="37">
        <v>2011</v>
      </c>
      <c r="F17" s="44">
        <f t="shared" si="0"/>
        <v>105.52057813208893</v>
      </c>
      <c r="G17" s="38">
        <v>105.44166020712743</v>
      </c>
      <c r="H17" s="38">
        <v>86.213198804704831</v>
      </c>
      <c r="I17" s="38">
        <v>126.08743009647647</v>
      </c>
      <c r="J17" s="1">
        <v>108.96966750923586</v>
      </c>
      <c r="K17" s="37">
        <v>0.96834817012858554</v>
      </c>
    </row>
    <row r="18" spans="1:15" x14ac:dyDescent="0.25">
      <c r="A18" s="37" t="s">
        <v>10</v>
      </c>
      <c r="B18" s="37" t="s">
        <v>28</v>
      </c>
      <c r="C18" s="37" t="s">
        <v>31</v>
      </c>
      <c r="D18" s="37" t="s">
        <v>15</v>
      </c>
      <c r="E18" s="37">
        <v>2011</v>
      </c>
      <c r="F18" s="44">
        <f t="shared" si="0"/>
        <v>461.25538943949829</v>
      </c>
      <c r="G18" s="38">
        <v>460.9000585627262</v>
      </c>
      <c r="H18" s="38">
        <v>419.30925154948494</v>
      </c>
      <c r="I18" s="38">
        <v>504.04159330053523</v>
      </c>
      <c r="J18" s="1">
        <v>478.44784142449186</v>
      </c>
      <c r="K18" s="37">
        <v>0.96406619385342784</v>
      </c>
    </row>
    <row r="19" spans="1:15" x14ac:dyDescent="0.25">
      <c r="A19" s="37" t="s">
        <v>10</v>
      </c>
      <c r="B19" s="37" t="s">
        <v>28</v>
      </c>
      <c r="C19" s="37" t="s">
        <v>19</v>
      </c>
      <c r="D19" s="37" t="s">
        <v>15</v>
      </c>
      <c r="E19" s="37">
        <v>2011</v>
      </c>
      <c r="F19" s="44">
        <f t="shared" si="0"/>
        <v>3360.8981465927541</v>
      </c>
      <c r="G19" s="38">
        <v>3361.1360577091505</v>
      </c>
      <c r="H19" s="38">
        <v>3248.3262198654015</v>
      </c>
      <c r="I19" s="38">
        <v>3476.4610080747143</v>
      </c>
      <c r="J19" s="1">
        <v>3480.1142281202751</v>
      </c>
      <c r="K19" s="37">
        <v>0.96574362974518979</v>
      </c>
    </row>
    <row r="20" spans="1:15" ht="15.75" thickBot="1" x14ac:dyDescent="0.3">
      <c r="A20" s="6" t="s">
        <v>10</v>
      </c>
      <c r="B20" s="6" t="s">
        <v>28</v>
      </c>
      <c r="C20" s="6" t="s">
        <v>20</v>
      </c>
      <c r="D20" s="6" t="s">
        <v>15</v>
      </c>
      <c r="E20" s="6">
        <v>2011</v>
      </c>
      <c r="F20" s="45">
        <f t="shared" si="0"/>
        <v>78.94954924687832</v>
      </c>
      <c r="G20" s="65">
        <v>79.019669338426112</v>
      </c>
      <c r="H20" s="65">
        <v>62.581326106234734</v>
      </c>
      <c r="I20" s="65">
        <v>97.399060600083303</v>
      </c>
      <c r="J20" s="42">
        <v>81.437930455232646</v>
      </c>
      <c r="K20" s="6">
        <v>0.96944444444444444</v>
      </c>
      <c r="L20" s="6"/>
      <c r="M20" s="6"/>
      <c r="N20" s="6"/>
    </row>
    <row r="21" spans="1:15" x14ac:dyDescent="0.25">
      <c r="A21" s="9" t="s">
        <v>10</v>
      </c>
      <c r="B21" s="9" t="s">
        <v>11</v>
      </c>
      <c r="C21" s="9" t="s">
        <v>11</v>
      </c>
      <c r="D21" s="9" t="s">
        <v>11</v>
      </c>
      <c r="E21" s="9">
        <v>2012</v>
      </c>
      <c r="F21" s="44">
        <f>SUM(F22:F24,F26:F31,F33:F41)</f>
        <v>16807</v>
      </c>
      <c r="G21" s="38">
        <v>16808.409500000002</v>
      </c>
      <c r="H21" s="38">
        <v>16552</v>
      </c>
      <c r="I21" s="38">
        <v>17067</v>
      </c>
      <c r="J21" s="24"/>
      <c r="K21" s="9"/>
      <c r="L21" s="9"/>
      <c r="M21" s="9"/>
      <c r="N21" s="9"/>
    </row>
    <row r="22" spans="1:15" x14ac:dyDescent="0.25">
      <c r="A22" s="9" t="s">
        <v>10</v>
      </c>
      <c r="B22" s="9" t="s">
        <v>24</v>
      </c>
      <c r="C22" s="9" t="s">
        <v>31</v>
      </c>
      <c r="D22" s="9" t="s">
        <v>11</v>
      </c>
      <c r="E22" s="9">
        <v>2012</v>
      </c>
      <c r="F22" s="44">
        <f t="shared" si="0"/>
        <v>860.50631785015116</v>
      </c>
      <c r="G22" s="38">
        <v>860.66026442879127</v>
      </c>
      <c r="H22" s="38">
        <v>802.93906627818615</v>
      </c>
      <c r="I22" s="38">
        <v>919.73894286892983</v>
      </c>
      <c r="J22" s="24">
        <v>909.95639793557564</v>
      </c>
      <c r="K22" s="9">
        <v>0.94565664882667766</v>
      </c>
      <c r="L22" s="9"/>
      <c r="M22" s="9"/>
      <c r="O22" s="9"/>
    </row>
    <row r="23" spans="1:15" x14ac:dyDescent="0.25">
      <c r="A23" s="9" t="s">
        <v>10</v>
      </c>
      <c r="B23" s="9" t="s">
        <v>24</v>
      </c>
      <c r="C23" s="9" t="s">
        <v>19</v>
      </c>
      <c r="D23" s="9" t="s">
        <v>11</v>
      </c>
      <c r="E23" s="9">
        <v>2012</v>
      </c>
      <c r="F23" s="44">
        <f t="shared" si="0"/>
        <v>2996.8496766921749</v>
      </c>
      <c r="G23" s="38">
        <v>2996.4265676321352</v>
      </c>
      <c r="H23" s="38">
        <v>2887.7210368291139</v>
      </c>
      <c r="I23" s="38">
        <v>3106.2003206050949</v>
      </c>
      <c r="J23" s="24">
        <v>3148.3217654386899</v>
      </c>
      <c r="K23" s="9">
        <v>0.95188798984610501</v>
      </c>
      <c r="L23" s="9"/>
      <c r="M23" s="9"/>
      <c r="O23" s="9"/>
    </row>
    <row r="24" spans="1:15" x14ac:dyDescent="0.25">
      <c r="A24" s="9" t="s">
        <v>10</v>
      </c>
      <c r="B24" s="9" t="s">
        <v>24</v>
      </c>
      <c r="C24" s="9" t="s">
        <v>20</v>
      </c>
      <c r="D24" s="9" t="s">
        <v>11</v>
      </c>
      <c r="E24" s="9">
        <v>2012</v>
      </c>
      <c r="F24" s="44">
        <f t="shared" si="0"/>
        <v>147.47612267900575</v>
      </c>
      <c r="G24" s="38">
        <v>147.64736683057049</v>
      </c>
      <c r="H24" s="38">
        <v>124.57680571633765</v>
      </c>
      <c r="I24" s="38">
        <v>173.15466960015905</v>
      </c>
      <c r="J24" s="24">
        <v>151.72183662573411</v>
      </c>
      <c r="K24" s="9">
        <v>0.97201646090534977</v>
      </c>
      <c r="L24" s="9"/>
      <c r="M24" s="9"/>
      <c r="O24" s="9"/>
    </row>
    <row r="25" spans="1:15" x14ac:dyDescent="0.25">
      <c r="A25" s="9" t="s">
        <v>10</v>
      </c>
      <c r="B25" s="9" t="s">
        <v>26</v>
      </c>
      <c r="C25" s="9" t="s">
        <v>11</v>
      </c>
      <c r="D25" s="9" t="s">
        <v>11</v>
      </c>
      <c r="E25" s="9">
        <v>2012</v>
      </c>
      <c r="F25" s="44">
        <f>SUM(F26:F31)</f>
        <v>4638.960309306698</v>
      </c>
      <c r="G25" s="38"/>
      <c r="H25" s="38"/>
      <c r="I25" s="38"/>
      <c r="J25" s="24"/>
      <c r="K25" s="9"/>
      <c r="L25" s="9"/>
      <c r="M25" s="9"/>
      <c r="O25" s="9"/>
    </row>
    <row r="26" spans="1:15" x14ac:dyDescent="0.25">
      <c r="A26" s="9" t="s">
        <v>10</v>
      </c>
      <c r="B26" s="9" t="s">
        <v>26</v>
      </c>
      <c r="C26" s="9" t="s">
        <v>31</v>
      </c>
      <c r="D26" s="9" t="s">
        <v>12</v>
      </c>
      <c r="E26" s="9">
        <v>2012</v>
      </c>
      <c r="F26" s="44">
        <f t="shared" si="0"/>
        <v>598.47090229578214</v>
      </c>
      <c r="G26" s="38">
        <v>598.33791290823217</v>
      </c>
      <c r="H26" s="38">
        <v>550.87071443867524</v>
      </c>
      <c r="I26" s="38">
        <v>647.1215560785248</v>
      </c>
      <c r="J26" s="24">
        <v>632.86278697277089</v>
      </c>
      <c r="K26" s="9">
        <v>0.94565664882667766</v>
      </c>
      <c r="L26" s="9"/>
      <c r="M26" s="9"/>
      <c r="O26" s="9"/>
    </row>
    <row r="27" spans="1:15" x14ac:dyDescent="0.25">
      <c r="A27" s="9" t="s">
        <v>10</v>
      </c>
      <c r="B27" s="9" t="s">
        <v>26</v>
      </c>
      <c r="C27" s="9" t="s">
        <v>19</v>
      </c>
      <c r="D27" s="9" t="s">
        <v>12</v>
      </c>
      <c r="E27" s="9">
        <v>2012</v>
      </c>
      <c r="F27" s="44">
        <f t="shared" si="0"/>
        <v>2084.2697988966006</v>
      </c>
      <c r="G27" s="38">
        <v>2084.5611392444616</v>
      </c>
      <c r="H27" s="38">
        <v>1998.6127259021612</v>
      </c>
      <c r="I27" s="38">
        <v>2173.7765091327769</v>
      </c>
      <c r="J27" s="24">
        <v>2189.6166577682861</v>
      </c>
      <c r="K27" s="9">
        <v>0.95188798984610501</v>
      </c>
      <c r="L27" s="9"/>
      <c r="M27" s="9"/>
      <c r="O27" s="9"/>
    </row>
    <row r="28" spans="1:15" x14ac:dyDescent="0.25">
      <c r="A28" s="9" t="s">
        <v>10</v>
      </c>
      <c r="B28" s="9" t="s">
        <v>26</v>
      </c>
      <c r="C28" s="9" t="s">
        <v>20</v>
      </c>
      <c r="D28" s="9" t="s">
        <v>12</v>
      </c>
      <c r="E28" s="9">
        <v>2012</v>
      </c>
      <c r="F28" s="44">
        <f t="shared" si="0"/>
        <v>102.56771667556505</v>
      </c>
      <c r="G28" s="38">
        <v>102.53844091481007</v>
      </c>
      <c r="H28" s="38">
        <v>83.403416671954247</v>
      </c>
      <c r="I28" s="38">
        <v>123.31409931998488</v>
      </c>
      <c r="J28" s="3">
        <v>105.52055525894288</v>
      </c>
      <c r="K28" s="9">
        <v>0.97201646090534977</v>
      </c>
      <c r="L28" s="9"/>
      <c r="M28" s="9"/>
      <c r="O28" s="9"/>
    </row>
    <row r="29" spans="1:15" x14ac:dyDescent="0.25">
      <c r="A29" s="9" t="s">
        <v>10</v>
      </c>
      <c r="B29" s="9" t="s">
        <v>26</v>
      </c>
      <c r="C29" s="9" t="s">
        <v>31</v>
      </c>
      <c r="D29" s="9" t="s">
        <v>15</v>
      </c>
      <c r="E29" s="9">
        <v>2012</v>
      </c>
      <c r="F29" s="44">
        <f t="shared" si="0"/>
        <v>216.47825631352825</v>
      </c>
      <c r="G29" s="38">
        <v>216.62201612137667</v>
      </c>
      <c r="H29" s="38">
        <v>188.77650549772991</v>
      </c>
      <c r="I29" s="38">
        <v>246.65437091361056</v>
      </c>
      <c r="J29" s="24">
        <v>226.07481923923294</v>
      </c>
      <c r="K29" s="9">
        <v>0.95755138516532623</v>
      </c>
      <c r="L29" s="9"/>
      <c r="M29" s="9"/>
      <c r="O29" s="9"/>
    </row>
    <row r="30" spans="1:15" x14ac:dyDescent="0.25">
      <c r="A30" s="9" t="s">
        <v>10</v>
      </c>
      <c r="B30" s="9" t="s">
        <v>26</v>
      </c>
      <c r="C30" s="9" t="s">
        <v>19</v>
      </c>
      <c r="D30" s="9" t="s">
        <v>15</v>
      </c>
      <c r="E30" s="9">
        <v>2012</v>
      </c>
      <c r="F30" s="44">
        <f t="shared" si="0"/>
        <v>1594.3426595410249</v>
      </c>
      <c r="G30" s="38">
        <v>1594.4623489875407</v>
      </c>
      <c r="H30" s="38">
        <v>1516.5603050014004</v>
      </c>
      <c r="I30" s="38">
        <v>1673.8237227732584</v>
      </c>
      <c r="J30" s="24">
        <v>1657.3769254951274</v>
      </c>
      <c r="K30" s="9">
        <v>0.96196745291643815</v>
      </c>
      <c r="L30" s="9"/>
      <c r="M30" s="9"/>
      <c r="O30" s="9"/>
    </row>
    <row r="31" spans="1:15" x14ac:dyDescent="0.25">
      <c r="A31" s="9" t="s">
        <v>10</v>
      </c>
      <c r="B31" s="9" t="s">
        <v>26</v>
      </c>
      <c r="C31" s="9" t="s">
        <v>20</v>
      </c>
      <c r="D31" s="9" t="s">
        <v>15</v>
      </c>
      <c r="E31" s="9">
        <v>2012</v>
      </c>
      <c r="F31" s="44">
        <f t="shared" si="0"/>
        <v>42.830975584197844</v>
      </c>
      <c r="G31" s="38">
        <v>42.826340617025053</v>
      </c>
      <c r="H31" s="38">
        <v>30.955687438653282</v>
      </c>
      <c r="I31" s="38">
        <v>56.59139700690033</v>
      </c>
      <c r="J31" s="3">
        <v>44.548255265639739</v>
      </c>
      <c r="K31" s="9">
        <v>0.96145124716553287</v>
      </c>
      <c r="L31" s="9"/>
      <c r="M31" s="9"/>
      <c r="O31" s="9"/>
    </row>
    <row r="32" spans="1:15" x14ac:dyDescent="0.25">
      <c r="A32" s="9" t="s">
        <v>10</v>
      </c>
      <c r="B32" s="9" t="s">
        <v>27</v>
      </c>
      <c r="C32" s="9" t="s">
        <v>11</v>
      </c>
      <c r="D32" s="9" t="s">
        <v>11</v>
      </c>
      <c r="E32" s="9">
        <v>2012</v>
      </c>
      <c r="F32" s="44">
        <f>SUM(F33:F35)</f>
        <v>507.97633030788393</v>
      </c>
      <c r="G32" s="38"/>
      <c r="H32" s="38"/>
      <c r="I32" s="38"/>
      <c r="J32" s="3"/>
      <c r="K32" s="9"/>
      <c r="L32" s="9"/>
      <c r="M32" s="9"/>
      <c r="O32" s="9"/>
    </row>
    <row r="33" spans="1:15" x14ac:dyDescent="0.25">
      <c r="A33" s="9" t="s">
        <v>10</v>
      </c>
      <c r="B33" s="9" t="s">
        <v>27</v>
      </c>
      <c r="C33" s="9" t="s">
        <v>31</v>
      </c>
      <c r="D33" s="9" t="s">
        <v>11</v>
      </c>
      <c r="E33" s="9">
        <v>2012</v>
      </c>
      <c r="F33" s="44">
        <f t="shared" si="0"/>
        <v>109.14735718099307</v>
      </c>
      <c r="G33" s="38">
        <v>109.13184213957757</v>
      </c>
      <c r="H33" s="38">
        <v>89.380698685198539</v>
      </c>
      <c r="I33" s="38">
        <v>130.52816037449378</v>
      </c>
      <c r="J33" s="24">
        <v>115.41964762413241</v>
      </c>
      <c r="K33" s="9">
        <v>0.94565664882667766</v>
      </c>
      <c r="L33" s="9"/>
      <c r="M33" s="9"/>
      <c r="O33" s="9"/>
    </row>
    <row r="34" spans="1:15" x14ac:dyDescent="0.25">
      <c r="A34" s="9" t="s">
        <v>10</v>
      </c>
      <c r="B34" s="9" t="s">
        <v>27</v>
      </c>
      <c r="C34" s="9" t="s">
        <v>19</v>
      </c>
      <c r="D34" s="9" t="s">
        <v>11</v>
      </c>
      <c r="E34" s="9">
        <v>2012</v>
      </c>
      <c r="F34" s="44">
        <f t="shared" si="0"/>
        <v>380.12297561843741</v>
      </c>
      <c r="G34" s="38">
        <v>380.15898776901173</v>
      </c>
      <c r="H34" s="38">
        <v>343.77735603837533</v>
      </c>
      <c r="I34" s="38">
        <v>419.06048645428973</v>
      </c>
      <c r="J34" s="24">
        <v>399.33582487987184</v>
      </c>
      <c r="K34" s="9">
        <v>0.95188798984610501</v>
      </c>
      <c r="L34" s="9"/>
      <c r="M34" s="9"/>
      <c r="O34" s="9"/>
    </row>
    <row r="35" spans="1:15" x14ac:dyDescent="0.25">
      <c r="A35" s="9" t="s">
        <v>10</v>
      </c>
      <c r="B35" s="9" t="s">
        <v>27</v>
      </c>
      <c r="C35" s="9" t="s">
        <v>20</v>
      </c>
      <c r="D35" s="9" t="s">
        <v>11</v>
      </c>
      <c r="E35" s="9">
        <v>2012</v>
      </c>
      <c r="F35" s="44">
        <f t="shared" si="0"/>
        <v>18.705997508453461</v>
      </c>
      <c r="G35" s="38">
        <v>18.739130794891405</v>
      </c>
      <c r="H35" s="38">
        <v>11.193048522561728</v>
      </c>
      <c r="I35" s="38">
        <v>28.135359175149766</v>
      </c>
      <c r="J35" s="3">
        <v>19.24452749599573</v>
      </c>
      <c r="K35" s="9">
        <v>0.97201646090534977</v>
      </c>
      <c r="L35" s="9"/>
      <c r="M35" s="9"/>
      <c r="O35" s="9"/>
    </row>
    <row r="36" spans="1:15" x14ac:dyDescent="0.25">
      <c r="A36" s="9" t="s">
        <v>10</v>
      </c>
      <c r="B36" s="9" t="s">
        <v>28</v>
      </c>
      <c r="C36" s="9" t="s">
        <v>31</v>
      </c>
      <c r="D36" s="9" t="s">
        <v>12</v>
      </c>
      <c r="E36" s="9">
        <v>2012</v>
      </c>
      <c r="F36" s="44">
        <f t="shared" si="0"/>
        <v>728.87542267307344</v>
      </c>
      <c r="G36" s="38">
        <v>729.23675878000711</v>
      </c>
      <c r="H36" s="38">
        <v>677.09315734311667</v>
      </c>
      <c r="I36" s="38">
        <v>782.49083518720738</v>
      </c>
      <c r="J36" s="24">
        <v>770.76116746752086</v>
      </c>
      <c r="K36" s="9">
        <v>0.94565664882667766</v>
      </c>
      <c r="L36" s="9"/>
      <c r="M36" s="9"/>
      <c r="O36" s="9"/>
    </row>
    <row r="37" spans="1:15" x14ac:dyDescent="0.25">
      <c r="A37" s="9" t="s">
        <v>10</v>
      </c>
      <c r="B37" s="9" t="s">
        <v>28</v>
      </c>
      <c r="C37" s="9" t="s">
        <v>19</v>
      </c>
      <c r="D37" s="9" t="s">
        <v>12</v>
      </c>
      <c r="E37" s="9">
        <v>2012</v>
      </c>
      <c r="F37" s="44">
        <f t="shared" si="0"/>
        <v>2538.4242154594531</v>
      </c>
      <c r="G37" s="38">
        <v>2539.1803080482341</v>
      </c>
      <c r="H37" s="38">
        <v>2439.2679985175973</v>
      </c>
      <c r="I37" s="38">
        <v>2640.6368802557504</v>
      </c>
      <c r="J37" s="24">
        <v>2666.7257519131517</v>
      </c>
      <c r="K37" s="9">
        <v>0.95188798984610501</v>
      </c>
      <c r="L37" s="9"/>
      <c r="M37" s="9"/>
      <c r="O37" s="9"/>
    </row>
    <row r="38" spans="1:15" x14ac:dyDescent="0.25">
      <c r="A38" s="9" t="s">
        <v>10</v>
      </c>
      <c r="B38" s="9" t="s">
        <v>28</v>
      </c>
      <c r="C38" s="9" t="s">
        <v>20</v>
      </c>
      <c r="D38" s="9" t="s">
        <v>12</v>
      </c>
      <c r="E38" s="9">
        <v>2012</v>
      </c>
      <c r="F38" s="44">
        <f t="shared" si="0"/>
        <v>124.91682980364241</v>
      </c>
      <c r="G38" s="38">
        <v>124.98070852022271</v>
      </c>
      <c r="H38" s="38">
        <v>103.49035708171077</v>
      </c>
      <c r="I38" s="38">
        <v>148.10709589524009</v>
      </c>
      <c r="J38" s="24">
        <v>128.5130806193273</v>
      </c>
      <c r="K38" s="9">
        <v>0.97201646090534977</v>
      </c>
      <c r="L38" s="9"/>
      <c r="M38" s="9"/>
      <c r="O38" s="9"/>
    </row>
    <row r="39" spans="1:15" x14ac:dyDescent="0.25">
      <c r="A39" s="9" t="s">
        <v>10</v>
      </c>
      <c r="B39" s="9" t="s">
        <v>28</v>
      </c>
      <c r="C39" s="9" t="s">
        <v>31</v>
      </c>
      <c r="D39" s="9" t="s">
        <v>15</v>
      </c>
      <c r="E39" s="9">
        <v>2012</v>
      </c>
      <c r="F39" s="44">
        <f t="shared" si="0"/>
        <v>497.85507701980509</v>
      </c>
      <c r="G39" s="38">
        <v>497.84003127050272</v>
      </c>
      <c r="H39" s="38">
        <v>455.18534566741306</v>
      </c>
      <c r="I39" s="38">
        <v>541.2713561622661</v>
      </c>
      <c r="J39" s="24">
        <v>519.92518076076703</v>
      </c>
      <c r="K39" s="9">
        <v>0.95755138516532623</v>
      </c>
      <c r="L39" s="9"/>
      <c r="M39" s="9"/>
      <c r="O39" s="9"/>
    </row>
    <row r="40" spans="1:15" x14ac:dyDescent="0.25">
      <c r="A40" s="9" t="s">
        <v>10</v>
      </c>
      <c r="B40" s="9" t="s">
        <v>28</v>
      </c>
      <c r="C40" s="9" t="s">
        <v>19</v>
      </c>
      <c r="D40" s="9" t="s">
        <v>15</v>
      </c>
      <c r="E40" s="9">
        <v>2012</v>
      </c>
      <c r="F40" s="44">
        <f t="shared" si="0"/>
        <v>3666.6573404589753</v>
      </c>
      <c r="G40" s="38">
        <v>3666.7153577609315</v>
      </c>
      <c r="H40" s="38">
        <v>3549.2711659163178</v>
      </c>
      <c r="I40" s="38">
        <v>3787.7537749150852</v>
      </c>
      <c r="J40" s="24">
        <v>3811.6230745048729</v>
      </c>
      <c r="K40" s="9">
        <v>0.96196745291643815</v>
      </c>
      <c r="L40" s="9"/>
      <c r="M40" s="9"/>
      <c r="O40" s="9"/>
    </row>
    <row r="41" spans="1:15" x14ac:dyDescent="0.25">
      <c r="A41" s="9" t="s">
        <v>10</v>
      </c>
      <c r="B41" s="9" t="s">
        <v>28</v>
      </c>
      <c r="C41" s="9" t="s">
        <v>20</v>
      </c>
      <c r="D41" s="9" t="s">
        <v>15</v>
      </c>
      <c r="E41" s="9">
        <v>2012</v>
      </c>
      <c r="F41" s="44">
        <f t="shared" si="0"/>
        <v>98.502357749135484</v>
      </c>
      <c r="G41" s="38">
        <v>98.343977231678338</v>
      </c>
      <c r="H41" s="38">
        <v>79.788762558040204</v>
      </c>
      <c r="I41" s="38">
        <v>117.9596208758912</v>
      </c>
      <c r="J41" s="24">
        <v>102.45174473436026</v>
      </c>
      <c r="K41" s="9">
        <v>0.96145124716553287</v>
      </c>
      <c r="L41" s="9"/>
      <c r="M41" s="9"/>
      <c r="O41" s="9"/>
    </row>
    <row r="42" spans="1:15" x14ac:dyDescent="0.25">
      <c r="A42" s="9" t="s">
        <v>21</v>
      </c>
      <c r="B42" s="9" t="s">
        <v>24</v>
      </c>
      <c r="C42" s="9" t="s">
        <v>11</v>
      </c>
      <c r="D42" s="9" t="s">
        <v>11</v>
      </c>
      <c r="E42" s="9">
        <v>2012</v>
      </c>
      <c r="F42" s="44">
        <f>SUM(F43:F45)</f>
        <v>329.68654646324552</v>
      </c>
      <c r="G42" s="38"/>
      <c r="H42" s="38"/>
      <c r="I42" s="38"/>
      <c r="J42" s="3"/>
      <c r="K42" s="9"/>
      <c r="L42" s="9"/>
      <c r="M42" s="9"/>
      <c r="O42" s="9"/>
    </row>
    <row r="43" spans="1:15" x14ac:dyDescent="0.25">
      <c r="A43" s="9" t="s">
        <v>21</v>
      </c>
      <c r="B43" s="9" t="s">
        <v>24</v>
      </c>
      <c r="C43" s="9" t="s">
        <v>31</v>
      </c>
      <c r="D43" s="9" t="s">
        <v>11</v>
      </c>
      <c r="E43" s="9">
        <v>2012</v>
      </c>
      <c r="F43" s="44">
        <f t="shared" si="0"/>
        <v>71.061469692224463</v>
      </c>
      <c r="G43" s="38">
        <v>71.145252252740832</v>
      </c>
      <c r="H43" s="38">
        <v>55.650734366371182</v>
      </c>
      <c r="I43" s="38">
        <v>88.748461817746445</v>
      </c>
      <c r="J43" s="24">
        <v>74.146627565982399</v>
      </c>
      <c r="K43" s="9">
        <v>0.95839112343966715</v>
      </c>
      <c r="L43" s="9"/>
      <c r="M43" s="9"/>
      <c r="O43" s="9"/>
    </row>
    <row r="44" spans="1:15" x14ac:dyDescent="0.25">
      <c r="A44" s="9" t="s">
        <v>21</v>
      </c>
      <c r="B44" s="9" t="s">
        <v>24</v>
      </c>
      <c r="C44" s="9" t="s">
        <v>19</v>
      </c>
      <c r="D44" s="9" t="s">
        <v>11</v>
      </c>
      <c r="E44" s="9">
        <v>2012</v>
      </c>
      <c r="F44" s="44">
        <f t="shared" si="0"/>
        <v>240.73885650835228</v>
      </c>
      <c r="G44" s="38">
        <v>240.8850188252236</v>
      </c>
      <c r="H44" s="38">
        <v>211.40707060556488</v>
      </c>
      <c r="I44" s="38">
        <v>272.02052929125438</v>
      </c>
      <c r="J44" s="24">
        <v>251.19061583577712</v>
      </c>
      <c r="K44" s="9">
        <v>0.95839112343966715</v>
      </c>
      <c r="L44" s="9"/>
      <c r="M44" s="9"/>
      <c r="N44" s="8"/>
      <c r="O44" s="9"/>
    </row>
    <row r="45" spans="1:15" x14ac:dyDescent="0.25">
      <c r="A45" s="9" t="s">
        <v>21</v>
      </c>
      <c r="B45" s="9" t="s">
        <v>24</v>
      </c>
      <c r="C45" s="9" t="s">
        <v>20</v>
      </c>
      <c r="D45" s="9" t="s">
        <v>11</v>
      </c>
      <c r="E45" s="9">
        <v>2012</v>
      </c>
      <c r="F45" s="44">
        <f t="shared" si="0"/>
        <v>17.886220262668743</v>
      </c>
      <c r="G45" s="38">
        <v>17.848172720632586</v>
      </c>
      <c r="H45" s="38">
        <v>10.618788040248262</v>
      </c>
      <c r="I45" s="38">
        <v>27.052915928019516</v>
      </c>
      <c r="J45" s="24">
        <v>18.66275659824047</v>
      </c>
      <c r="K45" s="9">
        <v>0.95839112343966715</v>
      </c>
      <c r="L45" s="9"/>
      <c r="M45" s="9"/>
      <c r="O45" s="9"/>
    </row>
    <row r="46" spans="1:15" x14ac:dyDescent="0.25">
      <c r="A46" s="9" t="s">
        <v>21</v>
      </c>
      <c r="B46" s="9" t="s">
        <v>26</v>
      </c>
      <c r="C46" s="9" t="s">
        <v>11</v>
      </c>
      <c r="D46" s="9" t="s">
        <v>11</v>
      </c>
      <c r="E46" s="9">
        <v>2012</v>
      </c>
      <c r="F46" s="44">
        <f>SUM(F47:F52)</f>
        <v>73.796116504854368</v>
      </c>
      <c r="G46" s="38"/>
      <c r="H46" s="38"/>
      <c r="I46" s="38"/>
      <c r="J46" s="3"/>
      <c r="K46" s="9"/>
      <c r="L46" s="9"/>
      <c r="M46" s="9"/>
      <c r="O46" s="9"/>
    </row>
    <row r="47" spans="1:15" x14ac:dyDescent="0.25">
      <c r="A47" s="9" t="s">
        <v>21</v>
      </c>
      <c r="B47" s="9" t="s">
        <v>26</v>
      </c>
      <c r="C47" s="9" t="s">
        <v>31</v>
      </c>
      <c r="D47" s="9" t="s">
        <v>12</v>
      </c>
      <c r="E47" s="9">
        <v>2012</v>
      </c>
      <c r="F47" s="44">
        <f t="shared" si="0"/>
        <v>8.6761096717250812</v>
      </c>
      <c r="G47" s="38">
        <v>8.6946379755288294</v>
      </c>
      <c r="H47" s="38">
        <v>3.9759816227254916</v>
      </c>
      <c r="I47" s="38">
        <v>15.560028585471212</v>
      </c>
      <c r="J47" s="24">
        <v>9.0527859237536656</v>
      </c>
      <c r="K47" s="9">
        <v>0.95839112343966715</v>
      </c>
      <c r="L47" s="9"/>
      <c r="M47" s="9"/>
      <c r="O47" s="9"/>
    </row>
    <row r="48" spans="1:15" x14ac:dyDescent="0.25">
      <c r="A48" s="9" t="s">
        <v>21</v>
      </c>
      <c r="B48" s="9" t="s">
        <v>26</v>
      </c>
      <c r="C48" s="9" t="s">
        <v>19</v>
      </c>
      <c r="D48" s="9" t="s">
        <v>12</v>
      </c>
      <c r="E48" s="9">
        <v>2012</v>
      </c>
      <c r="F48" s="44">
        <f t="shared" si="0"/>
        <v>29.392534806252314</v>
      </c>
      <c r="G48" s="38">
        <v>29.304570753737543</v>
      </c>
      <c r="H48" s="38">
        <v>19.658725709010874</v>
      </c>
      <c r="I48" s="38">
        <v>40.914928240298572</v>
      </c>
      <c r="J48" s="24">
        <v>30.668621700879765</v>
      </c>
      <c r="K48" s="9">
        <v>0.95839112343966715</v>
      </c>
      <c r="L48" s="9"/>
      <c r="M48" s="9"/>
      <c r="O48" s="9"/>
    </row>
    <row r="49" spans="1:15" x14ac:dyDescent="0.25">
      <c r="A49" s="9" t="s">
        <v>21</v>
      </c>
      <c r="B49" s="9" t="s">
        <v>26</v>
      </c>
      <c r="C49" s="9" t="s">
        <v>20</v>
      </c>
      <c r="D49" s="9" t="s">
        <v>12</v>
      </c>
      <c r="E49" s="9">
        <v>2012</v>
      </c>
      <c r="F49" s="44">
        <f t="shared" si="0"/>
        <v>2.1837827064886257</v>
      </c>
      <c r="G49" s="38">
        <v>2.186845981590428</v>
      </c>
      <c r="H49" s="38">
        <v>0.30512527184292348</v>
      </c>
      <c r="I49" s="38">
        <v>5.8134486585435772</v>
      </c>
      <c r="J49" s="24">
        <v>2.2785923753665691</v>
      </c>
      <c r="K49" s="9">
        <v>0.95839112343966715</v>
      </c>
      <c r="L49" s="9"/>
      <c r="M49" s="9"/>
      <c r="O49" s="9"/>
    </row>
    <row r="50" spans="1:15" x14ac:dyDescent="0.25">
      <c r="A50" s="9" t="s">
        <v>21</v>
      </c>
      <c r="B50" s="9" t="s">
        <v>26</v>
      </c>
      <c r="C50" s="9" t="s">
        <v>31</v>
      </c>
      <c r="D50" s="9" t="s">
        <v>15</v>
      </c>
      <c r="E50" s="9">
        <v>2012</v>
      </c>
      <c r="F50" s="44">
        <f t="shared" si="0"/>
        <v>7.2300913931042343</v>
      </c>
      <c r="G50" s="38">
        <v>7.2492080670340622</v>
      </c>
      <c r="H50" s="38">
        <v>2.9328079740770061</v>
      </c>
      <c r="I50" s="38">
        <v>13.542697418639044</v>
      </c>
      <c r="J50" s="24">
        <v>7.5439882697947223</v>
      </c>
      <c r="K50" s="9">
        <v>0.95839112343966715</v>
      </c>
      <c r="L50" s="9"/>
      <c r="M50" s="9"/>
      <c r="O50" s="9"/>
    </row>
    <row r="51" spans="1:15" x14ac:dyDescent="0.25">
      <c r="A51" s="9" t="s">
        <v>21</v>
      </c>
      <c r="B51" s="9" t="s">
        <v>26</v>
      </c>
      <c r="C51" s="9" t="s">
        <v>19</v>
      </c>
      <c r="D51" s="9" t="s">
        <v>15</v>
      </c>
      <c r="E51" s="9">
        <v>2012</v>
      </c>
      <c r="F51" s="44">
        <f t="shared" si="0"/>
        <v>24.493779005210264</v>
      </c>
      <c r="G51" s="38">
        <v>24.55420424053894</v>
      </c>
      <c r="H51" s="38">
        <v>15.738717703648415</v>
      </c>
      <c r="I51" s="38">
        <v>35.450157526873035</v>
      </c>
      <c r="J51" s="24">
        <v>25.557184750733139</v>
      </c>
      <c r="K51" s="9">
        <v>0.95839112343966715</v>
      </c>
      <c r="L51" s="9"/>
      <c r="M51" s="9"/>
      <c r="O51" s="9"/>
    </row>
    <row r="52" spans="1:15" x14ac:dyDescent="0.25">
      <c r="A52" s="9" t="s">
        <v>21</v>
      </c>
      <c r="B52" s="9" t="s">
        <v>26</v>
      </c>
      <c r="C52" s="9" t="s">
        <v>20</v>
      </c>
      <c r="D52" s="9" t="s">
        <v>15</v>
      </c>
      <c r="E52" s="9">
        <v>2012</v>
      </c>
      <c r="F52" s="44">
        <f t="shared" si="0"/>
        <v>1.819818922073855</v>
      </c>
      <c r="G52" s="38">
        <v>1.8222413166387745</v>
      </c>
      <c r="H52" s="38">
        <v>0.18336766174132083</v>
      </c>
      <c r="I52" s="38">
        <v>5.2720098008697596</v>
      </c>
      <c r="J52" s="24">
        <v>1.8988269794721411</v>
      </c>
      <c r="K52" s="9">
        <v>0.95839112343966715</v>
      </c>
      <c r="L52" s="9"/>
      <c r="M52" s="9"/>
      <c r="O52" s="9"/>
    </row>
    <row r="53" spans="1:15" x14ac:dyDescent="0.25">
      <c r="A53" s="9" t="s">
        <v>21</v>
      </c>
      <c r="B53" s="9" t="s">
        <v>27</v>
      </c>
      <c r="C53" s="11" t="s">
        <v>11</v>
      </c>
      <c r="D53" s="9" t="s">
        <v>11</v>
      </c>
      <c r="E53" s="9">
        <v>2012</v>
      </c>
      <c r="F53" s="44">
        <f>SUM(F54:F56)</f>
        <v>9.5839112343966715</v>
      </c>
      <c r="G53" s="38"/>
      <c r="H53" s="38"/>
      <c r="I53" s="38"/>
      <c r="J53" s="3"/>
      <c r="K53" s="9"/>
      <c r="L53" s="9"/>
      <c r="M53" s="9"/>
      <c r="O53" s="9"/>
    </row>
    <row r="54" spans="1:15" x14ac:dyDescent="0.25">
      <c r="A54" s="9" t="s">
        <v>21</v>
      </c>
      <c r="B54" s="9" t="s">
        <v>27</v>
      </c>
      <c r="C54" s="9" t="s">
        <v>31</v>
      </c>
      <c r="D54" s="9" t="s">
        <v>11</v>
      </c>
      <c r="E54" s="9">
        <v>2012</v>
      </c>
      <c r="F54" s="44">
        <f t="shared" si="0"/>
        <v>2.065740398029781</v>
      </c>
      <c r="G54" s="38">
        <v>2.0796509581178206</v>
      </c>
      <c r="H54" s="38">
        <v>0.27526883788058054</v>
      </c>
      <c r="I54" s="38">
        <v>5.7710632204031169</v>
      </c>
      <c r="J54" s="24">
        <v>2.1554252199413488</v>
      </c>
      <c r="K54" s="9">
        <v>0.95839112343966715</v>
      </c>
      <c r="L54" s="9"/>
      <c r="M54" s="9"/>
      <c r="O54" s="9"/>
    </row>
    <row r="55" spans="1:15" x14ac:dyDescent="0.25">
      <c r="A55" s="9" t="s">
        <v>21</v>
      </c>
      <c r="B55" s="9" t="s">
        <v>27</v>
      </c>
      <c r="C55" s="9" t="s">
        <v>19</v>
      </c>
      <c r="D55" s="9" t="s">
        <v>11</v>
      </c>
      <c r="E55" s="9">
        <v>2012</v>
      </c>
      <c r="F55" s="44">
        <f t="shared" si="0"/>
        <v>6.9982225729172178</v>
      </c>
      <c r="G55" s="38">
        <v>6.9904949641291383</v>
      </c>
      <c r="H55" s="38">
        <v>2.8369099274249936</v>
      </c>
      <c r="I55" s="38">
        <v>12.984585597630243</v>
      </c>
      <c r="J55" s="24">
        <v>7.3020527859237543</v>
      </c>
      <c r="K55" s="9">
        <v>0.95839112343966715</v>
      </c>
      <c r="L55" s="9"/>
      <c r="M55" s="9"/>
      <c r="O55" s="9"/>
    </row>
    <row r="56" spans="1:15" x14ac:dyDescent="0.25">
      <c r="A56" s="9" t="s">
        <v>21</v>
      </c>
      <c r="B56" s="9" t="s">
        <v>27</v>
      </c>
      <c r="C56" s="9" t="s">
        <v>20</v>
      </c>
      <c r="D56" s="9" t="s">
        <v>11</v>
      </c>
      <c r="E56" s="9">
        <v>2012</v>
      </c>
      <c r="F56" s="44">
        <f t="shared" si="0"/>
        <v>0.51994826344967271</v>
      </c>
      <c r="G56" s="38">
        <v>0.51784677089275977</v>
      </c>
      <c r="H56" s="38">
        <v>7.4930339857889059E-4</v>
      </c>
      <c r="I56" s="38">
        <v>2.5602210662337419</v>
      </c>
      <c r="J56" s="24">
        <v>0.54252199413489732</v>
      </c>
      <c r="K56" s="9">
        <v>0.95839112343966715</v>
      </c>
      <c r="L56" s="9"/>
      <c r="M56" s="9"/>
      <c r="O56" s="9"/>
    </row>
    <row r="57" spans="1:15" x14ac:dyDescent="0.25">
      <c r="A57" s="9" t="s">
        <v>21</v>
      </c>
      <c r="B57" s="9" t="s">
        <v>28</v>
      </c>
      <c r="C57" s="11" t="s">
        <v>11</v>
      </c>
      <c r="D57" s="9" t="s">
        <v>11</v>
      </c>
      <c r="E57" s="9">
        <v>2012</v>
      </c>
      <c r="F57" s="44">
        <f>SUM(F58:F63)</f>
        <v>240.55617198335645</v>
      </c>
      <c r="G57" s="38"/>
      <c r="H57" s="38"/>
      <c r="I57" s="38"/>
      <c r="J57" s="3"/>
      <c r="K57" s="9"/>
      <c r="L57" s="9"/>
      <c r="M57" s="9"/>
      <c r="O57" s="9"/>
    </row>
    <row r="58" spans="1:15" x14ac:dyDescent="0.25">
      <c r="A58" s="9" t="s">
        <v>21</v>
      </c>
      <c r="B58" s="9" t="s">
        <v>28</v>
      </c>
      <c r="C58" s="9" t="s">
        <v>31</v>
      </c>
      <c r="D58" s="9" t="s">
        <v>12</v>
      </c>
      <c r="E58" s="9">
        <v>2012</v>
      </c>
      <c r="F58" s="44">
        <f t="shared" si="0"/>
        <v>21.896848219115679</v>
      </c>
      <c r="G58" s="38">
        <v>21.92692796088485</v>
      </c>
      <c r="H58" s="38">
        <v>13.697998253952575</v>
      </c>
      <c r="I58" s="38">
        <v>32.16442007576655</v>
      </c>
      <c r="J58" s="24">
        <v>22.847507331378299</v>
      </c>
      <c r="K58" s="9">
        <v>0.95839112343966715</v>
      </c>
      <c r="L58" s="9"/>
      <c r="M58" s="9"/>
      <c r="O58" s="9"/>
    </row>
    <row r="59" spans="1:15" x14ac:dyDescent="0.25">
      <c r="A59" s="9" t="s">
        <v>21</v>
      </c>
      <c r="B59" s="9" t="s">
        <v>28</v>
      </c>
      <c r="C59" s="9" t="s">
        <v>19</v>
      </c>
      <c r="D59" s="9" t="s">
        <v>12</v>
      </c>
      <c r="E59" s="9">
        <v>2012</v>
      </c>
      <c r="F59" s="44">
        <f t="shared" si="0"/>
        <v>74.181159272922514</v>
      </c>
      <c r="G59" s="38">
        <v>74.148306868987319</v>
      </c>
      <c r="H59" s="38">
        <v>58.302762485375638</v>
      </c>
      <c r="I59" s="38">
        <v>91.964641978379689</v>
      </c>
      <c r="J59" s="24">
        <v>77.401759530791793</v>
      </c>
      <c r="K59" s="9">
        <v>0.95839112343966715</v>
      </c>
      <c r="L59" s="9"/>
      <c r="M59" s="9"/>
      <c r="O59" s="9"/>
    </row>
    <row r="60" spans="1:15" x14ac:dyDescent="0.25">
      <c r="A60" s="9" t="s">
        <v>21</v>
      </c>
      <c r="B60" s="9" t="s">
        <v>28</v>
      </c>
      <c r="C60" s="9" t="s">
        <v>20</v>
      </c>
      <c r="D60" s="9" t="s">
        <v>12</v>
      </c>
      <c r="E60" s="9">
        <v>2012</v>
      </c>
      <c r="F60" s="44">
        <f t="shared" si="0"/>
        <v>5.5114515925665319</v>
      </c>
      <c r="G60" s="38">
        <v>5.5264775093745708</v>
      </c>
      <c r="H60" s="38">
        <v>1.9608220345531209</v>
      </c>
      <c r="I60" s="38">
        <v>11.046827703591175</v>
      </c>
      <c r="J60" s="24">
        <v>5.7507331378299122</v>
      </c>
      <c r="K60" s="9">
        <v>0.95839112343966715</v>
      </c>
      <c r="L60" s="9"/>
      <c r="M60" s="9"/>
      <c r="O60" s="9"/>
    </row>
    <row r="61" spans="1:15" x14ac:dyDescent="0.25">
      <c r="A61" s="9" t="s">
        <v>21</v>
      </c>
      <c r="B61" s="9" t="s">
        <v>28</v>
      </c>
      <c r="C61" s="9" t="s">
        <v>31</v>
      </c>
      <c r="D61" s="9" t="s">
        <v>15</v>
      </c>
      <c r="E61" s="9">
        <v>2012</v>
      </c>
      <c r="F61" s="44">
        <f t="shared" si="0"/>
        <v>29.953235771431824</v>
      </c>
      <c r="G61" s="38">
        <v>29.902248039375621</v>
      </c>
      <c r="H61" s="38">
        <v>20.094079216759624</v>
      </c>
      <c r="I61" s="38">
        <v>41.448343913161729</v>
      </c>
      <c r="J61" s="24">
        <v>31.25366568914956</v>
      </c>
      <c r="K61" s="9">
        <v>0.95839112343966715</v>
      </c>
      <c r="L61" s="9"/>
      <c r="M61" s="9"/>
      <c r="O61" s="9"/>
    </row>
    <row r="62" spans="1:15" x14ac:dyDescent="0.25">
      <c r="A62" s="9" t="s">
        <v>21</v>
      </c>
      <c r="B62" s="9" t="s">
        <v>28</v>
      </c>
      <c r="C62" s="9" t="s">
        <v>19</v>
      </c>
      <c r="D62" s="9" t="s">
        <v>15</v>
      </c>
      <c r="E62" s="9">
        <v>2012</v>
      </c>
      <c r="F62" s="44">
        <f t="shared" si="0"/>
        <v>101.47422730729966</v>
      </c>
      <c r="G62" s="38">
        <v>101.51519008534237</v>
      </c>
      <c r="H62" s="38">
        <v>82.291752708554696</v>
      </c>
      <c r="I62" s="38">
        <v>122.46515542062906</v>
      </c>
      <c r="J62" s="24">
        <v>105.87976539589442</v>
      </c>
      <c r="K62" s="9">
        <v>0.95839112343966715</v>
      </c>
      <c r="L62" s="9"/>
      <c r="M62" s="9"/>
      <c r="O62" s="9"/>
    </row>
    <row r="63" spans="1:15" x14ac:dyDescent="0.25">
      <c r="A63" s="9" t="s">
        <v>21</v>
      </c>
      <c r="B63" s="9" t="s">
        <v>28</v>
      </c>
      <c r="C63" s="9" t="s">
        <v>20</v>
      </c>
      <c r="D63" s="9" t="s">
        <v>15</v>
      </c>
      <c r="E63" s="9">
        <v>2012</v>
      </c>
      <c r="F63" s="44">
        <f t="shared" si="0"/>
        <v>7.5392498200202551</v>
      </c>
      <c r="G63" s="38">
        <v>7.5276047092299816</v>
      </c>
      <c r="H63" s="38">
        <v>3.1519043912589937</v>
      </c>
      <c r="I63" s="38">
        <v>13.667475406278303</v>
      </c>
      <c r="J63" s="24">
        <v>7.8665689149560114</v>
      </c>
      <c r="K63" s="9">
        <v>0.95839112343966715</v>
      </c>
      <c r="L63" s="9"/>
      <c r="M63" s="9"/>
      <c r="O63" s="9"/>
    </row>
    <row r="64" spans="1:15" x14ac:dyDescent="0.25">
      <c r="A64" s="9" t="s">
        <v>22</v>
      </c>
      <c r="B64" s="9" t="s">
        <v>11</v>
      </c>
      <c r="C64" s="9" t="s">
        <v>11</v>
      </c>
      <c r="D64" s="9" t="s">
        <v>11</v>
      </c>
      <c r="E64" s="9">
        <v>2012</v>
      </c>
      <c r="F64" s="44">
        <f t="shared" si="0"/>
        <v>334.62076271186436</v>
      </c>
      <c r="G64" s="38">
        <v>334.46890000000002</v>
      </c>
      <c r="H64" s="38">
        <v>298</v>
      </c>
      <c r="I64" s="38">
        <v>371</v>
      </c>
      <c r="J64" s="3">
        <v>383.8093220338983</v>
      </c>
      <c r="K64" s="9">
        <v>0.87184115523465699</v>
      </c>
      <c r="L64" s="9"/>
      <c r="M64" s="9"/>
      <c r="O64" s="9"/>
    </row>
    <row r="65" spans="1:15" x14ac:dyDescent="0.25">
      <c r="A65" s="9" t="s">
        <v>22</v>
      </c>
      <c r="B65" s="9" t="s">
        <v>11</v>
      </c>
      <c r="C65" s="9" t="s">
        <v>19</v>
      </c>
      <c r="D65" s="9" t="s">
        <v>11</v>
      </c>
      <c r="E65" s="9">
        <v>2012</v>
      </c>
      <c r="F65" s="44">
        <f t="shared" si="0"/>
        <v>244.62348176589362</v>
      </c>
      <c r="G65" s="38"/>
      <c r="H65" s="38"/>
      <c r="I65" s="38"/>
      <c r="J65" s="3">
        <f>SUM(J68,J71,J74,J77,J80,J83)</f>
        <v>280.58262711864404</v>
      </c>
      <c r="K65" s="9">
        <v>0.87184115523465699</v>
      </c>
      <c r="L65" s="9"/>
      <c r="M65" s="9"/>
      <c r="N65" s="9"/>
      <c r="O65" s="9"/>
    </row>
    <row r="66" spans="1:15" x14ac:dyDescent="0.25">
      <c r="A66" s="9" t="s">
        <v>22</v>
      </c>
      <c r="B66" s="9" t="s">
        <v>24</v>
      </c>
      <c r="C66" s="9" t="s">
        <v>11</v>
      </c>
      <c r="D66" s="9" t="s">
        <v>11</v>
      </c>
      <c r="E66" s="9">
        <v>2012</v>
      </c>
      <c r="F66" s="44">
        <f t="shared" si="0"/>
        <v>64.628919873952142</v>
      </c>
      <c r="G66" s="38"/>
      <c r="H66" s="38"/>
      <c r="I66" s="38"/>
      <c r="J66" s="24">
        <v>74.129237288135585</v>
      </c>
      <c r="K66" s="9">
        <v>0.87184115523465699</v>
      </c>
      <c r="L66" s="9"/>
      <c r="M66" s="9"/>
      <c r="N66" s="9"/>
      <c r="O66" s="9"/>
    </row>
    <row r="67" spans="1:15" x14ac:dyDescent="0.25">
      <c r="A67" s="9" t="s">
        <v>22</v>
      </c>
      <c r="B67" s="9" t="s">
        <v>24</v>
      </c>
      <c r="C67" s="9" t="s">
        <v>31</v>
      </c>
      <c r="D67" s="9" t="s">
        <v>11</v>
      </c>
      <c r="E67" s="9">
        <v>2012</v>
      </c>
      <c r="F67" s="44">
        <f t="shared" si="0"/>
        <v>13.999044016018514</v>
      </c>
      <c r="G67" s="38">
        <v>13.991588689190513</v>
      </c>
      <c r="H67" s="38">
        <v>7.5958991452446227</v>
      </c>
      <c r="I67" s="38">
        <v>22.268318155428915</v>
      </c>
      <c r="J67" s="24">
        <v>16.056874502845254</v>
      </c>
      <c r="K67" s="9">
        <v>0.87184115523465699</v>
      </c>
      <c r="L67" s="9"/>
      <c r="M67" s="9"/>
      <c r="N67" s="9"/>
      <c r="O67" s="9"/>
    </row>
    <row r="68" spans="1:15" x14ac:dyDescent="0.25">
      <c r="A68" s="9" t="s">
        <v>22</v>
      </c>
      <c r="B68" s="9" t="s">
        <v>24</v>
      </c>
      <c r="C68" s="9" t="s">
        <v>19</v>
      </c>
      <c r="D68" s="9" t="s">
        <v>11</v>
      </c>
      <c r="E68" s="9">
        <v>2012</v>
      </c>
      <c r="F68" s="44">
        <f t="shared" si="0"/>
        <v>47.246773554062479</v>
      </c>
      <c r="G68" s="38">
        <v>47.24536943060756</v>
      </c>
      <c r="H68" s="38">
        <v>34.775418255879899</v>
      </c>
      <c r="I68" s="38">
        <v>61.395971834392654</v>
      </c>
      <c r="J68" s="24">
        <v>54.191951447102724</v>
      </c>
      <c r="K68" s="9">
        <v>0.87184115523465699</v>
      </c>
      <c r="L68" s="9"/>
      <c r="M68" s="9"/>
      <c r="N68" s="9"/>
      <c r="O68" s="9"/>
    </row>
    <row r="69" spans="1:15" x14ac:dyDescent="0.25">
      <c r="A69" s="9" t="s">
        <v>22</v>
      </c>
      <c r="B69" s="9" t="s">
        <v>24</v>
      </c>
      <c r="C69" s="9" t="s">
        <v>20</v>
      </c>
      <c r="D69" s="9" t="s">
        <v>11</v>
      </c>
      <c r="E69" s="9">
        <v>2012</v>
      </c>
      <c r="F69" s="44">
        <f t="shared" si="0"/>
        <v>3.3831023038711407</v>
      </c>
      <c r="G69" s="38">
        <v>3.3803013131856527</v>
      </c>
      <c r="H69" s="38">
        <v>0.77915700764578566</v>
      </c>
      <c r="I69" s="38">
        <v>7.776369813808488</v>
      </c>
      <c r="J69" s="24">
        <v>3.8804113381876029</v>
      </c>
      <c r="K69" s="9">
        <v>0.87184115523465699</v>
      </c>
      <c r="L69" s="9"/>
      <c r="M69" s="9"/>
      <c r="N69" s="9"/>
      <c r="O69" s="9"/>
    </row>
    <row r="70" spans="1:15" x14ac:dyDescent="0.25">
      <c r="A70" s="9" t="s">
        <v>22</v>
      </c>
      <c r="B70" s="9" t="s">
        <v>26</v>
      </c>
      <c r="C70" s="9" t="s">
        <v>31</v>
      </c>
      <c r="D70" s="9" t="s">
        <v>12</v>
      </c>
      <c r="E70" s="9">
        <v>2012</v>
      </c>
      <c r="F70" s="44">
        <f t="shared" si="0"/>
        <v>20.933149930494977</v>
      </c>
      <c r="G70" s="38">
        <v>20.914505558755035</v>
      </c>
      <c r="H70" s="38">
        <v>12.86089956463975</v>
      </c>
      <c r="I70" s="38">
        <v>30.86063112346395</v>
      </c>
      <c r="J70" s="24">
        <v>24.010279630422811</v>
      </c>
      <c r="K70" s="9">
        <v>0.87184115523465699</v>
      </c>
      <c r="L70" s="9"/>
      <c r="M70" s="9"/>
      <c r="N70" s="9"/>
      <c r="O70" s="9"/>
    </row>
    <row r="71" spans="1:15" x14ac:dyDescent="0.25">
      <c r="A71" s="9" t="s">
        <v>22</v>
      </c>
      <c r="B71" s="9" t="s">
        <v>26</v>
      </c>
      <c r="C71" s="9" t="s">
        <v>19</v>
      </c>
      <c r="D71" s="9" t="s">
        <v>12</v>
      </c>
      <c r="E71" s="9">
        <v>2012</v>
      </c>
      <c r="F71" s="44">
        <f t="shared" si="0"/>
        <v>70.649381015420545</v>
      </c>
      <c r="G71" s="38">
        <v>70.601282036804989</v>
      </c>
      <c r="H71" s="38">
        <v>55.412635876362636</v>
      </c>
      <c r="I71" s="38">
        <v>87.796572451306503</v>
      </c>
      <c r="J71" s="24">
        <v>81.034693752676986</v>
      </c>
      <c r="K71" s="9">
        <v>0.87184115523465699</v>
      </c>
      <c r="L71" s="9"/>
      <c r="M71" s="9"/>
      <c r="N71" s="9"/>
      <c r="O71" s="9"/>
    </row>
    <row r="72" spans="1:15" x14ac:dyDescent="0.25">
      <c r="A72" s="9" t="s">
        <v>22</v>
      </c>
      <c r="B72" s="9" t="s">
        <v>26</v>
      </c>
      <c r="C72" s="9" t="s">
        <v>20</v>
      </c>
      <c r="D72" s="9" t="s">
        <v>12</v>
      </c>
      <c r="E72" s="9">
        <v>2012</v>
      </c>
      <c r="F72" s="44">
        <f t="shared" si="0"/>
        <v>5.058844566536286</v>
      </c>
      <c r="G72" s="38">
        <v>5.0652503585163844</v>
      </c>
      <c r="H72" s="38">
        <v>1.6660246826140268</v>
      </c>
      <c r="I72" s="38">
        <v>10.374075133374786</v>
      </c>
      <c r="J72" s="24">
        <v>5.8024842440188458</v>
      </c>
      <c r="K72" s="9">
        <v>0.87184115523465699</v>
      </c>
      <c r="L72" s="9"/>
      <c r="M72" s="9"/>
      <c r="N72" s="9"/>
      <c r="O72" s="9"/>
    </row>
    <row r="73" spans="1:15" x14ac:dyDescent="0.25">
      <c r="A73" s="9" t="s">
        <v>22</v>
      </c>
      <c r="B73" s="9" t="s">
        <v>26</v>
      </c>
      <c r="C73" s="9" t="s">
        <v>31</v>
      </c>
      <c r="D73" s="9" t="s">
        <v>15</v>
      </c>
      <c r="E73" s="9">
        <v>2012</v>
      </c>
      <c r="F73" s="44">
        <f t="shared" si="0"/>
        <v>13.475715267756142</v>
      </c>
      <c r="G73" s="38">
        <v>13.518546115604048</v>
      </c>
      <c r="H73" s="38">
        <v>7.3589978251533168</v>
      </c>
      <c r="I73" s="38">
        <v>21.609943712181117</v>
      </c>
      <c r="J73" s="24">
        <v>15.456617512084685</v>
      </c>
      <c r="K73" s="9">
        <v>0.87184115523465699</v>
      </c>
      <c r="L73" s="9"/>
      <c r="M73" s="9"/>
      <c r="N73" s="9"/>
      <c r="O73" s="9"/>
    </row>
    <row r="74" spans="1:15" x14ac:dyDescent="0.25">
      <c r="A74" s="9" t="s">
        <v>22</v>
      </c>
      <c r="B74" s="9" t="s">
        <v>26</v>
      </c>
      <c r="C74" s="9" t="s">
        <v>19</v>
      </c>
      <c r="D74" s="9" t="s">
        <v>15</v>
      </c>
      <c r="E74" s="9">
        <v>2012</v>
      </c>
      <c r="F74" s="44">
        <f t="shared" si="0"/>
        <v>45.480539028676979</v>
      </c>
      <c r="G74" s="38">
        <v>45.467703396665755</v>
      </c>
      <c r="H74" s="38">
        <v>33.442095865917999</v>
      </c>
      <c r="I74" s="38">
        <v>59.764409729702905</v>
      </c>
      <c r="J74" s="24">
        <v>52.166084103285812</v>
      </c>
      <c r="K74" s="9">
        <v>0.87184115523465699</v>
      </c>
      <c r="L74" s="9"/>
      <c r="M74" s="9"/>
      <c r="N74" s="9"/>
      <c r="O74" s="9"/>
    </row>
    <row r="75" spans="1:15" x14ac:dyDescent="0.25">
      <c r="A75" s="9" t="s">
        <v>22</v>
      </c>
      <c r="B75" s="9" t="s">
        <v>26</v>
      </c>
      <c r="C75" s="9" t="s">
        <v>20</v>
      </c>
      <c r="D75" s="9" t="s">
        <v>15</v>
      </c>
      <c r="E75" s="9">
        <v>2012</v>
      </c>
      <c r="F75" s="44">
        <f t="shared" si="0"/>
        <v>3.2566311897077345</v>
      </c>
      <c r="G75" s="38">
        <v>3.2559148201599371</v>
      </c>
      <c r="H75" s="38">
        <v>0.7717194538247355</v>
      </c>
      <c r="I75" s="38">
        <v>7.5068108439558383</v>
      </c>
      <c r="J75" s="24">
        <v>3.7353492320871324</v>
      </c>
      <c r="K75" s="9">
        <v>0.87184115523465699</v>
      </c>
      <c r="L75" s="9"/>
      <c r="M75" s="9"/>
      <c r="N75" s="9"/>
      <c r="O75" s="9"/>
    </row>
    <row r="76" spans="1:15" x14ac:dyDescent="0.25">
      <c r="A76" s="9" t="s">
        <v>22</v>
      </c>
      <c r="B76" s="9" t="s">
        <v>27</v>
      </c>
      <c r="C76" s="9" t="s">
        <v>31</v>
      </c>
      <c r="D76" s="9" t="s">
        <v>11</v>
      </c>
      <c r="E76" s="9">
        <v>2012</v>
      </c>
      <c r="F76" s="44">
        <f t="shared" si="0"/>
        <v>2.8783081154430592</v>
      </c>
      <c r="G76" s="38">
        <v>2.9041139380840386</v>
      </c>
      <c r="H76" s="38">
        <v>0.58142273798957844</v>
      </c>
      <c r="I76" s="38">
        <v>7.0278017295091102</v>
      </c>
      <c r="J76" s="24">
        <v>3.3014134491831366</v>
      </c>
      <c r="K76" s="9">
        <v>0.87184115523465699</v>
      </c>
      <c r="L76" s="9"/>
      <c r="M76" s="9"/>
      <c r="N76" s="9"/>
      <c r="O76" s="9"/>
    </row>
    <row r="77" spans="1:15" x14ac:dyDescent="0.25">
      <c r="A77" s="9" t="s">
        <v>22</v>
      </c>
      <c r="B77" s="9" t="s">
        <v>27</v>
      </c>
      <c r="C77" s="9" t="s">
        <v>19</v>
      </c>
      <c r="D77" s="9" t="s">
        <v>11</v>
      </c>
      <c r="E77" s="9">
        <v>2012</v>
      </c>
      <c r="F77" s="44">
        <f t="shared" si="0"/>
        <v>9.7142898896203267</v>
      </c>
      <c r="G77" s="38">
        <v>9.6844276491607477</v>
      </c>
      <c r="H77" s="38">
        <v>4.4991791571416391</v>
      </c>
      <c r="I77" s="38">
        <v>16.77149187061768</v>
      </c>
      <c r="J77" s="24">
        <v>11.142270390993087</v>
      </c>
      <c r="K77" s="9">
        <v>0.87184115523465699</v>
      </c>
      <c r="L77" s="9"/>
      <c r="M77" s="9"/>
      <c r="N77" s="9"/>
      <c r="O77" s="9"/>
    </row>
    <row r="78" spans="1:15" x14ac:dyDescent="0.25">
      <c r="A78" s="9" t="s">
        <v>22</v>
      </c>
      <c r="B78" s="9" t="s">
        <v>27</v>
      </c>
      <c r="C78" s="9" t="s">
        <v>20</v>
      </c>
      <c r="D78" s="9" t="s">
        <v>11</v>
      </c>
      <c r="E78" s="9">
        <v>2012</v>
      </c>
      <c r="F78" s="44">
        <f t="shared" si="0"/>
        <v>0.69559112789873934</v>
      </c>
      <c r="G78" s="38">
        <v>0.68845364461331382</v>
      </c>
      <c r="H78" s="38">
        <v>3.9992504549168258E-3</v>
      </c>
      <c r="I78" s="38">
        <v>2.9889360868878683</v>
      </c>
      <c r="J78" s="24">
        <v>0.79784158355259138</v>
      </c>
      <c r="K78" s="9">
        <v>0.87184115523465699</v>
      </c>
      <c r="L78" s="9"/>
      <c r="M78" s="9"/>
      <c r="N78" s="9"/>
      <c r="O78" s="9"/>
    </row>
    <row r="79" spans="1:15" x14ac:dyDescent="0.25">
      <c r="A79" s="9" t="s">
        <v>22</v>
      </c>
      <c r="B79" s="9" t="s">
        <v>28</v>
      </c>
      <c r="C79" s="9" t="s">
        <v>31</v>
      </c>
      <c r="D79" s="9" t="s">
        <v>12</v>
      </c>
      <c r="E79" s="9">
        <v>2012</v>
      </c>
      <c r="F79" s="44">
        <f t="shared" si="0"/>
        <v>9.9432462169851146</v>
      </c>
      <c r="G79" s="38">
        <v>9.9215121724490665</v>
      </c>
      <c r="H79" s="38">
        <v>4.7548497209555824</v>
      </c>
      <c r="I79" s="38">
        <v>16.979223915502622</v>
      </c>
      <c r="J79" s="24">
        <v>11.404882824450835</v>
      </c>
      <c r="K79" s="9">
        <v>0.87184115523465699</v>
      </c>
      <c r="L79" s="9"/>
      <c r="M79" s="9"/>
      <c r="N79" s="9"/>
      <c r="O79" s="9"/>
    </row>
    <row r="80" spans="1:15" x14ac:dyDescent="0.25">
      <c r="A80" s="9" t="s">
        <v>22</v>
      </c>
      <c r="B80" s="9" t="s">
        <v>28</v>
      </c>
      <c r="C80" s="9" t="s">
        <v>19</v>
      </c>
      <c r="D80" s="9" t="s">
        <v>12</v>
      </c>
      <c r="E80" s="9">
        <v>2012</v>
      </c>
      <c r="F80" s="44">
        <f t="shared" si="0"/>
        <v>33.558455982324759</v>
      </c>
      <c r="G80" s="38">
        <v>33.434344872469978</v>
      </c>
      <c r="H80" s="38">
        <v>23.13659196003351</v>
      </c>
      <c r="I80" s="38">
        <v>45.480215671311626</v>
      </c>
      <c r="J80" s="24">
        <v>38.491479532521566</v>
      </c>
      <c r="K80" s="9">
        <v>0.87184115523465699</v>
      </c>
      <c r="L80" s="9"/>
      <c r="M80" s="9"/>
      <c r="N80" s="9"/>
      <c r="O80" s="9"/>
    </row>
    <row r="81" spans="1:15" x14ac:dyDescent="0.25">
      <c r="A81" s="9" t="s">
        <v>22</v>
      </c>
      <c r="B81" s="9" t="s">
        <v>28</v>
      </c>
      <c r="C81" s="9" t="s">
        <v>20</v>
      </c>
      <c r="D81" s="9" t="s">
        <v>12</v>
      </c>
      <c r="E81" s="9">
        <v>2012</v>
      </c>
      <c r="F81" s="44">
        <f t="shared" si="0"/>
        <v>2.4029511691047358</v>
      </c>
      <c r="G81" s="38">
        <v>2.4015799105165629</v>
      </c>
      <c r="H81" s="38">
        <v>0.38136060430283664</v>
      </c>
      <c r="I81" s="38">
        <v>6.3003669495134451</v>
      </c>
      <c r="J81" s="24">
        <v>2.756180015908952</v>
      </c>
      <c r="K81" s="9">
        <v>0.87184115523465699</v>
      </c>
      <c r="L81" s="9"/>
      <c r="M81" s="9"/>
      <c r="N81" s="9"/>
      <c r="O81" s="9"/>
    </row>
    <row r="82" spans="1:15" x14ac:dyDescent="0.25">
      <c r="A82" s="9" t="s">
        <v>22</v>
      </c>
      <c r="B82" s="9" t="s">
        <v>28</v>
      </c>
      <c r="C82" s="9" t="s">
        <v>31</v>
      </c>
      <c r="D82" s="9" t="s">
        <v>15</v>
      </c>
      <c r="E82" s="9">
        <v>2012</v>
      </c>
      <c r="F82" s="44">
        <f t="shared" si="0"/>
        <v>11.251568087641049</v>
      </c>
      <c r="G82" s="38">
        <v>11.3109140241354</v>
      </c>
      <c r="H82" s="38">
        <v>5.6003512602921965</v>
      </c>
      <c r="I82" s="38">
        <v>18.915763643711973</v>
      </c>
      <c r="J82" s="24">
        <v>12.90552530135226</v>
      </c>
      <c r="K82" s="9">
        <v>0.87184115523465699</v>
      </c>
      <c r="L82" s="9"/>
      <c r="M82" s="9"/>
      <c r="N82" s="9"/>
      <c r="O82" s="9"/>
    </row>
    <row r="83" spans="1:15" x14ac:dyDescent="0.25">
      <c r="A83" s="9" t="s">
        <v>22</v>
      </c>
      <c r="B83" s="9" t="s">
        <v>28</v>
      </c>
      <c r="C83" s="9" t="s">
        <v>19</v>
      </c>
      <c r="D83" s="9" t="s">
        <v>15</v>
      </c>
      <c r="E83" s="9">
        <v>2012</v>
      </c>
      <c r="F83" s="44">
        <f t="shared" si="0"/>
        <v>37.974042295788536</v>
      </c>
      <c r="G83" s="38">
        <v>37.948814548718381</v>
      </c>
      <c r="H83" s="38">
        <v>26.94659670987728</v>
      </c>
      <c r="I83" s="38">
        <v>51.12704666125007</v>
      </c>
      <c r="J83" s="24">
        <v>43.556147892063869</v>
      </c>
      <c r="K83" s="9">
        <v>0.87184115523465699</v>
      </c>
      <c r="L83" s="9"/>
      <c r="M83" s="9"/>
      <c r="N83" s="9"/>
      <c r="O83" s="9"/>
    </row>
    <row r="84" spans="1:15" ht="15.75" thickBot="1" x14ac:dyDescent="0.3">
      <c r="A84" s="6" t="s">
        <v>22</v>
      </c>
      <c r="B84" s="6" t="s">
        <v>28</v>
      </c>
      <c r="C84" s="6" t="s">
        <v>20</v>
      </c>
      <c r="D84" s="6" t="s">
        <v>15</v>
      </c>
      <c r="E84" s="6">
        <v>2012</v>
      </c>
      <c r="F84" s="45">
        <f t="shared" si="0"/>
        <v>2.7191289545132533</v>
      </c>
      <c r="G84" s="65">
        <v>2.7342775203626464</v>
      </c>
      <c r="H84" s="65">
        <v>0.4972306063436206</v>
      </c>
      <c r="I84" s="65">
        <v>6.7013197051060542</v>
      </c>
      <c r="J84" s="42">
        <v>3.1188352811601292</v>
      </c>
      <c r="K84" s="6">
        <v>0.87184115523465699</v>
      </c>
      <c r="L84" s="6"/>
      <c r="M84" s="6"/>
      <c r="N84" s="6"/>
      <c r="O84" s="9"/>
    </row>
    <row r="85" spans="1:15" x14ac:dyDescent="0.25">
      <c r="A85" s="9" t="s">
        <v>10</v>
      </c>
      <c r="B85" s="9" t="s">
        <v>11</v>
      </c>
      <c r="C85" s="9" t="s">
        <v>11</v>
      </c>
      <c r="D85" s="9" t="s">
        <v>11</v>
      </c>
      <c r="E85" s="9">
        <v>2013</v>
      </c>
      <c r="F85" s="44">
        <f>SUM(F86:F88,F90:F95,F97:F105)</f>
        <v>16301.666666666664</v>
      </c>
      <c r="G85" s="38">
        <v>16300.8182</v>
      </c>
      <c r="H85" s="38">
        <v>16054</v>
      </c>
      <c r="I85" s="38">
        <v>16547</v>
      </c>
      <c r="J85" s="24"/>
      <c r="K85" s="9"/>
      <c r="L85" s="9"/>
      <c r="M85" s="9"/>
      <c r="N85" s="9"/>
      <c r="O85" s="9"/>
    </row>
    <row r="86" spans="1:15" x14ac:dyDescent="0.25">
      <c r="A86" s="9" t="s">
        <v>10</v>
      </c>
      <c r="B86" s="9" t="s">
        <v>24</v>
      </c>
      <c r="C86" s="9" t="s">
        <v>31</v>
      </c>
      <c r="D86" s="9" t="s">
        <v>11</v>
      </c>
      <c r="E86" s="9">
        <v>2013</v>
      </c>
      <c r="F86" s="44">
        <f t="shared" si="0"/>
        <v>896.37287726600914</v>
      </c>
      <c r="G86" s="38">
        <v>896.46594819149971</v>
      </c>
      <c r="H86" s="38">
        <v>838.08164121058394</v>
      </c>
      <c r="I86" s="38">
        <v>956.43268655318911</v>
      </c>
      <c r="J86" s="24">
        <v>952.01429734865633</v>
      </c>
      <c r="K86" s="9">
        <v>0.94155400792025123</v>
      </c>
      <c r="L86" s="9"/>
      <c r="M86" s="9"/>
      <c r="O86" s="9"/>
    </row>
    <row r="87" spans="1:15" x14ac:dyDescent="0.25">
      <c r="A87" s="9" t="s">
        <v>10</v>
      </c>
      <c r="B87" s="9" t="s">
        <v>24</v>
      </c>
      <c r="C87" s="9" t="s">
        <v>19</v>
      </c>
      <c r="D87" s="9" t="s">
        <v>11</v>
      </c>
      <c r="E87" s="9">
        <v>2013</v>
      </c>
      <c r="F87" s="44">
        <f t="shared" si="0"/>
        <v>3030.247338099116</v>
      </c>
      <c r="G87" s="38">
        <v>3030.4405200474307</v>
      </c>
      <c r="H87" s="38">
        <v>2924.6529576200778</v>
      </c>
      <c r="I87" s="38">
        <v>3138.5687195604387</v>
      </c>
      <c r="J87" s="24">
        <v>3204.3217808343134</v>
      </c>
      <c r="K87" s="9">
        <v>0.94567510548523204</v>
      </c>
      <c r="L87" s="9"/>
      <c r="M87" s="9"/>
      <c r="O87" s="9"/>
    </row>
    <row r="88" spans="1:15" x14ac:dyDescent="0.25">
      <c r="A88" s="9" t="s">
        <v>10</v>
      </c>
      <c r="B88" s="9" t="s">
        <v>24</v>
      </c>
      <c r="C88" s="9" t="s">
        <v>20</v>
      </c>
      <c r="D88" s="9" t="s">
        <v>11</v>
      </c>
      <c r="E88" s="9">
        <v>2013</v>
      </c>
      <c r="F88" s="44">
        <f t="shared" si="0"/>
        <v>148.85379905287604</v>
      </c>
      <c r="G88" s="38">
        <v>148.85983249161811</v>
      </c>
      <c r="H88" s="38">
        <v>125.89075842865614</v>
      </c>
      <c r="I88" s="38">
        <v>173.28249835445985</v>
      </c>
      <c r="J88" s="24">
        <v>153.66392181703011</v>
      </c>
      <c r="K88" s="9">
        <v>0.96869712351945858</v>
      </c>
      <c r="L88" s="9"/>
      <c r="M88" s="9"/>
      <c r="O88" s="9"/>
    </row>
    <row r="89" spans="1:15" x14ac:dyDescent="0.25">
      <c r="A89" s="9" t="s">
        <v>10</v>
      </c>
      <c r="B89" s="9" t="s">
        <v>26</v>
      </c>
      <c r="C89" s="9" t="s">
        <v>11</v>
      </c>
      <c r="D89" s="9" t="s">
        <v>11</v>
      </c>
      <c r="E89" s="9">
        <v>2013</v>
      </c>
      <c r="F89" s="44">
        <f>SUM(F90:F95)</f>
        <v>4411.5080282824838</v>
      </c>
      <c r="G89" s="38"/>
      <c r="H89" s="38"/>
      <c r="I89" s="38"/>
      <c r="J89" s="24"/>
      <c r="K89" s="9"/>
      <c r="L89" s="9"/>
      <c r="M89" s="9"/>
      <c r="O89" s="9"/>
    </row>
    <row r="90" spans="1:15" x14ac:dyDescent="0.25">
      <c r="A90" s="9" t="s">
        <v>10</v>
      </c>
      <c r="B90" s="9" t="s">
        <v>26</v>
      </c>
      <c r="C90" s="9" t="s">
        <v>31</v>
      </c>
      <c r="D90" s="9" t="s">
        <v>12</v>
      </c>
      <c r="E90" s="9">
        <v>2013</v>
      </c>
      <c r="F90" s="44">
        <f t="shared" si="0"/>
        <v>578.37887973939007</v>
      </c>
      <c r="G90" s="38">
        <v>578.28546017964982</v>
      </c>
      <c r="H90" s="38">
        <v>532.44181513253284</v>
      </c>
      <c r="I90" s="38">
        <v>625.54781064312124</v>
      </c>
      <c r="J90" s="24">
        <v>614.28115102705635</v>
      </c>
      <c r="K90" s="9">
        <v>0.94155400792025123</v>
      </c>
      <c r="L90" s="9"/>
      <c r="M90" s="9"/>
      <c r="O90" s="9"/>
    </row>
    <row r="91" spans="1:15" x14ac:dyDescent="0.25">
      <c r="A91" s="9" t="s">
        <v>10</v>
      </c>
      <c r="B91" s="9" t="s">
        <v>26</v>
      </c>
      <c r="C91" s="9" t="s">
        <v>19</v>
      </c>
      <c r="D91" s="9" t="s">
        <v>12</v>
      </c>
      <c r="E91" s="9">
        <v>2013</v>
      </c>
      <c r="F91" s="44">
        <f t="shared" si="0"/>
        <v>1955.2477603836755</v>
      </c>
      <c r="G91" s="38">
        <v>1955.1458068619343</v>
      </c>
      <c r="H91" s="38">
        <v>1869.7376269152057</v>
      </c>
      <c r="I91" s="38">
        <v>2042.3284980235583</v>
      </c>
      <c r="J91" s="24">
        <v>2067.5681838747623</v>
      </c>
      <c r="K91" s="9">
        <v>0.94567510548523204</v>
      </c>
      <c r="L91" s="9"/>
      <c r="M91" s="9"/>
      <c r="O91" s="9"/>
    </row>
    <row r="92" spans="1:15" x14ac:dyDescent="0.25">
      <c r="A92" s="9" t="s">
        <v>10</v>
      </c>
      <c r="B92" s="9" t="s">
        <v>26</v>
      </c>
      <c r="C92" s="9" t="s">
        <v>20</v>
      </c>
      <c r="D92" s="9" t="s">
        <v>12</v>
      </c>
      <c r="E92" s="9">
        <v>2013</v>
      </c>
      <c r="F92" s="44">
        <f t="shared" si="0"/>
        <v>96.046964075649257</v>
      </c>
      <c r="G92" s="38">
        <v>95.926580157987516</v>
      </c>
      <c r="H92" s="38">
        <v>77.528916741106229</v>
      </c>
      <c r="I92" s="38">
        <v>116.23216311069298</v>
      </c>
      <c r="J92" s="3">
        <v>99.15066509818115</v>
      </c>
      <c r="K92" s="9">
        <v>0.96869712351945858</v>
      </c>
      <c r="L92" s="9"/>
      <c r="M92" s="9"/>
      <c r="O92" s="9"/>
    </row>
    <row r="93" spans="1:15" x14ac:dyDescent="0.25">
      <c r="A93" s="9" t="s">
        <v>10</v>
      </c>
      <c r="B93" s="9" t="s">
        <v>26</v>
      </c>
      <c r="C93" s="9" t="s">
        <v>31</v>
      </c>
      <c r="D93" s="9" t="s">
        <v>15</v>
      </c>
      <c r="E93" s="9">
        <v>2013</v>
      </c>
      <c r="F93" s="44">
        <f t="shared" si="0"/>
        <v>216.38590750436302</v>
      </c>
      <c r="G93" s="38">
        <v>216.40647734718536</v>
      </c>
      <c r="H93" s="38">
        <v>188.78215970898259</v>
      </c>
      <c r="I93" s="38">
        <v>246.324391888653</v>
      </c>
      <c r="J93" s="24">
        <v>225.92637434554976</v>
      </c>
      <c r="K93" s="9">
        <v>0.95777178796046725</v>
      </c>
      <c r="L93" s="9"/>
      <c r="M93" s="9"/>
      <c r="O93" s="9"/>
    </row>
    <row r="94" spans="1:15" x14ac:dyDescent="0.25">
      <c r="A94" s="9" t="s">
        <v>10</v>
      </c>
      <c r="B94" s="9" t="s">
        <v>26</v>
      </c>
      <c r="C94" s="9" t="s">
        <v>19</v>
      </c>
      <c r="D94" s="9" t="s">
        <v>15</v>
      </c>
      <c r="E94" s="9">
        <v>2013</v>
      </c>
      <c r="F94" s="44">
        <f t="shared" si="0"/>
        <v>1527.5911321989529</v>
      </c>
      <c r="G94" s="38">
        <v>1526.9558807165854</v>
      </c>
      <c r="H94" s="38">
        <v>1451.2645147727626</v>
      </c>
      <c r="I94" s="38">
        <v>1604.7842862947737</v>
      </c>
      <c r="J94" s="24">
        <v>1595.7953206806283</v>
      </c>
      <c r="K94" s="9">
        <v>0.95726006487311577</v>
      </c>
      <c r="L94" s="9"/>
      <c r="M94" s="9"/>
      <c r="O94" s="9"/>
    </row>
    <row r="95" spans="1:15" x14ac:dyDescent="0.25">
      <c r="A95" s="9" t="s">
        <v>10</v>
      </c>
      <c r="B95" s="9" t="s">
        <v>26</v>
      </c>
      <c r="C95" s="9" t="s">
        <v>20</v>
      </c>
      <c r="D95" s="9" t="s">
        <v>15</v>
      </c>
      <c r="E95" s="9">
        <v>2013</v>
      </c>
      <c r="F95" s="44">
        <f t="shared" si="0"/>
        <v>37.857384380453752</v>
      </c>
      <c r="G95" s="38">
        <v>37.784704179397153</v>
      </c>
      <c r="H95" s="38">
        <v>26.807269395716901</v>
      </c>
      <c r="I95" s="38">
        <v>50.316800626952464</v>
      </c>
      <c r="J95" s="3">
        <v>39.278304973821989</v>
      </c>
      <c r="K95" s="9">
        <v>0.96382428940568476</v>
      </c>
      <c r="L95" s="9"/>
      <c r="M95" s="9"/>
      <c r="O95" s="9"/>
    </row>
    <row r="96" spans="1:15" x14ac:dyDescent="0.25">
      <c r="A96" s="9" t="s">
        <v>10</v>
      </c>
      <c r="B96" s="9" t="s">
        <v>27</v>
      </c>
      <c r="C96" s="9" t="s">
        <v>11</v>
      </c>
      <c r="D96" s="9" t="s">
        <v>11</v>
      </c>
      <c r="E96" s="9">
        <v>2013</v>
      </c>
      <c r="F96" s="44">
        <f>SUM(F97:F99)</f>
        <v>495.48686393388232</v>
      </c>
      <c r="G96" s="38"/>
      <c r="H96" s="38"/>
      <c r="I96" s="38"/>
      <c r="J96" s="3"/>
      <c r="K96" s="9"/>
      <c r="L96" s="9"/>
      <c r="M96" s="9"/>
      <c r="O96" s="9"/>
    </row>
    <row r="97" spans="1:15" x14ac:dyDescent="0.25">
      <c r="A97" s="9" t="s">
        <v>10</v>
      </c>
      <c r="B97" s="9" t="s">
        <v>27</v>
      </c>
      <c r="C97" s="9" t="s">
        <v>31</v>
      </c>
      <c r="D97" s="9" t="s">
        <v>11</v>
      </c>
      <c r="E97" s="9">
        <v>2013</v>
      </c>
      <c r="F97" s="44">
        <f t="shared" si="0"/>
        <v>108.97897626157513</v>
      </c>
      <c r="G97" s="38">
        <v>108.92954724240911</v>
      </c>
      <c r="H97" s="38">
        <v>89.02077689732819</v>
      </c>
      <c r="I97" s="38">
        <v>130.3466923883453</v>
      </c>
      <c r="J97" s="24">
        <v>115.74373359876935</v>
      </c>
      <c r="K97" s="9">
        <v>0.94155400792025123</v>
      </c>
      <c r="L97" s="9"/>
      <c r="M97" s="9"/>
      <c r="O97" s="9"/>
    </row>
    <row r="98" spans="1:15" x14ac:dyDescent="0.25">
      <c r="A98" s="9" t="s">
        <v>10</v>
      </c>
      <c r="B98" s="9" t="s">
        <v>27</v>
      </c>
      <c r="C98" s="9" t="s">
        <v>19</v>
      </c>
      <c r="D98" s="9" t="s">
        <v>11</v>
      </c>
      <c r="E98" s="9">
        <v>2013</v>
      </c>
      <c r="F98" s="44">
        <f t="shared" si="0"/>
        <v>368.41058124453292</v>
      </c>
      <c r="G98" s="38">
        <v>368.23902592317239</v>
      </c>
      <c r="H98" s="38">
        <v>331.45751919909435</v>
      </c>
      <c r="I98" s="38">
        <v>406.78981661667723</v>
      </c>
      <c r="J98" s="3">
        <v>389.57415618496066</v>
      </c>
      <c r="K98" s="9">
        <v>0.94567510548523204</v>
      </c>
      <c r="L98" s="9"/>
      <c r="M98" s="9"/>
      <c r="O98" s="9"/>
    </row>
    <row r="99" spans="1:15" x14ac:dyDescent="0.25">
      <c r="A99" s="9" t="s">
        <v>10</v>
      </c>
      <c r="B99" s="9" t="s">
        <v>27</v>
      </c>
      <c r="C99" s="9" t="s">
        <v>20</v>
      </c>
      <c r="D99" s="9" t="s">
        <v>11</v>
      </c>
      <c r="E99" s="9">
        <v>2013</v>
      </c>
      <c r="F99" s="44">
        <f t="shared" si="0"/>
        <v>18.097306427774257</v>
      </c>
      <c r="G99" s="38">
        <v>18.058620259463449</v>
      </c>
      <c r="H99" s="38">
        <v>10.649759656883361</v>
      </c>
      <c r="I99" s="38">
        <v>27.330810565378659</v>
      </c>
      <c r="J99" s="3">
        <v>18.682110216270019</v>
      </c>
      <c r="K99" s="9">
        <v>0.96869712351945858</v>
      </c>
      <c r="L99" s="9"/>
      <c r="M99" s="9"/>
      <c r="O99" s="9"/>
    </row>
    <row r="100" spans="1:15" x14ac:dyDescent="0.25">
      <c r="A100" s="9" t="s">
        <v>10</v>
      </c>
      <c r="B100" s="9" t="s">
        <v>28</v>
      </c>
      <c r="C100" s="9" t="s">
        <v>31</v>
      </c>
      <c r="D100" s="9" t="s">
        <v>12</v>
      </c>
      <c r="E100" s="9">
        <v>2013</v>
      </c>
      <c r="F100" s="44">
        <f t="shared" si="0"/>
        <v>714.60260006635895</v>
      </c>
      <c r="G100" s="38">
        <v>714.84191058687065</v>
      </c>
      <c r="H100" s="38">
        <v>663.11772924559784</v>
      </c>
      <c r="I100" s="38">
        <v>768.521318073256</v>
      </c>
      <c r="J100" s="24">
        <v>758.96081802551805</v>
      </c>
      <c r="K100" s="9">
        <v>0.94155400792025123</v>
      </c>
      <c r="L100" s="9"/>
      <c r="M100" s="9"/>
      <c r="O100" s="9"/>
    </row>
    <row r="101" spans="1:15" x14ac:dyDescent="0.25">
      <c r="A101" s="9" t="s">
        <v>10</v>
      </c>
      <c r="B101" s="9" t="s">
        <v>28</v>
      </c>
      <c r="C101" s="9" t="s">
        <v>19</v>
      </c>
      <c r="D101" s="9" t="s">
        <v>12</v>
      </c>
      <c r="E101" s="9">
        <v>2013</v>
      </c>
      <c r="F101" s="44">
        <f t="shared" si="0"/>
        <v>2415.7609869393418</v>
      </c>
      <c r="G101" s="38">
        <v>2415.4194346285708</v>
      </c>
      <c r="H101" s="38">
        <v>2319.9739528294485</v>
      </c>
      <c r="I101" s="38">
        <v>2511.4009836644318</v>
      </c>
      <c r="J101" s="24">
        <v>2554.5358791059634</v>
      </c>
      <c r="K101" s="9">
        <v>0.94567510548523204</v>
      </c>
      <c r="L101" s="9"/>
      <c r="M101" s="9"/>
      <c r="O101" s="9"/>
    </row>
    <row r="102" spans="1:15" x14ac:dyDescent="0.25">
      <c r="A102" s="9" t="s">
        <v>10</v>
      </c>
      <c r="B102" s="9" t="s">
        <v>28</v>
      </c>
      <c r="C102" s="9" t="s">
        <v>20</v>
      </c>
      <c r="D102" s="9" t="s">
        <v>12</v>
      </c>
      <c r="E102" s="9">
        <v>2013</v>
      </c>
      <c r="F102" s="44">
        <f t="shared" si="0"/>
        <v>118.66859711036707</v>
      </c>
      <c r="G102" s="38">
        <v>118.68027992772154</v>
      </c>
      <c r="H102" s="38">
        <v>98.614907641653943</v>
      </c>
      <c r="I102" s="38">
        <v>140.61729125542436</v>
      </c>
      <c r="J102" s="24">
        <v>122.50330286851867</v>
      </c>
      <c r="K102" s="9">
        <v>0.96869712351945858</v>
      </c>
      <c r="L102" s="9"/>
      <c r="M102" s="9"/>
      <c r="O102" s="9"/>
    </row>
    <row r="103" spans="1:15" x14ac:dyDescent="0.25">
      <c r="A103" s="9" t="s">
        <v>10</v>
      </c>
      <c r="B103" s="9" t="s">
        <v>28</v>
      </c>
      <c r="C103" s="9" t="s">
        <v>31</v>
      </c>
      <c r="D103" s="9" t="s">
        <v>15</v>
      </c>
      <c r="E103" s="9">
        <v>2013</v>
      </c>
      <c r="F103" s="44">
        <f t="shared" si="0"/>
        <v>494.28075916230375</v>
      </c>
      <c r="G103" s="38">
        <v>494.2527604840671</v>
      </c>
      <c r="H103" s="38">
        <v>450.87728436458963</v>
      </c>
      <c r="I103" s="38">
        <v>538.91195943423168</v>
      </c>
      <c r="J103" s="24">
        <v>516.07362565445032</v>
      </c>
      <c r="K103" s="9">
        <v>0.95777178796046725</v>
      </c>
      <c r="L103" s="9"/>
      <c r="M103" s="9"/>
      <c r="O103" s="9"/>
    </row>
    <row r="104" spans="1:15" x14ac:dyDescent="0.25">
      <c r="A104" s="9" t="s">
        <v>10</v>
      </c>
      <c r="B104" s="9" t="s">
        <v>28</v>
      </c>
      <c r="C104" s="9" t="s">
        <v>19</v>
      </c>
      <c r="D104" s="9" t="s">
        <v>15</v>
      </c>
      <c r="E104" s="9">
        <v>2013</v>
      </c>
      <c r="F104" s="44">
        <f t="shared" si="0"/>
        <v>3489.4088678010471</v>
      </c>
      <c r="G104" s="38">
        <v>3489.7259288631026</v>
      </c>
      <c r="H104" s="38">
        <v>3376.8655047579737</v>
      </c>
      <c r="I104" s="38">
        <v>3604.9047197121586</v>
      </c>
      <c r="J104" s="24">
        <v>3645.2046793193717</v>
      </c>
      <c r="K104" s="9">
        <v>0.95726006487311577</v>
      </c>
      <c r="L104" s="9"/>
      <c r="M104" s="9"/>
      <c r="O104" s="9"/>
    </row>
    <row r="105" spans="1:15" x14ac:dyDescent="0.25">
      <c r="A105" s="9" t="s">
        <v>10</v>
      </c>
      <c r="B105" s="9" t="s">
        <v>28</v>
      </c>
      <c r="C105" s="9" t="s">
        <v>20</v>
      </c>
      <c r="D105" s="9" t="s">
        <v>15</v>
      </c>
      <c r="E105" s="9">
        <v>2013</v>
      </c>
      <c r="F105" s="44">
        <f t="shared" si="0"/>
        <v>86.475948952879577</v>
      </c>
      <c r="G105" s="38">
        <v>86.399481911334064</v>
      </c>
      <c r="H105" s="38">
        <v>69.493027246278814</v>
      </c>
      <c r="I105" s="38">
        <v>105.4326704971526</v>
      </c>
      <c r="J105" s="24">
        <v>89.721695026178011</v>
      </c>
      <c r="K105" s="9">
        <v>0.96382428940568476</v>
      </c>
      <c r="L105" s="9"/>
      <c r="M105" s="9"/>
      <c r="O105" s="9"/>
    </row>
    <row r="106" spans="1:15" x14ac:dyDescent="0.25">
      <c r="A106" s="9" t="s">
        <v>21</v>
      </c>
      <c r="B106" s="9" t="s">
        <v>11</v>
      </c>
      <c r="C106" s="9" t="s">
        <v>11</v>
      </c>
      <c r="D106" s="9" t="s">
        <v>11</v>
      </c>
      <c r="E106" s="9">
        <v>2013</v>
      </c>
      <c r="F106" s="44">
        <f>SUM(F109:F126)</f>
        <v>597.24857881136938</v>
      </c>
      <c r="G106" s="38">
        <v>597.44029999999998</v>
      </c>
      <c r="H106" s="38">
        <v>550</v>
      </c>
      <c r="I106" s="38">
        <v>646</v>
      </c>
      <c r="J106" s="3"/>
      <c r="K106" s="9"/>
      <c r="L106" s="9"/>
      <c r="M106" s="9"/>
      <c r="O106" s="9"/>
    </row>
    <row r="107" spans="1:15" x14ac:dyDescent="0.25">
      <c r="A107" s="9" t="s">
        <v>21</v>
      </c>
      <c r="B107" s="9" t="s">
        <v>11</v>
      </c>
      <c r="C107" s="9" t="s">
        <v>19</v>
      </c>
      <c r="D107" s="9" t="s">
        <v>11</v>
      </c>
      <c r="E107" s="9">
        <v>2013</v>
      </c>
      <c r="F107" s="44">
        <f>SUM(F110,F113,F116,F119,F122,F125)</f>
        <v>434.97364341085267</v>
      </c>
      <c r="G107" s="38"/>
      <c r="H107" s="38"/>
      <c r="I107" s="38"/>
      <c r="J107" s="3"/>
      <c r="K107" s="9"/>
      <c r="L107" s="9"/>
      <c r="M107" s="9"/>
      <c r="O107" s="9"/>
    </row>
    <row r="108" spans="1:15" x14ac:dyDescent="0.25">
      <c r="A108" s="9" t="s">
        <v>21</v>
      </c>
      <c r="B108" s="9" t="s">
        <v>24</v>
      </c>
      <c r="C108" s="9" t="s">
        <v>11</v>
      </c>
      <c r="D108" s="9" t="s">
        <v>11</v>
      </c>
      <c r="E108" s="9">
        <v>2013</v>
      </c>
      <c r="F108" s="44">
        <f>SUM(F109:F111)</f>
        <v>289.02222222222224</v>
      </c>
      <c r="G108" s="38"/>
      <c r="H108" s="38"/>
      <c r="I108" s="38"/>
      <c r="J108" s="3"/>
      <c r="K108" s="9"/>
      <c r="L108" s="9"/>
      <c r="M108" s="9"/>
      <c r="O108" s="9"/>
    </row>
    <row r="109" spans="1:15" x14ac:dyDescent="0.25">
      <c r="A109" s="9" t="s">
        <v>21</v>
      </c>
      <c r="B109" s="9" t="s">
        <v>24</v>
      </c>
      <c r="C109" s="11" t="s">
        <v>31</v>
      </c>
      <c r="D109" s="9" t="s">
        <v>11</v>
      </c>
      <c r="E109" s="9">
        <v>2013</v>
      </c>
      <c r="F109" s="44">
        <f t="shared" ref="F109:F265" si="1">J109*K109</f>
        <v>63.659235441229008</v>
      </c>
      <c r="G109" s="38">
        <v>63.615192977277928</v>
      </c>
      <c r="H109" s="38">
        <v>48.703111908969184</v>
      </c>
      <c r="I109" s="38">
        <v>80.43761862779921</v>
      </c>
      <c r="J109" s="3">
        <v>66.29742765273312</v>
      </c>
      <c r="K109" s="9">
        <v>0.96020671834625315</v>
      </c>
      <c r="L109" s="9"/>
      <c r="M109" s="9"/>
      <c r="O109" s="9"/>
    </row>
    <row r="110" spans="1:15" x14ac:dyDescent="0.25">
      <c r="A110" s="9" t="s">
        <v>21</v>
      </c>
      <c r="B110" s="9" t="s">
        <v>24</v>
      </c>
      <c r="C110" s="11" t="s">
        <v>19</v>
      </c>
      <c r="D110" s="9" t="s">
        <v>11</v>
      </c>
      <c r="E110" s="9">
        <v>2013</v>
      </c>
      <c r="F110" s="44">
        <f t="shared" si="1"/>
        <v>210.49367631296892</v>
      </c>
      <c r="G110" s="38">
        <v>210.59440198513784</v>
      </c>
      <c r="H110" s="38">
        <v>183.22096798435553</v>
      </c>
      <c r="I110" s="38">
        <v>239.77306459875672</v>
      </c>
      <c r="J110" s="3">
        <v>219.2170418006431</v>
      </c>
      <c r="K110" s="9">
        <v>0.96020671834625315</v>
      </c>
      <c r="L110" s="9"/>
      <c r="M110" s="9"/>
      <c r="O110" s="9"/>
    </row>
    <row r="111" spans="1:15" x14ac:dyDescent="0.25">
      <c r="A111" s="9" t="s">
        <v>21</v>
      </c>
      <c r="B111" s="9" t="s">
        <v>24</v>
      </c>
      <c r="C111" s="11" t="s">
        <v>20</v>
      </c>
      <c r="D111" s="9" t="s">
        <v>11</v>
      </c>
      <c r="E111" s="9">
        <v>2013</v>
      </c>
      <c r="F111" s="44">
        <f t="shared" si="1"/>
        <v>14.869310468024294</v>
      </c>
      <c r="G111" s="38">
        <v>14.881615301328214</v>
      </c>
      <c r="H111" s="38">
        <v>8.4243429913918764</v>
      </c>
      <c r="I111" s="38">
        <v>23.344124156613265</v>
      </c>
      <c r="J111" s="3">
        <v>15.485530546623794</v>
      </c>
      <c r="K111" s="9">
        <v>0.96020671834625315</v>
      </c>
      <c r="L111" s="9"/>
      <c r="M111" s="9"/>
      <c r="O111" s="9"/>
    </row>
    <row r="112" spans="1:15" x14ac:dyDescent="0.25">
      <c r="A112" s="9" t="s">
        <v>21</v>
      </c>
      <c r="B112" s="9" t="s">
        <v>26</v>
      </c>
      <c r="C112" s="11" t="s">
        <v>31</v>
      </c>
      <c r="D112" s="9" t="s">
        <v>12</v>
      </c>
      <c r="E112" s="9">
        <v>2013</v>
      </c>
      <c r="F112" s="44">
        <f t="shared" si="1"/>
        <v>7.3400330096394599</v>
      </c>
      <c r="G112" s="38">
        <v>7.3101892368156483</v>
      </c>
      <c r="H112" s="38">
        <v>2.9690871166253912</v>
      </c>
      <c r="I112" s="38">
        <v>13.261444431661124</v>
      </c>
      <c r="J112" s="3">
        <v>7.6442216758085877</v>
      </c>
      <c r="K112" s="9">
        <v>0.96020671834625315</v>
      </c>
      <c r="L112" s="9"/>
      <c r="M112" s="9"/>
      <c r="O112" s="9"/>
    </row>
    <row r="113" spans="1:15" x14ac:dyDescent="0.25">
      <c r="A113" s="9" t="s">
        <v>21</v>
      </c>
      <c r="B113" s="9" t="s">
        <v>26</v>
      </c>
      <c r="C113" s="11" t="s">
        <v>19</v>
      </c>
      <c r="D113" s="9" t="s">
        <v>12</v>
      </c>
      <c r="E113" s="9">
        <v>2013</v>
      </c>
      <c r="F113" s="44">
        <f t="shared" si="1"/>
        <v>24.270328126764053</v>
      </c>
      <c r="G113" s="38">
        <v>24.288325573115287</v>
      </c>
      <c r="H113" s="38">
        <v>15.561193489206468</v>
      </c>
      <c r="I113" s="38">
        <v>34.855511438226834</v>
      </c>
      <c r="J113" s="3">
        <v>25.276149044826937</v>
      </c>
      <c r="K113" s="9">
        <v>0.96020671834625315</v>
      </c>
      <c r="L113" s="9"/>
      <c r="M113" s="9"/>
      <c r="O113" s="9"/>
    </row>
    <row r="114" spans="1:15" x14ac:dyDescent="0.25">
      <c r="A114" s="9" t="s">
        <v>21</v>
      </c>
      <c r="B114" s="9" t="s">
        <v>26</v>
      </c>
      <c r="C114" s="11" t="s">
        <v>20</v>
      </c>
      <c r="D114" s="9" t="s">
        <v>12</v>
      </c>
      <c r="E114" s="9">
        <v>2013</v>
      </c>
      <c r="F114" s="44">
        <f t="shared" si="1"/>
        <v>1.7144602650252752</v>
      </c>
      <c r="G114" s="38">
        <v>1.7315800195744615</v>
      </c>
      <c r="H114" s="38">
        <v>0.15033634152481767</v>
      </c>
      <c r="I114" s="38">
        <v>5.2056075646753133</v>
      </c>
      <c r="J114" s="3">
        <v>1.7855116323056555</v>
      </c>
      <c r="K114" s="9">
        <v>0.96020671834625315</v>
      </c>
      <c r="L114" s="9"/>
      <c r="M114" s="9"/>
      <c r="O114" s="9"/>
    </row>
    <row r="115" spans="1:15" x14ac:dyDescent="0.25">
      <c r="A115" s="9" t="s">
        <v>21</v>
      </c>
      <c r="B115" s="9" t="s">
        <v>26</v>
      </c>
      <c r="C115" s="11" t="s">
        <v>31</v>
      </c>
      <c r="D115" s="9" t="s">
        <v>15</v>
      </c>
      <c r="E115" s="9">
        <v>2013</v>
      </c>
      <c r="F115" s="44">
        <f t="shared" si="1"/>
        <v>5.138023106747621</v>
      </c>
      <c r="G115" s="38">
        <v>5.1519303127930991</v>
      </c>
      <c r="H115" s="38">
        <v>1.7163432086087438</v>
      </c>
      <c r="I115" s="38">
        <v>10.571156331024397</v>
      </c>
      <c r="J115" s="3">
        <v>5.3509551730660103</v>
      </c>
      <c r="K115" s="9">
        <v>0.96020671834625315</v>
      </c>
      <c r="L115" s="9"/>
      <c r="M115" s="9"/>
      <c r="O115" s="9"/>
    </row>
    <row r="116" spans="1:15" x14ac:dyDescent="0.25">
      <c r="A116" s="9" t="s">
        <v>21</v>
      </c>
      <c r="B116" s="9" t="s">
        <v>26</v>
      </c>
      <c r="C116" s="11" t="s">
        <v>19</v>
      </c>
      <c r="D116" s="9" t="s">
        <v>15</v>
      </c>
      <c r="E116" s="9">
        <v>2013</v>
      </c>
      <c r="F116" s="44">
        <f t="shared" si="1"/>
        <v>16.989229688734838</v>
      </c>
      <c r="G116" s="38">
        <v>17.014141728814639</v>
      </c>
      <c r="H116" s="38">
        <v>9.9661850948049047</v>
      </c>
      <c r="I116" s="38">
        <v>25.857619731136946</v>
      </c>
      <c r="J116" s="3">
        <v>17.693304331378854</v>
      </c>
      <c r="K116" s="9">
        <v>0.96020671834625315</v>
      </c>
      <c r="L116" s="9"/>
      <c r="M116" s="9"/>
      <c r="O116" s="9"/>
    </row>
    <row r="117" spans="1:15" x14ac:dyDescent="0.25">
      <c r="A117" s="9" t="s">
        <v>21</v>
      </c>
      <c r="B117" s="9" t="s">
        <v>26</v>
      </c>
      <c r="C117" s="11" t="s">
        <v>20</v>
      </c>
      <c r="D117" s="9" t="s">
        <v>15</v>
      </c>
      <c r="E117" s="9">
        <v>2013</v>
      </c>
      <c r="F117" s="44">
        <f t="shared" si="1"/>
        <v>1.2001221855176925</v>
      </c>
      <c r="G117" s="38">
        <v>1.1918041250235738</v>
      </c>
      <c r="H117" s="38">
        <v>4.6789482533766524E-2</v>
      </c>
      <c r="I117" s="38">
        <v>4.0578056626310817</v>
      </c>
      <c r="J117" s="3">
        <v>1.2498581426139586</v>
      </c>
      <c r="K117" s="9">
        <v>0.96020671834625315</v>
      </c>
      <c r="L117" s="9"/>
      <c r="M117" s="9"/>
      <c r="O117" s="9"/>
    </row>
    <row r="118" spans="1:15" x14ac:dyDescent="0.25">
      <c r="A118" s="9" t="s">
        <v>21</v>
      </c>
      <c r="B118" s="9" t="s">
        <v>27</v>
      </c>
      <c r="C118" s="11" t="s">
        <v>31</v>
      </c>
      <c r="D118" s="9" t="s">
        <v>11</v>
      </c>
      <c r="E118" s="9">
        <v>2013</v>
      </c>
      <c r="F118" s="44">
        <f t="shared" si="1"/>
        <v>3.3838796247829372</v>
      </c>
      <c r="G118" s="38">
        <v>3.3886056077472442</v>
      </c>
      <c r="H118" s="38">
        <v>0.81350372501996149</v>
      </c>
      <c r="I118" s="38">
        <v>7.8299590573406315</v>
      </c>
      <c r="J118" s="3">
        <v>3.5241157556270095</v>
      </c>
      <c r="K118" s="9">
        <v>0.96020671834625315</v>
      </c>
      <c r="L118" s="9"/>
      <c r="M118" s="9"/>
      <c r="O118" s="9"/>
    </row>
    <row r="119" spans="1:15" x14ac:dyDescent="0.25">
      <c r="A119" s="9" t="s">
        <v>21</v>
      </c>
      <c r="B119" s="9" t="s">
        <v>27</v>
      </c>
      <c r="C119" s="11" t="s">
        <v>19</v>
      </c>
      <c r="D119" s="9" t="s">
        <v>11</v>
      </c>
      <c r="E119" s="9">
        <v>2013</v>
      </c>
      <c r="F119" s="44">
        <f t="shared" si="1"/>
        <v>11.189032627931903</v>
      </c>
      <c r="G119" s="38">
        <v>11.256953799085855</v>
      </c>
      <c r="H119" s="38">
        <v>5.6222039713823255</v>
      </c>
      <c r="I119" s="38">
        <v>18.631059995487849</v>
      </c>
      <c r="J119" s="3">
        <v>11.652733118971062</v>
      </c>
      <c r="K119" s="9">
        <v>0.96020671834625315</v>
      </c>
      <c r="L119" s="9"/>
      <c r="M119" s="9"/>
      <c r="O119" s="9"/>
    </row>
    <row r="120" spans="1:15" x14ac:dyDescent="0.25">
      <c r="A120" s="9" t="s">
        <v>21</v>
      </c>
      <c r="B120" s="9" t="s">
        <v>27</v>
      </c>
      <c r="C120" s="11" t="s">
        <v>20</v>
      </c>
      <c r="D120" s="9" t="s">
        <v>11</v>
      </c>
      <c r="E120" s="9">
        <v>2013</v>
      </c>
      <c r="F120" s="44">
        <f t="shared" si="1"/>
        <v>0.79039524082521162</v>
      </c>
      <c r="G120" s="38">
        <v>0.78820127146530028</v>
      </c>
      <c r="H120" s="38">
        <v>7.8545110709016975E-3</v>
      </c>
      <c r="I120" s="38">
        <v>3.243170854325514</v>
      </c>
      <c r="J120" s="3">
        <v>0.82315112540192925</v>
      </c>
      <c r="K120" s="9">
        <v>0.96020671834625315</v>
      </c>
      <c r="L120" s="9"/>
      <c r="M120" s="9"/>
      <c r="O120" s="9"/>
    </row>
    <row r="121" spans="1:15" x14ac:dyDescent="0.25">
      <c r="A121" s="9" t="s">
        <v>21</v>
      </c>
      <c r="B121" s="9" t="s">
        <v>28</v>
      </c>
      <c r="C121" s="11" t="s">
        <v>31</v>
      </c>
      <c r="D121" s="9" t="s">
        <v>12</v>
      </c>
      <c r="E121" s="9">
        <v>2013</v>
      </c>
      <c r="F121" s="44">
        <f t="shared" si="1"/>
        <v>21.211451324466569</v>
      </c>
      <c r="G121" s="38">
        <v>21.193497464255032</v>
      </c>
      <c r="H121" s="38">
        <v>13.095960169142902</v>
      </c>
      <c r="I121" s="38">
        <v>31.269858842100223</v>
      </c>
      <c r="J121" s="3">
        <v>22.090505012294305</v>
      </c>
      <c r="K121" s="9">
        <v>0.96020671834625315</v>
      </c>
      <c r="L121" s="9"/>
      <c r="M121" s="9"/>
      <c r="O121" s="9"/>
    </row>
    <row r="122" spans="1:15" x14ac:dyDescent="0.25">
      <c r="A122" s="9" t="s">
        <v>21</v>
      </c>
      <c r="B122" s="9" t="s">
        <v>28</v>
      </c>
      <c r="C122" s="11" t="s">
        <v>19</v>
      </c>
      <c r="D122" s="9" t="s">
        <v>12</v>
      </c>
      <c r="E122" s="9">
        <v>2013</v>
      </c>
      <c r="F122" s="44">
        <f t="shared" si="1"/>
        <v>70.13713467141136</v>
      </c>
      <c r="G122" s="38">
        <v>70.138856037480679</v>
      </c>
      <c r="H122" s="38">
        <v>54.710200484194665</v>
      </c>
      <c r="I122" s="38">
        <v>87.184884847632532</v>
      </c>
      <c r="J122" s="3">
        <v>73.043786646491384</v>
      </c>
      <c r="K122" s="9">
        <v>0.96020671834625315</v>
      </c>
      <c r="L122" s="9"/>
      <c r="M122" s="9"/>
      <c r="O122" s="9"/>
    </row>
    <row r="123" spans="1:15" x14ac:dyDescent="0.25">
      <c r="A123" s="9" t="s">
        <v>21</v>
      </c>
      <c r="B123" s="9" t="s">
        <v>28</v>
      </c>
      <c r="C123" s="11" t="s">
        <v>20</v>
      </c>
      <c r="D123" s="9" t="s">
        <v>12</v>
      </c>
      <c r="E123" s="9">
        <v>2013</v>
      </c>
      <c r="F123" s="44">
        <f t="shared" si="1"/>
        <v>4.9544995794374467</v>
      </c>
      <c r="G123" s="38">
        <v>4.9542713306127952</v>
      </c>
      <c r="H123" s="38">
        <v>1.6131126226968666</v>
      </c>
      <c r="I123" s="38">
        <v>10.046860045835725</v>
      </c>
      <c r="J123" s="3">
        <v>5.1598259882731217</v>
      </c>
      <c r="K123" s="9">
        <v>0.96020671834625315</v>
      </c>
      <c r="L123" s="9"/>
      <c r="M123" s="9"/>
      <c r="O123" s="9"/>
    </row>
    <row r="124" spans="1:15" x14ac:dyDescent="0.25">
      <c r="A124" s="9" t="s">
        <v>21</v>
      </c>
      <c r="B124" s="9" t="s">
        <v>28</v>
      </c>
      <c r="C124" s="11" t="s">
        <v>31</v>
      </c>
      <c r="D124" s="9" t="s">
        <v>15</v>
      </c>
      <c r="E124" s="9">
        <v>2013</v>
      </c>
      <c r="F124" s="44">
        <f t="shared" si="1"/>
        <v>30.815697906571089</v>
      </c>
      <c r="G124" s="38">
        <v>30.868367722046237</v>
      </c>
      <c r="H124" s="38">
        <v>21.126144391525774</v>
      </c>
      <c r="I124" s="38">
        <v>42.736719900660759</v>
      </c>
      <c r="J124" s="3">
        <v>32.092774730470971</v>
      </c>
      <c r="K124" s="9">
        <v>0.96020671834625315</v>
      </c>
      <c r="L124" s="9"/>
      <c r="M124" s="9"/>
      <c r="O124" s="9"/>
    </row>
    <row r="125" spans="1:15" x14ac:dyDescent="0.25">
      <c r="A125" s="9" t="s">
        <v>21</v>
      </c>
      <c r="B125" s="9" t="s">
        <v>28</v>
      </c>
      <c r="C125" s="11" t="s">
        <v>19</v>
      </c>
      <c r="D125" s="9" t="s">
        <v>15</v>
      </c>
      <c r="E125" s="9">
        <v>2013</v>
      </c>
      <c r="F125" s="44">
        <f t="shared" si="1"/>
        <v>101.89424198304162</v>
      </c>
      <c r="G125" s="38">
        <v>101.87322797206964</v>
      </c>
      <c r="H125" s="38">
        <v>82.803551214638546</v>
      </c>
      <c r="I125" s="38">
        <v>122.72673561823245</v>
      </c>
      <c r="J125" s="3">
        <v>106.11698505768868</v>
      </c>
      <c r="K125" s="9">
        <v>0.96020671834625315</v>
      </c>
      <c r="L125" s="9"/>
      <c r="M125" s="9"/>
      <c r="O125" s="9"/>
    </row>
    <row r="126" spans="1:15" x14ac:dyDescent="0.25">
      <c r="A126" s="9" t="s">
        <v>21</v>
      </c>
      <c r="B126" s="9" t="s">
        <v>28</v>
      </c>
      <c r="C126" s="11" t="s">
        <v>20</v>
      </c>
      <c r="D126" s="9" t="s">
        <v>15</v>
      </c>
      <c r="E126" s="9">
        <v>2013</v>
      </c>
      <c r="F126" s="44">
        <f t="shared" si="1"/>
        <v>7.1978272482501815</v>
      </c>
      <c r="G126" s="38">
        <v>7.1991375353565106</v>
      </c>
      <c r="H126" s="38">
        <v>2.911954291741556</v>
      </c>
      <c r="I126" s="38">
        <v>13.232544333058652</v>
      </c>
      <c r="J126" s="3">
        <v>7.4961225647815404</v>
      </c>
      <c r="K126" s="9">
        <v>0.96020671834625315</v>
      </c>
      <c r="L126" s="9"/>
      <c r="M126" s="9"/>
      <c r="O126" s="9"/>
    </row>
    <row r="127" spans="1:15" x14ac:dyDescent="0.25">
      <c r="A127" s="9" t="s">
        <v>22</v>
      </c>
      <c r="B127" s="9" t="s">
        <v>11</v>
      </c>
      <c r="C127" s="9" t="s">
        <v>11</v>
      </c>
      <c r="D127" s="9" t="s">
        <v>11</v>
      </c>
      <c r="E127" s="9">
        <v>2013</v>
      </c>
      <c r="F127" s="44">
        <f t="shared" si="1"/>
        <v>340.76059322033899</v>
      </c>
      <c r="G127" s="38">
        <v>340.51519999999999</v>
      </c>
      <c r="H127" s="38">
        <v>305</v>
      </c>
      <c r="I127" s="38">
        <v>377.02499999999964</v>
      </c>
      <c r="J127" s="3">
        <v>390.85169491525426</v>
      </c>
      <c r="K127" s="9">
        <v>0.87184115523465699</v>
      </c>
      <c r="L127" s="9"/>
      <c r="M127" s="9"/>
      <c r="O127" s="9"/>
    </row>
    <row r="128" spans="1:15" x14ac:dyDescent="0.25">
      <c r="A128" s="9" t="s">
        <v>22</v>
      </c>
      <c r="B128" s="9" t="s">
        <v>11</v>
      </c>
      <c r="C128" s="9" t="s">
        <v>19</v>
      </c>
      <c r="D128" s="9" t="s">
        <v>11</v>
      </c>
      <c r="E128" s="9">
        <v>2013</v>
      </c>
      <c r="F128" s="44">
        <f t="shared" si="1"/>
        <v>249.11198601847886</v>
      </c>
      <c r="G128" s="38"/>
      <c r="H128" s="38"/>
      <c r="I128" s="38"/>
      <c r="J128" s="3">
        <f>SUM(J131,J134,J137,J140,J143,J146)</f>
        <v>285.73093220338984</v>
      </c>
      <c r="K128" s="9">
        <v>0.87184115523465699</v>
      </c>
      <c r="L128" s="9"/>
      <c r="M128" s="9"/>
      <c r="N128" s="9"/>
      <c r="O128" s="9"/>
    </row>
    <row r="129" spans="1:15" x14ac:dyDescent="0.25">
      <c r="A129" s="9" t="s">
        <v>22</v>
      </c>
      <c r="B129" s="9" t="s">
        <v>24</v>
      </c>
      <c r="C129" s="9" t="s">
        <v>11</v>
      </c>
      <c r="D129" s="9" t="s">
        <v>11</v>
      </c>
      <c r="E129" s="9">
        <v>2013</v>
      </c>
      <c r="F129" s="44">
        <f t="shared" si="1"/>
        <v>65.814771614758612</v>
      </c>
      <c r="G129" s="38"/>
      <c r="H129" s="38"/>
      <c r="I129" s="38"/>
      <c r="J129" s="24">
        <v>75.489406779661024</v>
      </c>
      <c r="K129" s="9">
        <v>0.87184115523465699</v>
      </c>
      <c r="L129" s="9"/>
      <c r="M129" s="9"/>
      <c r="N129" s="9"/>
      <c r="O129" s="9"/>
    </row>
    <row r="130" spans="1:15" x14ac:dyDescent="0.25">
      <c r="A130" s="9" t="s">
        <v>22</v>
      </c>
      <c r="B130" s="9" t="s">
        <v>24</v>
      </c>
      <c r="C130" s="9" t="s">
        <v>31</v>
      </c>
      <c r="D130" s="9" t="s">
        <v>11</v>
      </c>
      <c r="E130" s="9">
        <v>2013</v>
      </c>
      <c r="F130" s="44">
        <f t="shared" si="1"/>
        <v>14.255907208972985</v>
      </c>
      <c r="G130" s="38">
        <v>14.221366693461016</v>
      </c>
      <c r="H130" s="38">
        <v>7.8142258019574218</v>
      </c>
      <c r="I130" s="38">
        <v>22.321993400008406</v>
      </c>
      <c r="J130" s="24">
        <v>16.351496053356179</v>
      </c>
      <c r="K130" s="9">
        <v>0.87184115523465699</v>
      </c>
      <c r="L130" s="9"/>
      <c r="M130" s="9"/>
      <c r="N130" s="9"/>
      <c r="O130" s="9"/>
    </row>
    <row r="131" spans="1:15" x14ac:dyDescent="0.25">
      <c r="A131" s="9" t="s">
        <v>22</v>
      </c>
      <c r="B131" s="9" t="s">
        <v>24</v>
      </c>
      <c r="C131" s="9" t="s">
        <v>19</v>
      </c>
      <c r="D131" s="9" t="s">
        <v>11</v>
      </c>
      <c r="E131" s="9">
        <v>2013</v>
      </c>
      <c r="F131" s="44">
        <f t="shared" si="1"/>
        <v>48.113686830283825</v>
      </c>
      <c r="G131" s="38">
        <v>48.187187328288985</v>
      </c>
      <c r="H131" s="38">
        <v>35.524156623802305</v>
      </c>
      <c r="I131" s="38">
        <v>63.192964259434852</v>
      </c>
      <c r="J131" s="24">
        <v>55.1862991800771</v>
      </c>
      <c r="K131" s="9">
        <v>0.87184115523465699</v>
      </c>
      <c r="L131" s="9"/>
      <c r="M131" s="9"/>
      <c r="N131" s="9"/>
      <c r="O131" s="9"/>
    </row>
    <row r="132" spans="1:15" x14ac:dyDescent="0.25">
      <c r="A132" s="9" t="s">
        <v>22</v>
      </c>
      <c r="B132" s="9" t="s">
        <v>24</v>
      </c>
      <c r="C132" s="9" t="s">
        <v>20</v>
      </c>
      <c r="D132" s="9" t="s">
        <v>11</v>
      </c>
      <c r="E132" s="9">
        <v>2013</v>
      </c>
      <c r="F132" s="44">
        <f t="shared" si="1"/>
        <v>3.445177575501805</v>
      </c>
      <c r="G132" s="38">
        <v>3.4590310196236995</v>
      </c>
      <c r="H132" s="38">
        <v>0.81007601354457826</v>
      </c>
      <c r="I132" s="38">
        <v>8.0541995252187117</v>
      </c>
      <c r="J132" s="24">
        <v>3.9516115462277432</v>
      </c>
      <c r="K132" s="9">
        <v>0.87184115523465699</v>
      </c>
      <c r="L132" s="9"/>
      <c r="M132" s="9"/>
      <c r="N132" s="9"/>
      <c r="O132" s="9"/>
    </row>
    <row r="133" spans="1:15" x14ac:dyDescent="0.25">
      <c r="A133" s="9" t="s">
        <v>22</v>
      </c>
      <c r="B133" s="11" t="s">
        <v>26</v>
      </c>
      <c r="C133" s="9" t="s">
        <v>31</v>
      </c>
      <c r="D133" s="9" t="s">
        <v>12</v>
      </c>
      <c r="E133" s="9">
        <v>2013</v>
      </c>
      <c r="F133" s="44">
        <f t="shared" si="1"/>
        <v>21.317244424632499</v>
      </c>
      <c r="G133" s="38">
        <v>21.233889780191681</v>
      </c>
      <c r="H133" s="38">
        <v>13.211382001136203</v>
      </c>
      <c r="I133" s="38">
        <v>31.344125505208055</v>
      </c>
      <c r="J133" s="24">
        <v>24.450835219971854</v>
      </c>
      <c r="K133" s="9">
        <v>0.87184115523465699</v>
      </c>
      <c r="L133" s="9"/>
      <c r="M133" s="9"/>
      <c r="N133" s="9"/>
      <c r="O133" s="9"/>
    </row>
    <row r="134" spans="1:15" x14ac:dyDescent="0.25">
      <c r="A134" s="9" t="s">
        <v>22</v>
      </c>
      <c r="B134" s="11" t="s">
        <v>26</v>
      </c>
      <c r="C134" s="9" t="s">
        <v>19</v>
      </c>
      <c r="D134" s="9" t="s">
        <v>12</v>
      </c>
      <c r="E134" s="9">
        <v>2013</v>
      </c>
      <c r="F134" s="44">
        <f t="shared" si="1"/>
        <v>71.945699933134676</v>
      </c>
      <c r="G134" s="38">
        <v>71.901037945586125</v>
      </c>
      <c r="H134" s="38">
        <v>56.332612021834784</v>
      </c>
      <c r="I134" s="38">
        <v>89.215986981443521</v>
      </c>
      <c r="J134" s="24">
        <v>82.521568867404994</v>
      </c>
      <c r="K134" s="9">
        <v>0.87184115523465699</v>
      </c>
      <c r="L134" s="9"/>
      <c r="M134" s="9"/>
      <c r="N134" s="9"/>
      <c r="O134" s="9"/>
    </row>
    <row r="135" spans="1:15" x14ac:dyDescent="0.25">
      <c r="A135" s="9" t="s">
        <v>22</v>
      </c>
      <c r="B135" s="11" t="s">
        <v>26</v>
      </c>
      <c r="C135" s="9" t="s">
        <v>20</v>
      </c>
      <c r="D135" s="9" t="s">
        <v>12</v>
      </c>
      <c r="E135" s="9">
        <v>2013</v>
      </c>
      <c r="F135" s="44">
        <f t="shared" si="1"/>
        <v>5.1516674026195206</v>
      </c>
      <c r="G135" s="38">
        <v>5.1949981385849915</v>
      </c>
      <c r="H135" s="38">
        <v>1.6652991073434018</v>
      </c>
      <c r="I135" s="38">
        <v>10.435864680907269</v>
      </c>
      <c r="J135" s="24">
        <v>5.9089518448265315</v>
      </c>
      <c r="K135" s="9">
        <v>0.87184115523465699</v>
      </c>
      <c r="L135" s="9"/>
      <c r="M135" s="9"/>
      <c r="N135" s="9"/>
      <c r="O135" s="9"/>
    </row>
    <row r="136" spans="1:15" x14ac:dyDescent="0.25">
      <c r="A136" s="9" t="s">
        <v>22</v>
      </c>
      <c r="B136" s="11" t="s">
        <v>26</v>
      </c>
      <c r="C136" s="9" t="s">
        <v>31</v>
      </c>
      <c r="D136" s="9" t="s">
        <v>15</v>
      </c>
      <c r="E136" s="9">
        <v>2013</v>
      </c>
      <c r="F136" s="44">
        <f t="shared" si="1"/>
        <v>13.72297609835717</v>
      </c>
      <c r="G136" s="38">
        <v>13.690884784960572</v>
      </c>
      <c r="H136" s="38">
        <v>7.3312294005668566</v>
      </c>
      <c r="I136" s="38">
        <v>21.833791126748306</v>
      </c>
      <c r="J136" s="24">
        <v>15.74022517285688</v>
      </c>
      <c r="K136" s="9">
        <v>0.87184115523465699</v>
      </c>
      <c r="L136" s="9"/>
      <c r="M136" s="9"/>
      <c r="N136" s="9"/>
      <c r="O136" s="9"/>
    </row>
    <row r="137" spans="1:15" x14ac:dyDescent="0.25">
      <c r="A137" s="9" t="s">
        <v>22</v>
      </c>
      <c r="B137" s="11" t="s">
        <v>26</v>
      </c>
      <c r="C137" s="9" t="s">
        <v>19</v>
      </c>
      <c r="D137" s="9" t="s">
        <v>15</v>
      </c>
      <c r="E137" s="9">
        <v>2013</v>
      </c>
      <c r="F137" s="44">
        <f t="shared" si="1"/>
        <v>46.315044331955448</v>
      </c>
      <c r="G137" s="38">
        <v>46.318958464991958</v>
      </c>
      <c r="H137" s="38">
        <v>33.807287346745689</v>
      </c>
      <c r="I137" s="38">
        <v>60.730228288276464</v>
      </c>
      <c r="J137" s="24">
        <v>53.123259958391969</v>
      </c>
      <c r="K137" s="9">
        <v>0.87184115523465699</v>
      </c>
      <c r="L137" s="9"/>
      <c r="M137" s="9"/>
      <c r="N137" s="9"/>
      <c r="O137" s="9"/>
    </row>
    <row r="138" spans="1:15" x14ac:dyDescent="0.25">
      <c r="A138" s="9" t="s">
        <v>22</v>
      </c>
      <c r="B138" s="11" t="s">
        <v>26</v>
      </c>
      <c r="C138" s="9" t="s">
        <v>20</v>
      </c>
      <c r="D138" s="9" t="s">
        <v>15</v>
      </c>
      <c r="E138" s="9">
        <v>2013</v>
      </c>
      <c r="F138" s="44">
        <f t="shared" si="1"/>
        <v>3.3163858904363166</v>
      </c>
      <c r="G138" s="38">
        <v>3.3193346882315726</v>
      </c>
      <c r="H138" s="38">
        <v>0.77417573353513114</v>
      </c>
      <c r="I138" s="38">
        <v>7.7436038029885372</v>
      </c>
      <c r="J138" s="24">
        <v>3.8038877501070796</v>
      </c>
      <c r="K138" s="9">
        <v>0.87184115523465699</v>
      </c>
      <c r="L138" s="9"/>
      <c r="M138" s="9"/>
      <c r="N138" s="9"/>
      <c r="O138" s="9"/>
    </row>
    <row r="139" spans="1:15" x14ac:dyDescent="0.25">
      <c r="A139" s="9" t="s">
        <v>22</v>
      </c>
      <c r="B139" s="9" t="s">
        <v>27</v>
      </c>
      <c r="C139" s="9" t="s">
        <v>31</v>
      </c>
      <c r="D139" s="9" t="s">
        <v>11</v>
      </c>
      <c r="E139" s="9">
        <v>2013</v>
      </c>
      <c r="F139" s="44">
        <f t="shared" si="1"/>
        <v>2.9311211083869688</v>
      </c>
      <c r="G139" s="38">
        <v>2.9390815831455765</v>
      </c>
      <c r="H139" s="38">
        <v>0.57762918507046945</v>
      </c>
      <c r="I139" s="38">
        <v>7.2464016356561647</v>
      </c>
      <c r="J139" s="24">
        <v>3.3619898427461301</v>
      </c>
      <c r="K139" s="9">
        <v>0.87184115523465699</v>
      </c>
      <c r="L139" s="9"/>
      <c r="M139" s="9"/>
      <c r="N139" s="9"/>
      <c r="O139" s="9"/>
    </row>
    <row r="140" spans="1:15" x14ac:dyDescent="0.25">
      <c r="A140" s="9" t="s">
        <v>22</v>
      </c>
      <c r="B140" s="9" t="s">
        <v>27</v>
      </c>
      <c r="C140" s="9" t="s">
        <v>19</v>
      </c>
      <c r="D140" s="9" t="s">
        <v>11</v>
      </c>
      <c r="E140" s="9">
        <v>2013</v>
      </c>
      <c r="F140" s="44">
        <f t="shared" si="1"/>
        <v>9.8925337408060194</v>
      </c>
      <c r="G140" s="38">
        <v>9.9026621755753528</v>
      </c>
      <c r="H140" s="38">
        <v>4.7564157318903124</v>
      </c>
      <c r="I140" s="38">
        <v>16.919444885538617</v>
      </c>
      <c r="J140" s="24">
        <v>11.346715719268188</v>
      </c>
      <c r="K140" s="9">
        <v>0.87184115523465699</v>
      </c>
      <c r="L140" s="9"/>
      <c r="M140" s="9"/>
      <c r="N140" s="9"/>
      <c r="O140" s="9"/>
    </row>
    <row r="141" spans="1:15" x14ac:dyDescent="0.25">
      <c r="A141" s="9" t="s">
        <v>22</v>
      </c>
      <c r="B141" s="9" t="s">
        <v>27</v>
      </c>
      <c r="C141" s="9" t="s">
        <v>20</v>
      </c>
      <c r="D141" s="9" t="s">
        <v>11</v>
      </c>
      <c r="E141" s="9">
        <v>2013</v>
      </c>
      <c r="F141" s="44">
        <f t="shared" si="1"/>
        <v>0.70835426786018418</v>
      </c>
      <c r="G141" s="38">
        <v>0.71937059323766883</v>
      </c>
      <c r="H141" s="38">
        <v>4.8406646658502436E-3</v>
      </c>
      <c r="I141" s="38">
        <v>3.0562452002661109</v>
      </c>
      <c r="J141" s="24">
        <v>0.81248087866364815</v>
      </c>
      <c r="K141" s="9">
        <v>0.87184115523465699</v>
      </c>
      <c r="L141" s="9"/>
      <c r="M141" s="9"/>
      <c r="N141" s="9"/>
      <c r="O141" s="9"/>
    </row>
    <row r="142" spans="1:15" x14ac:dyDescent="0.25">
      <c r="A142" s="9" t="s">
        <v>22</v>
      </c>
      <c r="B142" s="9" t="s">
        <v>28</v>
      </c>
      <c r="C142" s="9" t="s">
        <v>31</v>
      </c>
      <c r="D142" s="9" t="s">
        <v>12</v>
      </c>
      <c r="E142" s="9">
        <v>2013</v>
      </c>
      <c r="F142" s="44">
        <f t="shared" si="1"/>
        <v>10.125691101700438</v>
      </c>
      <c r="G142" s="38">
        <v>10.067598541990074</v>
      </c>
      <c r="H142" s="38">
        <v>4.8997591456387468</v>
      </c>
      <c r="I142" s="38">
        <v>17.18639174713876</v>
      </c>
      <c r="J142" s="24">
        <v>11.614146729486631</v>
      </c>
      <c r="K142" s="9">
        <v>0.87184115523465699</v>
      </c>
      <c r="L142" s="9"/>
      <c r="M142" s="9"/>
      <c r="N142" s="9"/>
      <c r="O142" s="9"/>
    </row>
    <row r="143" spans="1:15" x14ac:dyDescent="0.25">
      <c r="A143" s="9" t="s">
        <v>22</v>
      </c>
      <c r="B143" s="9" t="s">
        <v>28</v>
      </c>
      <c r="C143" s="9" t="s">
        <v>19</v>
      </c>
      <c r="D143" s="9" t="s">
        <v>12</v>
      </c>
      <c r="E143" s="9">
        <v>2013</v>
      </c>
      <c r="F143" s="44">
        <f t="shared" si="1"/>
        <v>34.174207468238976</v>
      </c>
      <c r="G143" s="38">
        <v>34.141280570698065</v>
      </c>
      <c r="H143" s="38">
        <v>23.608777844915544</v>
      </c>
      <c r="I143" s="38">
        <v>46.68578621812938</v>
      </c>
      <c r="J143" s="24">
        <v>39.197745212017381</v>
      </c>
      <c r="K143" s="9">
        <v>0.87184115523465699</v>
      </c>
      <c r="L143" s="9"/>
      <c r="M143" s="9"/>
      <c r="N143" s="9"/>
      <c r="O143" s="9"/>
    </row>
    <row r="144" spans="1:15" x14ac:dyDescent="0.25">
      <c r="A144" s="9" t="s">
        <v>22</v>
      </c>
      <c r="B144" s="9" t="s">
        <v>28</v>
      </c>
      <c r="C144" s="9" t="s">
        <v>20</v>
      </c>
      <c r="D144" s="9" t="s">
        <v>12</v>
      </c>
      <c r="E144" s="9">
        <v>2013</v>
      </c>
      <c r="F144" s="44">
        <f t="shared" si="1"/>
        <v>2.4470420162442723</v>
      </c>
      <c r="G144" s="38">
        <v>2.4174419743848214</v>
      </c>
      <c r="H144" s="38">
        <v>0.38786777034028436</v>
      </c>
      <c r="I144" s="38">
        <v>6.1951946893012115</v>
      </c>
      <c r="J144" s="24">
        <v>2.8067521262926025</v>
      </c>
      <c r="K144" s="9">
        <v>0.87184115523465699</v>
      </c>
      <c r="L144" s="9"/>
      <c r="M144" s="9"/>
      <c r="N144" s="9"/>
      <c r="O144" s="9"/>
    </row>
    <row r="145" spans="1:15" x14ac:dyDescent="0.25">
      <c r="A145" s="9" t="s">
        <v>22</v>
      </c>
      <c r="B145" s="9" t="s">
        <v>28</v>
      </c>
      <c r="C145" s="9" t="s">
        <v>31</v>
      </c>
      <c r="D145" s="9" t="s">
        <v>15</v>
      </c>
      <c r="E145" s="9">
        <v>2013</v>
      </c>
      <c r="F145" s="44">
        <f t="shared" si="1"/>
        <v>11.458018878239969</v>
      </c>
      <c r="G145" s="38">
        <v>11.425851529677637</v>
      </c>
      <c r="H145" s="38">
        <v>5.8937365261798167</v>
      </c>
      <c r="I145" s="38">
        <v>18.837519251438049</v>
      </c>
      <c r="J145" s="24">
        <v>13.142323930734872</v>
      </c>
      <c r="K145" s="9">
        <v>0.87184115523465699</v>
      </c>
      <c r="L145" s="9"/>
      <c r="M145" s="9"/>
      <c r="N145" s="9"/>
      <c r="O145" s="9"/>
    </row>
    <row r="146" spans="1:15" x14ac:dyDescent="0.25">
      <c r="A146" s="9" t="s">
        <v>22</v>
      </c>
      <c r="B146" s="9" t="s">
        <v>28</v>
      </c>
      <c r="C146" s="9" t="s">
        <v>19</v>
      </c>
      <c r="D146" s="9" t="s">
        <v>15</v>
      </c>
      <c r="E146" s="9">
        <v>2013</v>
      </c>
      <c r="F146" s="44">
        <f t="shared" si="1"/>
        <v>38.670813714059889</v>
      </c>
      <c r="G146" s="38">
        <v>38.613466749616407</v>
      </c>
      <c r="H146" s="38">
        <v>27.256341778878792</v>
      </c>
      <c r="I146" s="38">
        <v>51.405977225859594</v>
      </c>
      <c r="J146" s="24">
        <v>44.355343266230186</v>
      </c>
      <c r="K146" s="9">
        <v>0.87184115523465699</v>
      </c>
      <c r="L146" s="9"/>
      <c r="M146" s="9"/>
      <c r="N146" s="9"/>
      <c r="O146" s="9"/>
    </row>
    <row r="147" spans="1:15" ht="15.75" thickBot="1" x14ac:dyDescent="0.3">
      <c r="A147" s="6" t="s">
        <v>22</v>
      </c>
      <c r="B147" s="6" t="s">
        <v>28</v>
      </c>
      <c r="C147" s="6" t="s">
        <v>20</v>
      </c>
      <c r="D147" s="6" t="s">
        <v>15</v>
      </c>
      <c r="E147" s="6">
        <v>2013</v>
      </c>
      <c r="F147" s="45">
        <f t="shared" si="1"/>
        <v>2.7690212289079925</v>
      </c>
      <c r="G147" s="65">
        <v>2.761757437753797</v>
      </c>
      <c r="H147" s="65">
        <v>0.52301673636389845</v>
      </c>
      <c r="I147" s="65">
        <v>6.8513836636431282</v>
      </c>
      <c r="J147" s="42">
        <v>3.1760616165942608</v>
      </c>
      <c r="K147" s="6">
        <v>0.87184115523465699</v>
      </c>
      <c r="L147" s="6"/>
      <c r="M147" s="6"/>
      <c r="N147" s="6"/>
      <c r="O147" s="9"/>
    </row>
    <row r="148" spans="1:15" x14ac:dyDescent="0.25">
      <c r="A148" s="9" t="s">
        <v>10</v>
      </c>
      <c r="B148" s="9" t="s">
        <v>11</v>
      </c>
      <c r="C148" s="9" t="s">
        <v>11</v>
      </c>
      <c r="D148" s="9" t="s">
        <v>11</v>
      </c>
      <c r="E148" s="9">
        <v>2014</v>
      </c>
      <c r="F148" s="44">
        <f>SUM(F150:F152,F154:F159,F161:F163,F165:F167,F169:F171)</f>
        <v>16133.666666666664</v>
      </c>
      <c r="G148" s="38">
        <v>16133.0483</v>
      </c>
      <c r="H148" s="38">
        <v>15883</v>
      </c>
      <c r="I148" s="38">
        <v>16376</v>
      </c>
      <c r="J148" s="24"/>
      <c r="K148" s="9"/>
      <c r="L148" s="9"/>
      <c r="M148" s="9"/>
      <c r="N148" s="9"/>
      <c r="O148" s="9"/>
    </row>
    <row r="149" spans="1:15" x14ac:dyDescent="0.25">
      <c r="A149" s="9" t="s">
        <v>10</v>
      </c>
      <c r="B149" s="9" t="s">
        <v>24</v>
      </c>
      <c r="C149" s="9" t="s">
        <v>11</v>
      </c>
      <c r="D149" s="9" t="s">
        <v>11</v>
      </c>
      <c r="E149" s="9">
        <v>2014</v>
      </c>
      <c r="F149" s="44">
        <f>SUM(F150:F152)</f>
        <v>4255.5217469933987</v>
      </c>
      <c r="G149" s="38"/>
      <c r="H149" s="38"/>
      <c r="I149" s="38"/>
      <c r="J149" s="24"/>
      <c r="K149" s="9"/>
      <c r="L149" s="9"/>
      <c r="M149" s="9"/>
      <c r="N149" s="9"/>
      <c r="O149" s="9"/>
    </row>
    <row r="150" spans="1:15" x14ac:dyDescent="0.25">
      <c r="A150" s="9" t="s">
        <v>10</v>
      </c>
      <c r="B150" s="9" t="s">
        <v>24</v>
      </c>
      <c r="C150" s="9" t="s">
        <v>31</v>
      </c>
      <c r="D150" s="9" t="s">
        <v>11</v>
      </c>
      <c r="E150" s="9">
        <v>2014</v>
      </c>
      <c r="F150" s="44">
        <f t="shared" si="1"/>
        <v>960.16785725050488</v>
      </c>
      <c r="G150" s="38">
        <v>960.46342318480379</v>
      </c>
      <c r="H150" s="38">
        <v>899.66173373545223</v>
      </c>
      <c r="I150" s="38">
        <v>1020.8072611304591</v>
      </c>
      <c r="J150" s="24">
        <v>1023.2883624197486</v>
      </c>
      <c r="K150" s="9">
        <v>0.93831601385558216</v>
      </c>
      <c r="L150" s="9"/>
      <c r="M150" s="9"/>
      <c r="O150" s="9"/>
    </row>
    <row r="151" spans="1:15" x14ac:dyDescent="0.25">
      <c r="A151" s="9" t="s">
        <v>10</v>
      </c>
      <c r="B151" s="9" t="s">
        <v>24</v>
      </c>
      <c r="C151" s="9" t="s">
        <v>19</v>
      </c>
      <c r="D151" s="9" t="s">
        <v>11</v>
      </c>
      <c r="E151" s="9">
        <v>2014</v>
      </c>
      <c r="F151" s="44">
        <f t="shared" si="1"/>
        <v>3125.0784881092322</v>
      </c>
      <c r="G151" s="38">
        <v>3124.9320146632167</v>
      </c>
      <c r="H151" s="38">
        <v>3015.6618255686963</v>
      </c>
      <c r="I151" s="38">
        <v>3236.1303820751814</v>
      </c>
      <c r="J151" s="24">
        <v>3323.4377430147392</v>
      </c>
      <c r="K151" s="9">
        <v>0.94031503814915085</v>
      </c>
      <c r="L151" s="9"/>
      <c r="M151" s="9"/>
      <c r="O151" s="9"/>
    </row>
    <row r="152" spans="1:15" x14ac:dyDescent="0.25">
      <c r="A152" s="9" t="s">
        <v>10</v>
      </c>
      <c r="B152" s="9" t="s">
        <v>24</v>
      </c>
      <c r="C152" s="9" t="s">
        <v>20</v>
      </c>
      <c r="D152" s="9" t="s">
        <v>11</v>
      </c>
      <c r="E152" s="9">
        <v>2014</v>
      </c>
      <c r="F152" s="44">
        <f t="shared" si="1"/>
        <v>170.27540163366189</v>
      </c>
      <c r="G152" s="38">
        <v>170.20798152440977</v>
      </c>
      <c r="H152" s="38">
        <v>145.40317673886364</v>
      </c>
      <c r="I152" s="38">
        <v>196.74775597997697</v>
      </c>
      <c r="J152" s="24">
        <v>176.27389456551225</v>
      </c>
      <c r="K152" s="9">
        <v>0.96597061098221193</v>
      </c>
      <c r="L152" s="9"/>
      <c r="M152" s="9"/>
      <c r="O152" s="9"/>
    </row>
    <row r="153" spans="1:15" x14ac:dyDescent="0.25">
      <c r="A153" s="9" t="s">
        <v>10</v>
      </c>
      <c r="B153" s="9" t="s">
        <v>26</v>
      </c>
      <c r="C153" s="9" t="s">
        <v>11</v>
      </c>
      <c r="D153" s="9" t="s">
        <v>11</v>
      </c>
      <c r="E153" s="9">
        <v>2014</v>
      </c>
      <c r="F153" s="44">
        <f>SUM(F154:F159)</f>
        <v>4128.6922936511801</v>
      </c>
      <c r="G153" s="38"/>
      <c r="H153" s="38"/>
      <c r="I153" s="38"/>
      <c r="J153" s="24"/>
      <c r="K153" s="9"/>
      <c r="L153" s="9"/>
      <c r="M153" s="9"/>
      <c r="O153" s="9"/>
    </row>
    <row r="154" spans="1:15" x14ac:dyDescent="0.25">
      <c r="A154" s="9" t="s">
        <v>10</v>
      </c>
      <c r="B154" s="9" t="s">
        <v>26</v>
      </c>
      <c r="C154" s="9" t="s">
        <v>31</v>
      </c>
      <c r="D154" s="9" t="s">
        <v>12</v>
      </c>
      <c r="E154" s="9">
        <v>2014</v>
      </c>
      <c r="F154" s="44">
        <f t="shared" si="1"/>
        <v>554.06546704041955</v>
      </c>
      <c r="G154" s="38">
        <v>554.01696026681236</v>
      </c>
      <c r="H154" s="38">
        <v>509.43928299342008</v>
      </c>
      <c r="I154" s="38">
        <v>600.48355319025632</v>
      </c>
      <c r="J154" s="24">
        <v>590.48919432136722</v>
      </c>
      <c r="K154" s="9">
        <v>0.93831601385558216</v>
      </c>
      <c r="L154" s="9"/>
      <c r="M154" s="9"/>
      <c r="O154" s="9"/>
    </row>
    <row r="155" spans="1:15" x14ac:dyDescent="0.25">
      <c r="A155" s="9" t="s">
        <v>10</v>
      </c>
      <c r="B155" s="9" t="s">
        <v>26</v>
      </c>
      <c r="C155" s="9" t="s">
        <v>19</v>
      </c>
      <c r="D155" s="9" t="s">
        <v>12</v>
      </c>
      <c r="E155" s="9">
        <v>2014</v>
      </c>
      <c r="F155" s="44">
        <f t="shared" si="1"/>
        <v>1803.3285107152544</v>
      </c>
      <c r="G155" s="38">
        <v>1803.1756304404303</v>
      </c>
      <c r="H155" s="38">
        <v>1721.8776952744961</v>
      </c>
      <c r="I155" s="38">
        <v>1886.3682205407752</v>
      </c>
      <c r="J155" s="24">
        <v>1917.7918437471742</v>
      </c>
      <c r="K155" s="9">
        <v>0.94031503814915085</v>
      </c>
      <c r="L155" s="9"/>
      <c r="M155" s="9"/>
      <c r="O155" s="9"/>
    </row>
    <row r="156" spans="1:15" x14ac:dyDescent="0.25">
      <c r="A156" s="9" t="s">
        <v>10</v>
      </c>
      <c r="B156" s="9" t="s">
        <v>26</v>
      </c>
      <c r="C156" s="9" t="s">
        <v>20</v>
      </c>
      <c r="D156" s="9" t="s">
        <v>12</v>
      </c>
      <c r="E156" s="9">
        <v>2014</v>
      </c>
      <c r="F156" s="44">
        <f t="shared" si="1"/>
        <v>98.257527805407364</v>
      </c>
      <c r="G156" s="38">
        <v>98.268954781770802</v>
      </c>
      <c r="H156" s="38">
        <v>79.898693118850773</v>
      </c>
      <c r="I156" s="38">
        <v>118.52145061505702</v>
      </c>
      <c r="J156" s="24">
        <v>101.71896193145854</v>
      </c>
      <c r="K156" s="9">
        <v>0.96597061098221193</v>
      </c>
      <c r="L156" s="9"/>
      <c r="M156" s="9"/>
      <c r="O156" s="9"/>
    </row>
    <row r="157" spans="1:15" x14ac:dyDescent="0.25">
      <c r="A157" s="9" t="s">
        <v>10</v>
      </c>
      <c r="B157" s="9" t="s">
        <v>26</v>
      </c>
      <c r="C157" s="9" t="s">
        <v>31</v>
      </c>
      <c r="D157" s="9" t="s">
        <v>15</v>
      </c>
      <c r="E157" s="9">
        <v>2014</v>
      </c>
      <c r="F157" s="44">
        <f t="shared" si="1"/>
        <v>206.18528972272952</v>
      </c>
      <c r="G157" s="38">
        <v>206.45666900924033</v>
      </c>
      <c r="H157" s="38">
        <v>179.50639914062205</v>
      </c>
      <c r="I157" s="38">
        <v>235.14161389382571</v>
      </c>
      <c r="J157" s="24">
        <v>216.99103436825501</v>
      </c>
      <c r="K157" s="9">
        <v>0.95020188425302821</v>
      </c>
      <c r="L157" s="9"/>
      <c r="M157" s="9"/>
      <c r="O157" s="9"/>
    </row>
    <row r="158" spans="1:15" x14ac:dyDescent="0.25">
      <c r="A158" s="9" t="s">
        <v>10</v>
      </c>
      <c r="B158" s="9" t="s">
        <v>26</v>
      </c>
      <c r="C158" s="9" t="s">
        <v>19</v>
      </c>
      <c r="D158" s="9" t="s">
        <v>15</v>
      </c>
      <c r="E158" s="9">
        <v>2014</v>
      </c>
      <c r="F158" s="44">
        <f t="shared" si="1"/>
        <v>1425.9688970059217</v>
      </c>
      <c r="G158" s="38">
        <v>1425.9479479191896</v>
      </c>
      <c r="H158" s="38">
        <v>1352.3479397133419</v>
      </c>
      <c r="I158" s="38">
        <v>1500.8596678980032</v>
      </c>
      <c r="J158" s="24">
        <v>1499.6621285073882</v>
      </c>
      <c r="K158" s="9">
        <v>0.95086011035378126</v>
      </c>
      <c r="L158" s="9"/>
      <c r="M158" s="9"/>
      <c r="O158" s="9"/>
    </row>
    <row r="159" spans="1:15" x14ac:dyDescent="0.25">
      <c r="A159" s="9" t="s">
        <v>10</v>
      </c>
      <c r="B159" s="9" t="s">
        <v>26</v>
      </c>
      <c r="C159" s="9" t="s">
        <v>20</v>
      </c>
      <c r="D159" s="9" t="s">
        <v>15</v>
      </c>
      <c r="E159" s="9">
        <v>2014</v>
      </c>
      <c r="F159" s="44">
        <f t="shared" si="1"/>
        <v>40.886601361447788</v>
      </c>
      <c r="G159" s="38">
        <v>40.874377972546505</v>
      </c>
      <c r="H159" s="38">
        <v>29.147468203651382</v>
      </c>
      <c r="I159" s="38">
        <v>54.075609760066349</v>
      </c>
      <c r="J159" s="24">
        <v>42.346837124356632</v>
      </c>
      <c r="K159" s="9">
        <v>0.96551724137931039</v>
      </c>
      <c r="L159" s="9"/>
      <c r="M159" s="9"/>
      <c r="O159" s="9"/>
    </row>
    <row r="160" spans="1:15" x14ac:dyDescent="0.25">
      <c r="A160" s="9" t="s">
        <v>10</v>
      </c>
      <c r="B160" s="9" t="s">
        <v>27</v>
      </c>
      <c r="C160" s="9" t="s">
        <v>11</v>
      </c>
      <c r="D160" s="9" t="s">
        <v>11</v>
      </c>
      <c r="E160" s="9">
        <v>2014</v>
      </c>
      <c r="F160" s="44">
        <f>SUM(F161:F163)</f>
        <v>493.01202640383394</v>
      </c>
      <c r="G160" s="38"/>
      <c r="H160" s="38"/>
      <c r="I160" s="38"/>
      <c r="J160" s="24"/>
      <c r="K160" s="9"/>
      <c r="L160" s="9"/>
      <c r="M160" s="9"/>
      <c r="O160" s="9"/>
    </row>
    <row r="161" spans="1:15" x14ac:dyDescent="0.25">
      <c r="A161" s="9" t="s">
        <v>10</v>
      </c>
      <c r="B161" s="9" t="s">
        <v>27</v>
      </c>
      <c r="C161" s="9" t="s">
        <v>31</v>
      </c>
      <c r="D161" s="9" t="s">
        <v>11</v>
      </c>
      <c r="E161" s="9">
        <v>2014</v>
      </c>
      <c r="F161" s="44">
        <f t="shared" si="1"/>
        <v>111.23766464719534</v>
      </c>
      <c r="G161" s="38">
        <v>111.24390673497759</v>
      </c>
      <c r="H161" s="38">
        <v>91.848177315666305</v>
      </c>
      <c r="I161" s="38">
        <v>132.20260173914775</v>
      </c>
      <c r="J161" s="24">
        <v>118.55032100551587</v>
      </c>
      <c r="K161" s="9">
        <v>0.93831601385558216</v>
      </c>
      <c r="L161" s="9"/>
      <c r="M161" s="9"/>
      <c r="O161" s="9"/>
    </row>
    <row r="162" spans="1:15" x14ac:dyDescent="0.25">
      <c r="A162" s="9" t="s">
        <v>10</v>
      </c>
      <c r="B162" s="9" t="s">
        <v>27</v>
      </c>
      <c r="C162" s="9" t="s">
        <v>19</v>
      </c>
      <c r="D162" s="9" t="s">
        <v>11</v>
      </c>
      <c r="E162" s="9">
        <v>2014</v>
      </c>
      <c r="F162" s="44">
        <f t="shared" si="1"/>
        <v>362.04756307080203</v>
      </c>
      <c r="G162" s="38">
        <v>362.02448503652624</v>
      </c>
      <c r="H162" s="38">
        <v>326.31524630260321</v>
      </c>
      <c r="I162" s="38">
        <v>400.4572336556617</v>
      </c>
      <c r="J162" s="24">
        <v>385.02794104349397</v>
      </c>
      <c r="K162" s="9">
        <v>0.94031503814915085</v>
      </c>
      <c r="L162" s="9"/>
      <c r="M162" s="9"/>
      <c r="O162" s="9"/>
    </row>
    <row r="163" spans="1:15" x14ac:dyDescent="0.25">
      <c r="A163" s="9" t="s">
        <v>10</v>
      </c>
      <c r="B163" s="9" t="s">
        <v>27</v>
      </c>
      <c r="C163" s="9" t="s">
        <v>20</v>
      </c>
      <c r="D163" s="9" t="s">
        <v>11</v>
      </c>
      <c r="E163" s="9">
        <v>2014</v>
      </c>
      <c r="F163" s="44">
        <f t="shared" si="1"/>
        <v>19.726798685836577</v>
      </c>
      <c r="G163" s="38">
        <v>19.696214855580422</v>
      </c>
      <c r="H163" s="38">
        <v>12.048383916469501</v>
      </c>
      <c r="I163" s="38">
        <v>29.276486350035441</v>
      </c>
      <c r="J163" s="24">
        <v>20.421737950990146</v>
      </c>
      <c r="K163" s="9">
        <v>0.96597061098221193</v>
      </c>
      <c r="L163" s="9"/>
      <c r="M163" s="9"/>
      <c r="O163" s="9"/>
    </row>
    <row r="164" spans="1:15" x14ac:dyDescent="0.25">
      <c r="A164" s="9" t="s">
        <v>10</v>
      </c>
      <c r="B164" s="9" t="s">
        <v>28</v>
      </c>
      <c r="C164" s="9" t="s">
        <v>11</v>
      </c>
      <c r="D164" s="9" t="s">
        <v>12</v>
      </c>
      <c r="E164" s="9">
        <v>2014</v>
      </c>
      <c r="F164" s="44">
        <f>SUM(F165:F167)</f>
        <v>3200.8147210416855</v>
      </c>
      <c r="G164" s="38"/>
      <c r="H164" s="38"/>
      <c r="I164" s="38"/>
      <c r="J164" s="24"/>
      <c r="K164" s="9"/>
      <c r="L164" s="9"/>
      <c r="M164" s="9"/>
      <c r="O164" s="9"/>
    </row>
    <row r="165" spans="1:15" x14ac:dyDescent="0.25">
      <c r="A165" s="9" t="s">
        <v>10</v>
      </c>
      <c r="B165" s="9" t="s">
        <v>28</v>
      </c>
      <c r="C165" s="9" t="s">
        <v>31</v>
      </c>
      <c r="D165" s="9" t="s">
        <v>12</v>
      </c>
      <c r="E165" s="9">
        <v>2014</v>
      </c>
      <c r="F165" s="44">
        <f t="shared" si="1"/>
        <v>722.1956777285468</v>
      </c>
      <c r="G165" s="38">
        <v>721.91476955615769</v>
      </c>
      <c r="H165" s="38">
        <v>670.63642055608989</v>
      </c>
      <c r="I165" s="38">
        <v>773.99574408440697</v>
      </c>
      <c r="J165" s="24">
        <v>769.67212225336823</v>
      </c>
      <c r="K165" s="9">
        <v>0.93831601385558216</v>
      </c>
      <c r="L165" s="9"/>
      <c r="M165" s="9"/>
      <c r="O165" s="9"/>
    </row>
    <row r="166" spans="1:15" x14ac:dyDescent="0.25">
      <c r="A166" s="9" t="s">
        <v>10</v>
      </c>
      <c r="B166" s="9" t="s">
        <v>28</v>
      </c>
      <c r="C166" s="9" t="s">
        <v>19</v>
      </c>
      <c r="D166" s="9" t="s">
        <v>12</v>
      </c>
      <c r="E166" s="9">
        <v>2014</v>
      </c>
      <c r="F166" s="44">
        <f t="shared" si="1"/>
        <v>2350.5454381047111</v>
      </c>
      <c r="G166" s="38">
        <v>2350.3938486603702</v>
      </c>
      <c r="H166" s="38">
        <v>2255.7074405410922</v>
      </c>
      <c r="I166" s="38">
        <v>2445.4415750109183</v>
      </c>
      <c r="J166" s="24">
        <v>2499.7424721945927</v>
      </c>
      <c r="K166" s="9">
        <v>0.94031503814915085</v>
      </c>
      <c r="L166" s="9"/>
      <c r="M166" s="9"/>
      <c r="O166" s="9"/>
    </row>
    <row r="167" spans="1:15" x14ac:dyDescent="0.25">
      <c r="A167" s="9" t="s">
        <v>10</v>
      </c>
      <c r="B167" s="9" t="s">
        <v>28</v>
      </c>
      <c r="C167" s="9" t="s">
        <v>20</v>
      </c>
      <c r="D167" s="9" t="s">
        <v>12</v>
      </c>
      <c r="E167" s="9">
        <v>2014</v>
      </c>
      <c r="F167" s="44">
        <f t="shared" si="1"/>
        <v>128.07360520842755</v>
      </c>
      <c r="G167" s="38">
        <v>127.87921040702824</v>
      </c>
      <c r="H167" s="38">
        <v>106.49540624449855</v>
      </c>
      <c r="I167" s="38">
        <v>150.73558179457297</v>
      </c>
      <c r="J167" s="24">
        <v>132.58540555203908</v>
      </c>
      <c r="K167" s="9">
        <v>0.96597061098221193</v>
      </c>
      <c r="L167" s="9"/>
      <c r="M167" s="9"/>
      <c r="O167" s="9"/>
    </row>
    <row r="168" spans="1:15" x14ac:dyDescent="0.25">
      <c r="A168" s="9" t="s">
        <v>10</v>
      </c>
      <c r="B168" s="9" t="s">
        <v>28</v>
      </c>
      <c r="C168" s="9" t="s">
        <v>11</v>
      </c>
      <c r="D168" s="9" t="s">
        <v>15</v>
      </c>
      <c r="E168" s="9">
        <v>2014</v>
      </c>
      <c r="F168" s="44">
        <f>SUM(F169:F171)</f>
        <v>4055.6258785765676</v>
      </c>
      <c r="G168" s="38"/>
      <c r="H168" s="38"/>
      <c r="I168" s="38"/>
      <c r="J168" s="24"/>
      <c r="K168" s="9"/>
      <c r="L168" s="9"/>
      <c r="M168" s="9"/>
      <c r="O168" s="9"/>
    </row>
    <row r="169" spans="1:15" x14ac:dyDescent="0.25">
      <c r="A169" s="9" t="s">
        <v>10</v>
      </c>
      <c r="B169" s="9" t="s">
        <v>28</v>
      </c>
      <c r="C169" s="9" t="s">
        <v>31</v>
      </c>
      <c r="D169" s="9" t="s">
        <v>15</v>
      </c>
      <c r="E169" s="9">
        <v>2014</v>
      </c>
      <c r="F169" s="44">
        <f>J169*K169</f>
        <v>499.81471027727048</v>
      </c>
      <c r="G169" s="38">
        <v>499.68063606407776</v>
      </c>
      <c r="H169" s="38">
        <v>457.12255053756252</v>
      </c>
      <c r="I169" s="38">
        <v>544.4949328039902</v>
      </c>
      <c r="J169" s="24">
        <v>526.00896563174501</v>
      </c>
      <c r="K169" s="9">
        <v>0.95020188425302821</v>
      </c>
      <c r="L169" s="9"/>
      <c r="M169" s="9"/>
      <c r="O169" s="9"/>
    </row>
    <row r="170" spans="1:15" x14ac:dyDescent="0.25">
      <c r="A170" s="9" t="s">
        <v>10</v>
      </c>
      <c r="B170" s="9" t="s">
        <v>28</v>
      </c>
      <c r="C170" s="9" t="s">
        <v>19</v>
      </c>
      <c r="D170" s="9" t="s">
        <v>15</v>
      </c>
      <c r="E170" s="9">
        <v>2014</v>
      </c>
      <c r="F170" s="44">
        <f>J170*K170</f>
        <v>3456.6977696607451</v>
      </c>
      <c r="G170" s="38">
        <v>3456.8131298908552</v>
      </c>
      <c r="H170" s="38">
        <v>3341.7250287245865</v>
      </c>
      <c r="I170" s="38">
        <v>3572.2391649093074</v>
      </c>
      <c r="J170" s="24">
        <v>3635.3378714926116</v>
      </c>
      <c r="K170" s="9">
        <v>0.95086011035378126</v>
      </c>
      <c r="L170" s="9"/>
      <c r="M170" s="9"/>
      <c r="O170" s="9"/>
    </row>
    <row r="171" spans="1:15" x14ac:dyDescent="0.25">
      <c r="A171" s="9" t="s">
        <v>10</v>
      </c>
      <c r="B171" s="9" t="s">
        <v>28</v>
      </c>
      <c r="C171" s="9" t="s">
        <v>20</v>
      </c>
      <c r="D171" s="9" t="s">
        <v>15</v>
      </c>
      <c r="E171" s="9">
        <v>2014</v>
      </c>
      <c r="F171" s="44">
        <f>J171*K171</f>
        <v>99.113398638552212</v>
      </c>
      <c r="G171" s="38">
        <v>99.058139032006594</v>
      </c>
      <c r="H171" s="38">
        <v>80.207328095673091</v>
      </c>
      <c r="I171" s="38">
        <v>119.8031234839459</v>
      </c>
      <c r="J171" s="24">
        <v>102.65316287564336</v>
      </c>
      <c r="K171" s="9">
        <v>0.96551724137931039</v>
      </c>
      <c r="L171" s="9"/>
      <c r="M171" s="9"/>
      <c r="O171" s="9"/>
    </row>
    <row r="172" spans="1:15" x14ac:dyDescent="0.25">
      <c r="A172" s="9" t="s">
        <v>21</v>
      </c>
      <c r="B172" s="9" t="s">
        <v>11</v>
      </c>
      <c r="C172" s="9" t="s">
        <v>11</v>
      </c>
      <c r="D172" s="9" t="s">
        <v>11</v>
      </c>
      <c r="E172" s="9">
        <v>2014</v>
      </c>
      <c r="F172" s="44">
        <f>SUM(F175:F192)</f>
        <v>568.18011695906432</v>
      </c>
      <c r="G172" s="38">
        <v>568.23500000000001</v>
      </c>
      <c r="H172" s="38">
        <v>522</v>
      </c>
      <c r="I172" s="38">
        <v>615</v>
      </c>
      <c r="J172" s="24"/>
      <c r="K172" s="9"/>
      <c r="L172" s="9"/>
      <c r="M172" s="9"/>
      <c r="O172" s="9"/>
    </row>
    <row r="173" spans="1:15" x14ac:dyDescent="0.25">
      <c r="A173" s="9" t="s">
        <v>21</v>
      </c>
      <c r="B173" s="9" t="s">
        <v>11</v>
      </c>
      <c r="C173" s="9" t="s">
        <v>19</v>
      </c>
      <c r="D173" s="9" t="s">
        <v>11</v>
      </c>
      <c r="E173" s="9">
        <v>2014</v>
      </c>
      <c r="F173" s="44">
        <f>SUM(F176,F179,F182,F185,F188,F191)</f>
        <v>423.71111111111105</v>
      </c>
      <c r="G173" s="38"/>
      <c r="H173" s="38"/>
      <c r="I173" s="38"/>
      <c r="J173" s="24"/>
      <c r="K173" s="9"/>
      <c r="L173" s="9"/>
      <c r="M173" s="9"/>
      <c r="O173" s="9"/>
    </row>
    <row r="174" spans="1:15" x14ac:dyDescent="0.25">
      <c r="A174" s="9" t="s">
        <v>21</v>
      </c>
      <c r="B174" s="9" t="s">
        <v>24</v>
      </c>
      <c r="C174" s="9" t="s">
        <v>11</v>
      </c>
      <c r="D174" s="9" t="s">
        <v>11</v>
      </c>
      <c r="E174" s="9">
        <v>2014</v>
      </c>
      <c r="F174" s="44">
        <f>SUM(F175:F177)</f>
        <v>294.75555555555553</v>
      </c>
      <c r="G174" s="38"/>
      <c r="H174" s="38"/>
      <c r="I174" s="38"/>
      <c r="J174" s="24"/>
      <c r="K174" s="9"/>
      <c r="L174" s="9"/>
      <c r="M174" s="9"/>
      <c r="O174" s="9"/>
    </row>
    <row r="175" spans="1:15" x14ac:dyDescent="0.25">
      <c r="A175" s="9" t="s">
        <v>21</v>
      </c>
      <c r="B175" s="9" t="s">
        <v>24</v>
      </c>
      <c r="C175" s="9" t="s">
        <v>31</v>
      </c>
      <c r="D175" s="9" t="s">
        <v>11</v>
      </c>
      <c r="E175" s="9">
        <v>2014</v>
      </c>
      <c r="F175" s="44">
        <f t="shared" si="1"/>
        <v>57.844520288206297</v>
      </c>
      <c r="G175" s="38">
        <v>57.875866531147565</v>
      </c>
      <c r="H175" s="38">
        <v>43.91557072019404</v>
      </c>
      <c r="I175" s="38">
        <v>73.49987480519556</v>
      </c>
      <c r="J175" s="24">
        <v>59.658703071672356</v>
      </c>
      <c r="K175" s="9">
        <v>0.96959064327485378</v>
      </c>
      <c r="L175" s="9"/>
      <c r="M175" s="9"/>
      <c r="O175" s="9"/>
    </row>
    <row r="176" spans="1:15" x14ac:dyDescent="0.25">
      <c r="A176" s="9" t="s">
        <v>21</v>
      </c>
      <c r="B176" s="9" t="s">
        <v>24</v>
      </c>
      <c r="C176" s="9" t="s">
        <v>19</v>
      </c>
      <c r="D176" s="9" t="s">
        <v>11</v>
      </c>
      <c r="E176" s="9">
        <v>2014</v>
      </c>
      <c r="F176" s="44">
        <f t="shared" si="1"/>
        <v>219.80917709518391</v>
      </c>
      <c r="G176" s="38">
        <v>219.83497121187051</v>
      </c>
      <c r="H176" s="38">
        <v>191.32599989932095</v>
      </c>
      <c r="I176" s="38">
        <v>249.77273016203026</v>
      </c>
      <c r="J176" s="24">
        <v>226.70307167235495</v>
      </c>
      <c r="K176" s="9">
        <v>0.96959064327485378</v>
      </c>
      <c r="L176" s="9"/>
      <c r="M176" s="9"/>
      <c r="O176" s="9"/>
    </row>
    <row r="177" spans="1:18" x14ac:dyDescent="0.25">
      <c r="A177" s="9" t="s">
        <v>21</v>
      </c>
      <c r="B177" s="9" t="s">
        <v>24</v>
      </c>
      <c r="C177" s="9" t="s">
        <v>20</v>
      </c>
      <c r="D177" s="9" t="s">
        <v>11</v>
      </c>
      <c r="E177" s="9">
        <v>2014</v>
      </c>
      <c r="F177" s="44">
        <f t="shared" si="1"/>
        <v>17.10185817216534</v>
      </c>
      <c r="G177" s="38">
        <v>17.081903442690557</v>
      </c>
      <c r="H177" s="38">
        <v>10.010527583406715</v>
      </c>
      <c r="I177" s="38">
        <v>26.001088330179421</v>
      </c>
      <c r="J177" s="24">
        <v>17.638225255972696</v>
      </c>
      <c r="K177" s="9">
        <v>0.96959064327485378</v>
      </c>
      <c r="L177" s="9"/>
      <c r="M177" s="9"/>
      <c r="O177" s="9"/>
    </row>
    <row r="178" spans="1:18" x14ac:dyDescent="0.25">
      <c r="A178" s="9" t="s">
        <v>21</v>
      </c>
      <c r="B178" s="9" t="s">
        <v>26</v>
      </c>
      <c r="C178" s="9" t="s">
        <v>31</v>
      </c>
      <c r="D178" s="9" t="s">
        <v>12</v>
      </c>
      <c r="E178" s="9">
        <v>2014</v>
      </c>
      <c r="F178" s="44">
        <f t="shared" si="1"/>
        <v>4.505783685607649</v>
      </c>
      <c r="G178" s="38">
        <v>4.5121322119033707</v>
      </c>
      <c r="H178" s="38">
        <v>1.347949588951844</v>
      </c>
      <c r="I178" s="38">
        <v>9.4735876617420978</v>
      </c>
      <c r="J178" s="24">
        <v>4.6470989761092154</v>
      </c>
      <c r="K178" s="9">
        <v>0.96959064327485378</v>
      </c>
      <c r="L178" s="9"/>
      <c r="M178" s="9"/>
      <c r="O178" s="9"/>
    </row>
    <row r="179" spans="1:18" x14ac:dyDescent="0.25">
      <c r="A179" s="9" t="s">
        <v>21</v>
      </c>
      <c r="B179" s="9" t="s">
        <v>26</v>
      </c>
      <c r="C179" s="9" t="s">
        <v>19</v>
      </c>
      <c r="D179" s="9" t="s">
        <v>12</v>
      </c>
      <c r="E179" s="9">
        <v>2014</v>
      </c>
      <c r="F179" s="44">
        <f t="shared" si="1"/>
        <v>17.12197800530906</v>
      </c>
      <c r="G179" s="38">
        <v>17.040278070062936</v>
      </c>
      <c r="H179" s="38">
        <v>10.064761464177764</v>
      </c>
      <c r="I179" s="38">
        <v>25.956135438678448</v>
      </c>
      <c r="J179" s="24">
        <v>17.658976109215015</v>
      </c>
      <c r="K179" s="9">
        <v>0.96959064327485378</v>
      </c>
      <c r="L179" s="9"/>
      <c r="M179" s="9"/>
      <c r="O179" s="9"/>
    </row>
    <row r="180" spans="1:18" x14ac:dyDescent="0.25">
      <c r="A180" s="9" t="s">
        <v>21</v>
      </c>
      <c r="B180" s="9" t="s">
        <v>26</v>
      </c>
      <c r="C180" s="9" t="s">
        <v>20</v>
      </c>
      <c r="D180" s="9" t="s">
        <v>12</v>
      </c>
      <c r="E180" s="9">
        <v>2014</v>
      </c>
      <c r="F180" s="44">
        <f t="shared" si="1"/>
        <v>1.3321447418318266</v>
      </c>
      <c r="G180" s="38">
        <v>1.3255786204628679</v>
      </c>
      <c r="H180" s="38">
        <v>7.4684004975411944E-2</v>
      </c>
      <c r="I180" s="38">
        <v>4.2120435145256403</v>
      </c>
      <c r="J180" s="24">
        <v>1.3739249146757682</v>
      </c>
      <c r="K180" s="9">
        <v>0.96959064327485378</v>
      </c>
      <c r="L180" s="9"/>
      <c r="M180" s="9"/>
      <c r="O180" s="9"/>
    </row>
    <row r="181" spans="1:18" x14ac:dyDescent="0.25">
      <c r="A181" s="9" t="s">
        <v>21</v>
      </c>
      <c r="B181" s="9" t="s">
        <v>26</v>
      </c>
      <c r="C181" s="9" t="s">
        <v>31</v>
      </c>
      <c r="D181" s="9" t="s">
        <v>15</v>
      </c>
      <c r="E181" s="9">
        <v>2014</v>
      </c>
      <c r="F181" s="44">
        <f t="shared" si="1"/>
        <v>2.5345033231543024</v>
      </c>
      <c r="G181" s="38">
        <v>2.5472035213578592</v>
      </c>
      <c r="H181" s="38">
        <v>0.43856653090293085</v>
      </c>
      <c r="I181" s="38">
        <v>6.5070334300249772</v>
      </c>
      <c r="J181" s="24">
        <v>2.6139931740614339</v>
      </c>
      <c r="K181" s="9">
        <v>0.96959064327485378</v>
      </c>
      <c r="L181" s="9"/>
      <c r="M181" s="9"/>
      <c r="O181" s="9"/>
    </row>
    <row r="182" spans="1:18" x14ac:dyDescent="0.25">
      <c r="A182" s="9" t="s">
        <v>21</v>
      </c>
      <c r="B182" s="9" t="s">
        <v>26</v>
      </c>
      <c r="C182" s="9" t="s">
        <v>19</v>
      </c>
      <c r="D182" s="9" t="s">
        <v>15</v>
      </c>
      <c r="E182" s="9">
        <v>2014</v>
      </c>
      <c r="F182" s="44">
        <f t="shared" si="1"/>
        <v>9.631112627986349</v>
      </c>
      <c r="G182" s="38">
        <v>9.6030424740294098</v>
      </c>
      <c r="H182" s="38">
        <v>4.5309789022153293</v>
      </c>
      <c r="I182" s="38">
        <v>16.581808891091676</v>
      </c>
      <c r="J182" s="24">
        <v>9.9331740614334478</v>
      </c>
      <c r="K182" s="9">
        <v>0.96959064327485378</v>
      </c>
      <c r="L182" s="9"/>
      <c r="M182" s="9"/>
      <c r="O182" s="9"/>
    </row>
    <row r="183" spans="1:18" x14ac:dyDescent="0.25">
      <c r="A183" s="9" t="s">
        <v>21</v>
      </c>
      <c r="B183" s="9" t="s">
        <v>26</v>
      </c>
      <c r="C183" s="9" t="s">
        <v>20</v>
      </c>
      <c r="D183" s="9" t="s">
        <v>15</v>
      </c>
      <c r="E183" s="9">
        <v>2014</v>
      </c>
      <c r="F183" s="44">
        <f t="shared" si="1"/>
        <v>0.74933141728040253</v>
      </c>
      <c r="G183" s="38">
        <v>0.76375069633807824</v>
      </c>
      <c r="H183" s="38">
        <v>6.6946795334391932E-3</v>
      </c>
      <c r="I183" s="38">
        <v>3.2308783863528654</v>
      </c>
      <c r="J183" s="24">
        <v>0.77283276450511962</v>
      </c>
      <c r="K183" s="9">
        <v>0.96959064327485378</v>
      </c>
      <c r="L183" s="9"/>
      <c r="M183" s="9"/>
      <c r="O183" s="9"/>
    </row>
    <row r="184" spans="1:18" x14ac:dyDescent="0.25">
      <c r="A184" s="9" t="s">
        <v>21</v>
      </c>
      <c r="B184" s="9" t="s">
        <v>27</v>
      </c>
      <c r="C184" s="9" t="s">
        <v>31</v>
      </c>
      <c r="D184" s="9" t="s">
        <v>11</v>
      </c>
      <c r="E184" s="9">
        <v>2014</v>
      </c>
      <c r="F184" s="44">
        <f t="shared" si="1"/>
        <v>1.3319461908468555</v>
      </c>
      <c r="G184" s="38">
        <v>1.3260162216096607</v>
      </c>
      <c r="H184" s="38">
        <v>7.2444947991588612E-2</v>
      </c>
      <c r="I184" s="38">
        <v>4.3681197045098932</v>
      </c>
      <c r="J184" s="24">
        <v>1.3737201365187715</v>
      </c>
      <c r="K184" s="9">
        <v>0.96959064327485378</v>
      </c>
      <c r="L184" s="9"/>
      <c r="M184" s="9"/>
      <c r="O184" s="9"/>
    </row>
    <row r="185" spans="1:18" x14ac:dyDescent="0.25">
      <c r="A185" s="9" t="s">
        <v>21</v>
      </c>
      <c r="B185" s="9" t="s">
        <v>27</v>
      </c>
      <c r="C185" s="9" t="s">
        <v>19</v>
      </c>
      <c r="D185" s="9" t="s">
        <v>11</v>
      </c>
      <c r="E185" s="9">
        <v>2014</v>
      </c>
      <c r="F185" s="44">
        <f t="shared" si="1"/>
        <v>5.0613955252180505</v>
      </c>
      <c r="G185" s="38">
        <v>5.0635174375465475</v>
      </c>
      <c r="H185" s="38">
        <v>1.7031351654868014</v>
      </c>
      <c r="I185" s="38">
        <v>10.278034911361503</v>
      </c>
      <c r="J185" s="24">
        <v>5.2201365187713309</v>
      </c>
      <c r="K185" s="9">
        <v>0.96959064327485378</v>
      </c>
      <c r="L185" s="9"/>
      <c r="M185" s="9"/>
      <c r="O185" s="9"/>
    </row>
    <row r="186" spans="1:18" x14ac:dyDescent="0.25">
      <c r="A186" s="9" t="s">
        <v>21</v>
      </c>
      <c r="B186" s="9" t="s">
        <v>27</v>
      </c>
      <c r="C186" s="9" t="s">
        <v>20</v>
      </c>
      <c r="D186" s="9" t="s">
        <v>11</v>
      </c>
      <c r="E186" s="9">
        <v>2014</v>
      </c>
      <c r="F186" s="44">
        <f t="shared" si="1"/>
        <v>0.39379278685907038</v>
      </c>
      <c r="G186" s="38">
        <v>0.38484292218813282</v>
      </c>
      <c r="H186" s="38">
        <v>5.3070533294652137E-5</v>
      </c>
      <c r="I186" s="38">
        <v>2.1845453567470519</v>
      </c>
      <c r="J186" s="24">
        <v>0.40614334470989766</v>
      </c>
      <c r="K186" s="9">
        <v>0.96959064327485378</v>
      </c>
      <c r="L186" s="9"/>
      <c r="M186" s="9"/>
      <c r="O186" s="9"/>
    </row>
    <row r="187" spans="1:18" x14ac:dyDescent="0.25">
      <c r="A187" s="9" t="s">
        <v>21</v>
      </c>
      <c r="B187" s="9" t="s">
        <v>28</v>
      </c>
      <c r="C187" s="9" t="s">
        <v>31</v>
      </c>
      <c r="D187" s="9" t="s">
        <v>12</v>
      </c>
      <c r="E187" s="9">
        <v>2014</v>
      </c>
      <c r="F187" s="44">
        <f t="shared" si="1"/>
        <v>16.995633395205875</v>
      </c>
      <c r="G187" s="38">
        <v>16.946308452625924</v>
      </c>
      <c r="H187" s="38">
        <v>9.8168035456693996</v>
      </c>
      <c r="I187" s="38">
        <v>26.017416535839367</v>
      </c>
      <c r="J187" s="24">
        <v>17.528668941979522</v>
      </c>
      <c r="K187" s="9">
        <v>0.96959064327485378</v>
      </c>
      <c r="L187" s="9"/>
      <c r="M187" s="9"/>
      <c r="O187" s="9"/>
    </row>
    <row r="188" spans="1:18" x14ac:dyDescent="0.25">
      <c r="A188" s="9" t="s">
        <v>21</v>
      </c>
      <c r="B188" s="9" t="s">
        <v>28</v>
      </c>
      <c r="C188" s="9" t="s">
        <v>19</v>
      </c>
      <c r="D188" s="9" t="s">
        <v>12</v>
      </c>
      <c r="E188" s="9">
        <v>2014</v>
      </c>
      <c r="F188" s="44">
        <f t="shared" si="1"/>
        <v>64.583406901782311</v>
      </c>
      <c r="G188" s="38">
        <v>64.584142260327482</v>
      </c>
      <c r="H188" s="38">
        <v>49.864351190796448</v>
      </c>
      <c r="I188" s="38">
        <v>81.137708037880657</v>
      </c>
      <c r="J188" s="24">
        <v>66.608941979522172</v>
      </c>
      <c r="K188" s="9">
        <v>0.96959064327485378</v>
      </c>
      <c r="L188" s="9"/>
      <c r="M188" s="9"/>
      <c r="O188" s="9"/>
    </row>
    <row r="189" spans="1:18" x14ac:dyDescent="0.25">
      <c r="A189" s="9" t="s">
        <v>21</v>
      </c>
      <c r="B189" s="9" t="s">
        <v>28</v>
      </c>
      <c r="C189" s="9" t="s">
        <v>20</v>
      </c>
      <c r="D189" s="9" t="s">
        <v>12</v>
      </c>
      <c r="E189" s="9">
        <v>2014</v>
      </c>
      <c r="F189" s="44">
        <f t="shared" si="1"/>
        <v>5.0247959603217378</v>
      </c>
      <c r="G189" s="38">
        <v>5.0414018967828245</v>
      </c>
      <c r="H189" s="38">
        <v>1.6096866706568747</v>
      </c>
      <c r="I189" s="38">
        <v>10.194122107766651</v>
      </c>
      <c r="J189" s="24">
        <v>5.1823890784982938</v>
      </c>
      <c r="K189" s="9">
        <v>0.96959064327485378</v>
      </c>
      <c r="L189" s="9"/>
      <c r="M189" s="9"/>
      <c r="N189" s="4"/>
      <c r="O189" s="11"/>
      <c r="P189" s="4"/>
      <c r="Q189" s="4"/>
      <c r="R189" s="4"/>
    </row>
    <row r="190" spans="1:18" x14ac:dyDescent="0.25">
      <c r="A190" s="9" t="s">
        <v>21</v>
      </c>
      <c r="B190" s="9" t="s">
        <v>28</v>
      </c>
      <c r="C190" s="9" t="s">
        <v>31</v>
      </c>
      <c r="D190" s="9" t="s">
        <v>15</v>
      </c>
      <c r="E190" s="9">
        <v>2014</v>
      </c>
      <c r="F190" s="44">
        <f t="shared" si="1"/>
        <v>28.290537093587211</v>
      </c>
      <c r="G190" s="38">
        <v>28.333450055735774</v>
      </c>
      <c r="H190" s="38">
        <v>18.898096534839656</v>
      </c>
      <c r="I190" s="38">
        <v>39.417014211999295</v>
      </c>
      <c r="J190" s="24">
        <v>29.177815699658705</v>
      </c>
      <c r="K190" s="9">
        <v>0.96959064327485378</v>
      </c>
      <c r="L190" s="9"/>
      <c r="M190" s="9"/>
      <c r="N190" s="4"/>
      <c r="O190" s="11"/>
      <c r="P190" s="4"/>
      <c r="Q190" s="4"/>
      <c r="R190" s="4"/>
    </row>
    <row r="191" spans="1:18" x14ac:dyDescent="0.25">
      <c r="A191" s="9" t="s">
        <v>21</v>
      </c>
      <c r="B191" s="9" t="s">
        <v>28</v>
      </c>
      <c r="C191" s="9" t="s">
        <v>19</v>
      </c>
      <c r="D191" s="9" t="s">
        <v>15</v>
      </c>
      <c r="E191" s="9">
        <v>2014</v>
      </c>
      <c r="F191" s="44">
        <f t="shared" si="1"/>
        <v>107.5040409556314</v>
      </c>
      <c r="G191" s="38">
        <v>107.55462514546446</v>
      </c>
      <c r="H191" s="38">
        <v>88.745354011476635</v>
      </c>
      <c r="I191" s="38">
        <v>128.59593858656848</v>
      </c>
      <c r="J191" s="3">
        <v>110.87569965870307</v>
      </c>
      <c r="K191" s="9">
        <v>0.96959064327485378</v>
      </c>
      <c r="L191" s="9"/>
      <c r="M191" s="9"/>
      <c r="N191" s="4"/>
      <c r="O191" s="11"/>
      <c r="P191" s="4"/>
      <c r="Q191" s="4"/>
      <c r="R191" s="4"/>
    </row>
    <row r="192" spans="1:18" x14ac:dyDescent="0.25">
      <c r="A192" s="9" t="s">
        <v>21</v>
      </c>
      <c r="B192" s="9" t="s">
        <v>28</v>
      </c>
      <c r="C192" s="9" t="s">
        <v>20</v>
      </c>
      <c r="D192" s="9" t="s">
        <v>15</v>
      </c>
      <c r="E192" s="9">
        <v>2014</v>
      </c>
      <c r="F192" s="44">
        <f t="shared" si="1"/>
        <v>8.3641587928866539</v>
      </c>
      <c r="G192" s="38">
        <v>8.4159688278560267</v>
      </c>
      <c r="H192" s="38">
        <v>3.7113707488099381</v>
      </c>
      <c r="I192" s="38">
        <v>15.070819759266739</v>
      </c>
      <c r="J192" s="3">
        <v>8.6264846416382266</v>
      </c>
      <c r="K192" s="9">
        <v>0.96959064327485378</v>
      </c>
      <c r="L192" s="9"/>
      <c r="M192" s="9"/>
      <c r="N192" s="4"/>
      <c r="O192" s="11"/>
      <c r="P192" s="4"/>
      <c r="Q192" s="4"/>
      <c r="R192" s="4"/>
    </row>
    <row r="193" spans="1:18" x14ac:dyDescent="0.25">
      <c r="A193" s="9" t="s">
        <v>22</v>
      </c>
      <c r="B193" s="9" t="s">
        <v>11</v>
      </c>
      <c r="C193" s="9" t="s">
        <v>11</v>
      </c>
      <c r="D193" s="9" t="s">
        <v>11</v>
      </c>
      <c r="E193" s="9">
        <v>2014</v>
      </c>
      <c r="F193" s="44">
        <f t="shared" si="1"/>
        <v>314.15466101694915</v>
      </c>
      <c r="G193" s="38">
        <v>314.4162</v>
      </c>
      <c r="H193" s="38">
        <v>281</v>
      </c>
      <c r="I193" s="38">
        <v>349</v>
      </c>
      <c r="J193" s="3">
        <v>360.33474576271186</v>
      </c>
      <c r="K193" s="9">
        <v>0.87184115523465699</v>
      </c>
      <c r="L193" s="9"/>
      <c r="M193" s="9"/>
      <c r="N193" s="4"/>
      <c r="O193" s="11"/>
      <c r="P193" s="4"/>
      <c r="Q193" s="4"/>
      <c r="R193" s="4"/>
    </row>
    <row r="194" spans="1:18" x14ac:dyDescent="0.25">
      <c r="A194" s="9" t="s">
        <v>22</v>
      </c>
      <c r="B194" s="9" t="s">
        <v>11</v>
      </c>
      <c r="C194" s="9" t="s">
        <v>19</v>
      </c>
      <c r="D194" s="9" t="s">
        <v>11</v>
      </c>
      <c r="E194" s="9">
        <v>2014</v>
      </c>
      <c r="F194" s="44">
        <f t="shared" si="1"/>
        <v>229.66180092394293</v>
      </c>
      <c r="G194" s="38"/>
      <c r="H194" s="38"/>
      <c r="I194" s="38"/>
      <c r="J194" s="3">
        <f>SUM(J197,J201,J204,J208,J212,J215)</f>
        <v>263.42161016949149</v>
      </c>
      <c r="K194" s="9">
        <v>0.87184115523465699</v>
      </c>
      <c r="L194" s="9"/>
      <c r="M194" s="9"/>
      <c r="N194" s="4"/>
      <c r="O194" s="11"/>
      <c r="P194" s="4"/>
      <c r="Q194" s="4"/>
      <c r="R194" s="4"/>
    </row>
    <row r="195" spans="1:18" x14ac:dyDescent="0.25">
      <c r="A195" s="9" t="s">
        <v>22</v>
      </c>
      <c r="B195" s="9" t="s">
        <v>24</v>
      </c>
      <c r="C195" s="9" t="s">
        <v>11</v>
      </c>
      <c r="D195" s="9" t="s">
        <v>11</v>
      </c>
      <c r="E195" s="9">
        <v>2014</v>
      </c>
      <c r="F195" s="44">
        <f t="shared" si="1"/>
        <v>60.676080737930612</v>
      </c>
      <c r="G195" s="38"/>
      <c r="H195" s="38"/>
      <c r="I195" s="38"/>
      <c r="J195" s="3">
        <v>69.595338983050851</v>
      </c>
      <c r="K195" s="9">
        <v>0.87184115523465699</v>
      </c>
      <c r="L195" s="9"/>
      <c r="M195" s="9"/>
      <c r="N195" s="11"/>
      <c r="O195" s="11"/>
      <c r="P195" s="4"/>
      <c r="Q195" s="4"/>
      <c r="R195" s="4"/>
    </row>
    <row r="196" spans="1:18" x14ac:dyDescent="0.25">
      <c r="A196" s="9" t="s">
        <v>22</v>
      </c>
      <c r="B196" s="9" t="s">
        <v>24</v>
      </c>
      <c r="C196" s="9" t="s">
        <v>31</v>
      </c>
      <c r="D196" s="9" t="s">
        <v>11</v>
      </c>
      <c r="E196" s="9">
        <v>2014</v>
      </c>
      <c r="F196" s="44">
        <f t="shared" si="1"/>
        <v>13.142833372836956</v>
      </c>
      <c r="G196" s="38">
        <v>13.172152373425421</v>
      </c>
      <c r="H196" s="38">
        <v>7.0704031404177048</v>
      </c>
      <c r="I196" s="38">
        <v>21.306191816367043</v>
      </c>
      <c r="J196" s="3">
        <v>15.074802667808848</v>
      </c>
      <c r="K196" s="9">
        <v>0.87184115523465699</v>
      </c>
      <c r="L196" s="9"/>
      <c r="M196" s="9"/>
      <c r="N196" s="11"/>
      <c r="O196" s="11"/>
      <c r="P196" s="4"/>
      <c r="Q196" s="4"/>
      <c r="R196" s="4"/>
    </row>
    <row r="197" spans="1:18" x14ac:dyDescent="0.25">
      <c r="A197" s="9" t="s">
        <v>22</v>
      </c>
      <c r="B197" s="9" t="s">
        <v>24</v>
      </c>
      <c r="C197" s="9" t="s">
        <v>19</v>
      </c>
      <c r="D197" s="9" t="s">
        <v>11</v>
      </c>
      <c r="E197" s="9">
        <v>2014</v>
      </c>
      <c r="F197" s="44">
        <f t="shared" si="1"/>
        <v>44.357062633324723</v>
      </c>
      <c r="G197" s="38">
        <v>44.349919234936408</v>
      </c>
      <c r="H197" s="38">
        <v>32.206642709131962</v>
      </c>
      <c r="I197" s="38">
        <v>58.266188892485168</v>
      </c>
      <c r="J197" s="3">
        <v>50.87745900385486</v>
      </c>
      <c r="K197" s="9">
        <v>0.87184115523465699</v>
      </c>
      <c r="L197" s="9"/>
      <c r="M197" s="9"/>
      <c r="N197" s="11"/>
      <c r="O197" s="11"/>
      <c r="P197" s="4"/>
      <c r="Q197" s="4"/>
      <c r="R197" s="4"/>
    </row>
    <row r="198" spans="1:18" x14ac:dyDescent="0.25">
      <c r="A198" s="9" t="s">
        <v>22</v>
      </c>
      <c r="B198" s="9" t="s">
        <v>24</v>
      </c>
      <c r="C198" s="9" t="s">
        <v>20</v>
      </c>
      <c r="D198" s="9" t="s">
        <v>11</v>
      </c>
      <c r="E198" s="9">
        <v>2014</v>
      </c>
      <c r="F198" s="44">
        <f t="shared" si="1"/>
        <v>3.1761847317689313</v>
      </c>
      <c r="G198" s="38">
        <v>3.1823120400457241</v>
      </c>
      <c r="H198" s="38">
        <v>0.69605462223935433</v>
      </c>
      <c r="I198" s="38">
        <v>7.5246537538120233</v>
      </c>
      <c r="J198" s="3">
        <v>3.6430773113871386</v>
      </c>
      <c r="K198" s="9">
        <v>0.87184115523465699</v>
      </c>
      <c r="L198" s="9"/>
      <c r="M198" s="9"/>
      <c r="N198" s="9"/>
      <c r="O198" s="9"/>
    </row>
    <row r="199" spans="1:18" x14ac:dyDescent="0.25">
      <c r="A199" s="9" t="s">
        <v>22</v>
      </c>
      <c r="B199" s="9" t="s">
        <v>26</v>
      </c>
      <c r="C199" s="9" t="s">
        <v>11</v>
      </c>
      <c r="D199" s="9" t="s">
        <v>11</v>
      </c>
      <c r="E199" s="9">
        <v>2014</v>
      </c>
      <c r="F199" s="44">
        <f t="shared" si="1"/>
        <v>149.13840405678269</v>
      </c>
      <c r="G199" s="38"/>
      <c r="H199" s="38"/>
      <c r="I199" s="38"/>
      <c r="J199" s="3">
        <f>SUM(J200:J205)</f>
        <v>171.06144067796609</v>
      </c>
      <c r="K199" s="9">
        <v>0.87184115523465699</v>
      </c>
      <c r="L199" s="9"/>
      <c r="M199" s="9"/>
      <c r="N199" s="9"/>
      <c r="O199" s="9"/>
    </row>
    <row r="200" spans="1:18" x14ac:dyDescent="0.25">
      <c r="A200" s="9" t="s">
        <v>22</v>
      </c>
      <c r="B200" s="9" t="s">
        <v>26</v>
      </c>
      <c r="C200" s="9" t="s">
        <v>31</v>
      </c>
      <c r="D200" s="9" t="s">
        <v>12</v>
      </c>
      <c r="E200" s="9">
        <v>2014</v>
      </c>
      <c r="F200" s="44">
        <f t="shared" si="1"/>
        <v>19.652834950036571</v>
      </c>
      <c r="G200" s="38">
        <v>19.700675359300796</v>
      </c>
      <c r="H200" s="38">
        <v>11.887086510075687</v>
      </c>
      <c r="I200" s="38">
        <v>29.548734639147842</v>
      </c>
      <c r="J200" s="3">
        <v>22.541760998592672</v>
      </c>
      <c r="K200" s="9">
        <v>0.87184115523465699</v>
      </c>
      <c r="L200" s="9"/>
      <c r="M200" s="9"/>
      <c r="N200" s="9"/>
      <c r="O200" s="9"/>
    </row>
    <row r="201" spans="1:18" x14ac:dyDescent="0.25">
      <c r="A201" s="9" t="s">
        <v>22</v>
      </c>
      <c r="B201" s="9" t="s">
        <v>26</v>
      </c>
      <c r="C201" s="9" t="s">
        <v>19</v>
      </c>
      <c r="D201" s="9" t="s">
        <v>12</v>
      </c>
      <c r="E201" s="9">
        <v>2014</v>
      </c>
      <c r="F201" s="44">
        <f t="shared" si="1"/>
        <v>66.328317956373411</v>
      </c>
      <c r="G201" s="38">
        <v>66.408642908006939</v>
      </c>
      <c r="H201" s="38">
        <v>51.492898432565411</v>
      </c>
      <c r="I201" s="38">
        <v>83.19874465204127</v>
      </c>
      <c r="J201" s="3">
        <v>76.078443370250255</v>
      </c>
      <c r="K201" s="9">
        <v>0.87184115523465699</v>
      </c>
      <c r="L201" s="9"/>
      <c r="M201" s="9"/>
      <c r="N201" s="9"/>
      <c r="O201" s="9"/>
    </row>
    <row r="202" spans="1:18" x14ac:dyDescent="0.25">
      <c r="A202" s="9" t="s">
        <v>22</v>
      </c>
      <c r="B202" s="9" t="s">
        <v>26</v>
      </c>
      <c r="C202" s="9" t="s">
        <v>20</v>
      </c>
      <c r="D202" s="9" t="s">
        <v>12</v>
      </c>
      <c r="E202" s="9">
        <v>2014</v>
      </c>
      <c r="F202" s="44">
        <f t="shared" si="1"/>
        <v>4.7494351129255046</v>
      </c>
      <c r="G202" s="38">
        <v>4.7736013267686399</v>
      </c>
      <c r="H202" s="38">
        <v>1.5263826692720424</v>
      </c>
      <c r="I202" s="38">
        <v>9.9961406435799987</v>
      </c>
      <c r="J202" s="3">
        <v>5.4475922413265625</v>
      </c>
      <c r="K202" s="9">
        <v>0.87184115523465699</v>
      </c>
      <c r="L202" s="9"/>
      <c r="M202" s="9"/>
      <c r="N202" s="9"/>
      <c r="O202" s="9"/>
    </row>
    <row r="203" spans="1:18" x14ac:dyDescent="0.25">
      <c r="A203" s="9" t="s">
        <v>22</v>
      </c>
      <c r="B203" s="9" t="s">
        <v>26</v>
      </c>
      <c r="C203" s="9" t="s">
        <v>31</v>
      </c>
      <c r="D203" s="9" t="s">
        <v>15</v>
      </c>
      <c r="E203" s="9">
        <v>2014</v>
      </c>
      <c r="F203" s="44">
        <f t="shared" si="1"/>
        <v>12.65151249908604</v>
      </c>
      <c r="G203" s="38">
        <v>12.630740312179663</v>
      </c>
      <c r="H203" s="38">
        <v>6.6182394285136557</v>
      </c>
      <c r="I203" s="38">
        <v>20.501971556524616</v>
      </c>
      <c r="J203" s="3">
        <v>14.51125864284403</v>
      </c>
      <c r="K203" s="9">
        <v>0.87184115523465699</v>
      </c>
      <c r="L203" s="9"/>
      <c r="M203" s="9"/>
      <c r="N203" s="9"/>
      <c r="O203" s="9"/>
    </row>
    <row r="204" spans="1:18" x14ac:dyDescent="0.25">
      <c r="A204" s="9" t="s">
        <v>22</v>
      </c>
      <c r="B204" s="9" t="s">
        <v>26</v>
      </c>
      <c r="C204" s="9" t="s">
        <v>19</v>
      </c>
      <c r="D204" s="9" t="s">
        <v>15</v>
      </c>
      <c r="E204" s="9">
        <v>2014</v>
      </c>
      <c r="F204" s="44">
        <f t="shared" si="1"/>
        <v>42.698854684415387</v>
      </c>
      <c r="G204" s="38">
        <v>42.792668801834026</v>
      </c>
      <c r="H204" s="38">
        <v>30.845062605187845</v>
      </c>
      <c r="I204" s="38">
        <v>56.622453267829542</v>
      </c>
      <c r="J204" s="3">
        <v>48.975497919598602</v>
      </c>
      <c r="K204" s="9">
        <v>0.87184115523465699</v>
      </c>
      <c r="L204" s="9"/>
      <c r="M204" s="9"/>
      <c r="N204" s="9"/>
      <c r="O204" s="9"/>
    </row>
    <row r="205" spans="1:18" x14ac:dyDescent="0.25">
      <c r="A205" s="9" t="s">
        <v>22</v>
      </c>
      <c r="B205" s="9" t="s">
        <v>26</v>
      </c>
      <c r="C205" s="9" t="s">
        <v>20</v>
      </c>
      <c r="D205" s="9" t="s">
        <v>15</v>
      </c>
      <c r="E205" s="9">
        <v>2014</v>
      </c>
      <c r="F205" s="44">
        <f t="shared" si="1"/>
        <v>3.0574488539457931</v>
      </c>
      <c r="G205" s="38">
        <v>3.0581493186636202</v>
      </c>
      <c r="H205" s="38">
        <v>0.658711206793541</v>
      </c>
      <c r="I205" s="38">
        <v>7.2119330316933565</v>
      </c>
      <c r="J205" s="3">
        <v>3.5068875053539741</v>
      </c>
      <c r="K205" s="9">
        <v>0.87184115523465699</v>
      </c>
      <c r="L205" s="9"/>
      <c r="M205" s="9"/>
      <c r="N205" s="9"/>
      <c r="O205" s="9"/>
    </row>
    <row r="206" spans="1:18" x14ac:dyDescent="0.25">
      <c r="A206" s="9" t="s">
        <v>22</v>
      </c>
      <c r="B206" s="9" t="s">
        <v>27</v>
      </c>
      <c r="C206" s="9" t="s">
        <v>11</v>
      </c>
      <c r="D206" s="9" t="s">
        <v>11</v>
      </c>
      <c r="E206" s="9">
        <v>2014</v>
      </c>
      <c r="F206" s="44">
        <f t="shared" si="1"/>
        <v>12.47545585265863</v>
      </c>
      <c r="G206" s="38"/>
      <c r="H206" s="38"/>
      <c r="I206" s="38"/>
      <c r="J206" s="3">
        <f>SUM(J207:J209)</f>
        <v>14.309322033898304</v>
      </c>
      <c r="K206" s="9">
        <v>0.87184115523465699</v>
      </c>
      <c r="L206" s="9"/>
      <c r="M206" s="9"/>
      <c r="N206" s="9"/>
      <c r="O206" s="9"/>
    </row>
    <row r="207" spans="1:18" x14ac:dyDescent="0.25">
      <c r="A207" s="9" t="s">
        <v>22</v>
      </c>
      <c r="B207" s="9" t="s">
        <v>27</v>
      </c>
      <c r="C207" s="9" t="s">
        <v>31</v>
      </c>
      <c r="D207" s="9" t="s">
        <v>11</v>
      </c>
      <c r="E207" s="9">
        <v>2014</v>
      </c>
      <c r="F207" s="44">
        <f t="shared" si="1"/>
        <v>2.702264805630028</v>
      </c>
      <c r="G207" s="38">
        <v>2.7006335434564841</v>
      </c>
      <c r="H207" s="38">
        <v>0.46630220779271586</v>
      </c>
      <c r="I207" s="38">
        <v>6.6949267072242158</v>
      </c>
      <c r="J207" s="3">
        <v>3.0994921373064921</v>
      </c>
      <c r="K207" s="9">
        <v>0.87184115523465699</v>
      </c>
      <c r="L207" s="9"/>
      <c r="M207" s="9"/>
      <c r="N207" s="9"/>
      <c r="O207" s="9"/>
    </row>
    <row r="208" spans="1:18" x14ac:dyDescent="0.25">
      <c r="A208" s="9" t="s">
        <v>22</v>
      </c>
      <c r="B208" s="9" t="s">
        <v>27</v>
      </c>
      <c r="C208" s="9" t="s">
        <v>19</v>
      </c>
      <c r="D208" s="9" t="s">
        <v>11</v>
      </c>
      <c r="E208" s="9">
        <v>2014</v>
      </c>
      <c r="F208" s="44">
        <f t="shared" si="1"/>
        <v>9.1201437190013444</v>
      </c>
      <c r="G208" s="38">
        <v>9.1149308554466977</v>
      </c>
      <c r="H208" s="38">
        <v>4.1808142698677164</v>
      </c>
      <c r="I208" s="38">
        <v>16.026732341951437</v>
      </c>
      <c r="J208" s="3">
        <v>10.46078596340941</v>
      </c>
      <c r="K208" s="9">
        <v>0.87184115523465699</v>
      </c>
      <c r="L208" s="9"/>
      <c r="M208" s="9"/>
      <c r="N208" s="9"/>
      <c r="O208" s="9"/>
    </row>
    <row r="209" spans="1:15" x14ac:dyDescent="0.25">
      <c r="A209" s="9" t="s">
        <v>22</v>
      </c>
      <c r="B209" s="9" t="s">
        <v>27</v>
      </c>
      <c r="C209" s="9" t="s">
        <v>20</v>
      </c>
      <c r="D209" s="9" t="s">
        <v>11</v>
      </c>
      <c r="E209" s="9">
        <v>2014</v>
      </c>
      <c r="F209" s="44">
        <f t="shared" si="1"/>
        <v>0.65304732802725696</v>
      </c>
      <c r="G209" s="38">
        <v>0.65359731130386656</v>
      </c>
      <c r="H209" s="38">
        <v>2.8755450120424493E-3</v>
      </c>
      <c r="I209" s="38">
        <v>2.9147056120754322</v>
      </c>
      <c r="J209" s="3">
        <v>0.74904393318240237</v>
      </c>
      <c r="K209" s="9">
        <v>0.87184115523465699</v>
      </c>
      <c r="L209" s="9"/>
      <c r="M209" s="9"/>
      <c r="N209" s="9"/>
      <c r="O209" s="9"/>
    </row>
    <row r="210" spans="1:15" x14ac:dyDescent="0.25">
      <c r="A210" s="9" t="s">
        <v>22</v>
      </c>
      <c r="B210" s="9" t="s">
        <v>28</v>
      </c>
      <c r="C210" s="9" t="s">
        <v>11</v>
      </c>
      <c r="D210" s="9" t="s">
        <v>11</v>
      </c>
      <c r="E210" s="9">
        <v>2014</v>
      </c>
      <c r="F210" s="44">
        <f t="shared" si="1"/>
        <v>91.864720369577171</v>
      </c>
      <c r="G210" s="38"/>
      <c r="H210" s="38"/>
      <c r="I210" s="38"/>
      <c r="J210" s="3">
        <f>SUM(J211:J216)</f>
        <v>105.36864406779659</v>
      </c>
      <c r="K210" s="9">
        <v>0.87184115523465699</v>
      </c>
      <c r="L210" s="9"/>
      <c r="M210" s="9"/>
      <c r="N210" s="9"/>
      <c r="O210" s="9"/>
    </row>
    <row r="211" spans="1:15" x14ac:dyDescent="0.25">
      <c r="A211" s="9" t="s">
        <v>22</v>
      </c>
      <c r="B211" s="9" t="s">
        <v>28</v>
      </c>
      <c r="C211" s="9" t="s">
        <v>31</v>
      </c>
      <c r="D211" s="9" t="s">
        <v>12</v>
      </c>
      <c r="E211" s="9">
        <v>2014</v>
      </c>
      <c r="F211" s="44">
        <f t="shared" si="1"/>
        <v>9.335096601267372</v>
      </c>
      <c r="G211" s="38">
        <v>9.3054253552091044</v>
      </c>
      <c r="H211" s="38">
        <v>4.4044526757431628</v>
      </c>
      <c r="I211" s="38">
        <v>16.165791350549974</v>
      </c>
      <c r="J211" s="3">
        <v>10.70733647433152</v>
      </c>
      <c r="K211" s="9">
        <v>0.87184115523465699</v>
      </c>
      <c r="L211" s="9"/>
      <c r="M211" s="9"/>
      <c r="N211" s="9"/>
      <c r="O211" s="9"/>
    </row>
    <row r="212" spans="1:15" x14ac:dyDescent="0.25">
      <c r="A212" s="9" t="s">
        <v>22</v>
      </c>
      <c r="B212" s="9" t="s">
        <v>28</v>
      </c>
      <c r="C212" s="9" t="s">
        <v>19</v>
      </c>
      <c r="D212" s="9" t="s">
        <v>12</v>
      </c>
      <c r="E212" s="9">
        <v>2014</v>
      </c>
      <c r="F212" s="44">
        <f t="shared" si="1"/>
        <v>31.505951029277369</v>
      </c>
      <c r="G212" s="38">
        <v>31.470244753938708</v>
      </c>
      <c r="H212" s="38">
        <v>21.389618451184539</v>
      </c>
      <c r="I212" s="38">
        <v>43.333300034979736</v>
      </c>
      <c r="J212" s="3">
        <v>36.137260600868871</v>
      </c>
      <c r="K212" s="9">
        <v>0.87184115523465699</v>
      </c>
      <c r="L212" s="9"/>
      <c r="M212" s="9"/>
      <c r="N212" s="9"/>
      <c r="O212" s="9"/>
    </row>
    <row r="213" spans="1:15" x14ac:dyDescent="0.25">
      <c r="A213" s="9" t="s">
        <v>22</v>
      </c>
      <c r="B213" s="9" t="s">
        <v>28</v>
      </c>
      <c r="C213" s="9" t="s">
        <v>20</v>
      </c>
      <c r="D213" s="9" t="s">
        <v>12</v>
      </c>
      <c r="E213" s="9">
        <v>2014</v>
      </c>
      <c r="F213" s="44">
        <f t="shared" si="1"/>
        <v>2.2559816786396145</v>
      </c>
      <c r="G213" s="38">
        <v>2.2467124863697068</v>
      </c>
      <c r="H213" s="38">
        <v>0.32562163539454553</v>
      </c>
      <c r="I213" s="38">
        <v>6.0151035941941888</v>
      </c>
      <c r="J213" s="3">
        <v>2.5876063146301171</v>
      </c>
      <c r="K213" s="9">
        <v>0.87184115523465699</v>
      </c>
      <c r="L213" s="9"/>
      <c r="M213" s="9"/>
      <c r="N213" s="9"/>
      <c r="O213" s="9"/>
    </row>
    <row r="214" spans="1:15" x14ac:dyDescent="0.25">
      <c r="A214" s="9" t="s">
        <v>22</v>
      </c>
      <c r="B214" s="9" t="s">
        <v>28</v>
      </c>
      <c r="C214" s="9" t="s">
        <v>31</v>
      </c>
      <c r="D214" s="9" t="s">
        <v>15</v>
      </c>
      <c r="E214" s="9">
        <v>2014</v>
      </c>
      <c r="F214" s="44">
        <f t="shared" si="1"/>
        <v>10.563398785644655</v>
      </c>
      <c r="G214" s="38">
        <v>10.60531854904135</v>
      </c>
      <c r="H214" s="38">
        <v>5.1849321948051834</v>
      </c>
      <c r="I214" s="38">
        <v>17.870743100307166</v>
      </c>
      <c r="J214" s="3">
        <v>12.116196536743558</v>
      </c>
      <c r="K214" s="9">
        <v>0.87184115523465699</v>
      </c>
      <c r="L214" s="9"/>
      <c r="M214" s="9"/>
      <c r="N214" s="9"/>
      <c r="O214" s="9"/>
    </row>
    <row r="215" spans="1:15" x14ac:dyDescent="0.25">
      <c r="A215" s="9" t="s">
        <v>22</v>
      </c>
      <c r="B215" s="9" t="s">
        <v>28</v>
      </c>
      <c r="C215" s="9" t="s">
        <v>19</v>
      </c>
      <c r="D215" s="9" t="s">
        <v>15</v>
      </c>
      <c r="E215" s="9">
        <v>2014</v>
      </c>
      <c r="F215" s="44">
        <f t="shared" si="1"/>
        <v>35.651470901550702</v>
      </c>
      <c r="G215" s="38">
        <v>35.687882377606506</v>
      </c>
      <c r="H215" s="38">
        <v>25.032064850592885</v>
      </c>
      <c r="I215" s="38">
        <v>48.535033769901176</v>
      </c>
      <c r="J215" s="3">
        <v>40.892163311509506</v>
      </c>
      <c r="K215" s="9">
        <v>0.87184115523465699</v>
      </c>
      <c r="L215" s="9"/>
      <c r="M215" s="9"/>
      <c r="N215" s="9"/>
      <c r="O215" s="9"/>
    </row>
    <row r="216" spans="1:15" ht="15.75" thickBot="1" x14ac:dyDescent="0.3">
      <c r="A216" s="6" t="s">
        <v>22</v>
      </c>
      <c r="B216" s="6" t="s">
        <v>28</v>
      </c>
      <c r="C216" s="6" t="s">
        <v>20</v>
      </c>
      <c r="D216" s="6" t="s">
        <v>15</v>
      </c>
      <c r="E216" s="6">
        <v>2014</v>
      </c>
      <c r="F216" s="45">
        <f t="shared" si="1"/>
        <v>2.5528213731974581</v>
      </c>
      <c r="G216" s="65">
        <v>2.5625930924663463</v>
      </c>
      <c r="H216" s="65">
        <v>0.44751348272683578</v>
      </c>
      <c r="I216" s="65">
        <v>6.4881100956859443</v>
      </c>
      <c r="J216" s="12">
        <v>2.9280808297130267</v>
      </c>
      <c r="K216" s="6">
        <v>0.87184115523465699</v>
      </c>
      <c r="L216" s="6"/>
      <c r="M216" s="6"/>
      <c r="N216" s="6"/>
      <c r="O216" s="9"/>
    </row>
    <row r="217" spans="1:15" x14ac:dyDescent="0.25">
      <c r="A217" s="9" t="s">
        <v>10</v>
      </c>
      <c r="B217" s="9" t="s">
        <v>11</v>
      </c>
      <c r="C217" s="9" t="s">
        <v>11</v>
      </c>
      <c r="D217" s="9" t="s">
        <v>11</v>
      </c>
      <c r="E217" s="9">
        <v>2015</v>
      </c>
      <c r="F217" s="44">
        <f>SUM(F219:F221,F223:F228,F230:F232,F234:F236,F238:F240)</f>
        <v>16552.666666666668</v>
      </c>
      <c r="G217" s="38">
        <v>16552.601200000001</v>
      </c>
      <c r="H217" s="38">
        <v>16303</v>
      </c>
      <c r="I217" s="38">
        <v>16803.025000000001</v>
      </c>
      <c r="J217" s="11"/>
      <c r="K217" s="9"/>
      <c r="L217" s="9"/>
      <c r="M217" s="9"/>
      <c r="N217" s="9"/>
      <c r="O217" s="9"/>
    </row>
    <row r="218" spans="1:15" x14ac:dyDescent="0.25">
      <c r="A218" s="9" t="s">
        <v>10</v>
      </c>
      <c r="B218" s="9" t="s">
        <v>24</v>
      </c>
      <c r="C218" s="9" t="s">
        <v>11</v>
      </c>
      <c r="D218" s="9" t="s">
        <v>11</v>
      </c>
      <c r="E218" s="9">
        <v>2015</v>
      </c>
      <c r="F218" s="44">
        <f>SUM(F219:F221)</f>
        <v>4650.2763829352925</v>
      </c>
      <c r="G218" s="38"/>
      <c r="H218" s="38"/>
      <c r="I218" s="38"/>
      <c r="J218" s="11"/>
      <c r="K218" s="9"/>
      <c r="L218" s="9"/>
      <c r="M218" s="9"/>
      <c r="N218" s="9"/>
      <c r="O218" s="9"/>
    </row>
    <row r="219" spans="1:15" x14ac:dyDescent="0.25">
      <c r="A219" s="9" t="s">
        <v>10</v>
      </c>
      <c r="B219" s="9" t="s">
        <v>24</v>
      </c>
      <c r="C219" s="9" t="s">
        <v>31</v>
      </c>
      <c r="D219" s="9" t="s">
        <v>11</v>
      </c>
      <c r="E219" s="9">
        <v>2015</v>
      </c>
      <c r="F219" s="44">
        <f t="shared" si="1"/>
        <v>1012.436240632199</v>
      </c>
      <c r="G219" s="38">
        <v>1012.2049442918044</v>
      </c>
      <c r="H219" s="38">
        <v>950.23678702633038</v>
      </c>
      <c r="I219" s="38">
        <v>1075.6593282978431</v>
      </c>
      <c r="J219" s="3">
        <v>1088.2638439331643</v>
      </c>
      <c r="K219" s="9">
        <v>0.93032240873967487</v>
      </c>
      <c r="L219" s="9"/>
      <c r="M219" s="9"/>
      <c r="O219" s="9"/>
    </row>
    <row r="220" spans="1:15" x14ac:dyDescent="0.25">
      <c r="A220" s="9" t="s">
        <v>10</v>
      </c>
      <c r="B220" s="9" t="s">
        <v>24</v>
      </c>
      <c r="C220" s="9" t="s">
        <v>19</v>
      </c>
      <c r="D220" s="9" t="s">
        <v>11</v>
      </c>
      <c r="E220" s="9">
        <v>2015</v>
      </c>
      <c r="F220" s="44">
        <f t="shared" si="1"/>
        <v>3432.9751261190331</v>
      </c>
      <c r="G220" s="38">
        <v>3432.8061790915808</v>
      </c>
      <c r="H220" s="38">
        <v>3319.393030980149</v>
      </c>
      <c r="I220" s="38">
        <v>3545.6670370461052</v>
      </c>
      <c r="J220" s="3">
        <v>3672.7817338815503</v>
      </c>
      <c r="K220" s="9">
        <v>0.93470708984683404</v>
      </c>
      <c r="L220" s="9"/>
      <c r="M220" s="9"/>
      <c r="O220" s="9"/>
    </row>
    <row r="221" spans="1:15" x14ac:dyDescent="0.25">
      <c r="A221" s="9" t="s">
        <v>10</v>
      </c>
      <c r="B221" s="9" t="s">
        <v>24</v>
      </c>
      <c r="C221" s="9" t="s">
        <v>20</v>
      </c>
      <c r="D221" s="9" t="s">
        <v>11</v>
      </c>
      <c r="E221" s="9">
        <v>2015</v>
      </c>
      <c r="F221" s="44">
        <f t="shared" si="1"/>
        <v>204.86501618406089</v>
      </c>
      <c r="G221" s="38">
        <v>205.03047076404499</v>
      </c>
      <c r="H221" s="38">
        <v>177.93692904349024</v>
      </c>
      <c r="I221" s="38">
        <v>234.17329348957222</v>
      </c>
      <c r="J221" s="24">
        <v>210.95442218528564</v>
      </c>
      <c r="K221" s="9">
        <v>0.97113402061855669</v>
      </c>
      <c r="L221" s="9"/>
      <c r="M221" s="9"/>
      <c r="O221" s="9"/>
    </row>
    <row r="222" spans="1:15" x14ac:dyDescent="0.25">
      <c r="A222" s="9" t="s">
        <v>10</v>
      </c>
      <c r="B222" s="9" t="s">
        <v>26</v>
      </c>
      <c r="C222" s="9" t="s">
        <v>11</v>
      </c>
      <c r="D222" s="9" t="s">
        <v>11</v>
      </c>
      <c r="E222" s="9">
        <v>2015</v>
      </c>
      <c r="F222" s="44">
        <f>SUM(F223:F228)</f>
        <v>4174.6108550513209</v>
      </c>
      <c r="G222" s="38"/>
      <c r="H222" s="38"/>
      <c r="I222" s="38"/>
      <c r="J222" s="3"/>
      <c r="K222" s="9"/>
      <c r="L222" s="9"/>
      <c r="M222" s="9"/>
      <c r="O222" s="9"/>
    </row>
    <row r="223" spans="1:15" x14ac:dyDescent="0.25">
      <c r="A223" s="9" t="s">
        <v>10</v>
      </c>
      <c r="B223" s="9" t="s">
        <v>26</v>
      </c>
      <c r="C223" s="9" t="s">
        <v>31</v>
      </c>
      <c r="D223" s="9" t="s">
        <v>12</v>
      </c>
      <c r="E223" s="9">
        <v>2015</v>
      </c>
      <c r="F223" s="44">
        <f t="shared" si="1"/>
        <v>530.24617268830377</v>
      </c>
      <c r="G223" s="38">
        <v>529.9729376576804</v>
      </c>
      <c r="H223" s="38">
        <v>485.63030087242021</v>
      </c>
      <c r="I223" s="38">
        <v>575.8398417376834</v>
      </c>
      <c r="J223" s="24">
        <v>569.95958358848748</v>
      </c>
      <c r="K223" s="9">
        <v>0.93032240873967487</v>
      </c>
      <c r="L223" s="9"/>
      <c r="M223" s="9"/>
      <c r="O223" s="9"/>
    </row>
    <row r="224" spans="1:15" x14ac:dyDescent="0.25">
      <c r="A224" s="9" t="s">
        <v>10</v>
      </c>
      <c r="B224" s="9" t="s">
        <v>26</v>
      </c>
      <c r="C224" s="9" t="s">
        <v>19</v>
      </c>
      <c r="D224" s="9" t="s">
        <v>12</v>
      </c>
      <c r="E224" s="9">
        <v>2015</v>
      </c>
      <c r="F224" s="44">
        <f t="shared" si="1"/>
        <v>1797.9620330679732</v>
      </c>
      <c r="G224" s="38">
        <v>1798.2987949807002</v>
      </c>
      <c r="H224" s="38">
        <v>1715.9596486375972</v>
      </c>
      <c r="I224" s="38">
        <v>1882.1601733878304</v>
      </c>
      <c r="J224" s="3">
        <v>1923.5566442131048</v>
      </c>
      <c r="K224" s="9">
        <v>0.93470708984683404</v>
      </c>
      <c r="L224" s="9"/>
      <c r="M224" s="9"/>
      <c r="O224" s="9"/>
    </row>
    <row r="225" spans="1:15" x14ac:dyDescent="0.25">
      <c r="A225" s="9" t="s">
        <v>10</v>
      </c>
      <c r="B225" s="9" t="s">
        <v>26</v>
      </c>
      <c r="C225" s="9" t="s">
        <v>20</v>
      </c>
      <c r="D225" s="9" t="s">
        <v>12</v>
      </c>
      <c r="E225" s="9">
        <v>2015</v>
      </c>
      <c r="F225" s="44">
        <f t="shared" si="1"/>
        <v>107.29454990814452</v>
      </c>
      <c r="G225" s="38">
        <v>107.13592025587462</v>
      </c>
      <c r="H225" s="38">
        <v>88.079451514184484</v>
      </c>
      <c r="I225" s="38">
        <v>128.21454030821238</v>
      </c>
      <c r="J225" s="3">
        <v>110.48377219840783</v>
      </c>
      <c r="K225" s="9">
        <v>0.97113402061855669</v>
      </c>
      <c r="L225" s="9"/>
      <c r="M225" s="9"/>
      <c r="O225" s="9"/>
    </row>
    <row r="226" spans="1:15" x14ac:dyDescent="0.25">
      <c r="A226" s="9" t="s">
        <v>10</v>
      </c>
      <c r="B226" s="9" t="s">
        <v>26</v>
      </c>
      <c r="C226" s="9" t="s">
        <v>31</v>
      </c>
      <c r="D226" s="9" t="s">
        <v>15</v>
      </c>
      <c r="E226" s="9">
        <v>2015</v>
      </c>
      <c r="F226" s="44">
        <f t="shared" si="1"/>
        <v>210.16860277508874</v>
      </c>
      <c r="G226" s="38">
        <v>210.17491392487707</v>
      </c>
      <c r="H226" s="38">
        <v>182.51745137878095</v>
      </c>
      <c r="I226" s="38">
        <v>240.15029515081045</v>
      </c>
      <c r="J226" s="24">
        <v>222.23475314617619</v>
      </c>
      <c r="K226" s="9">
        <v>0.94570538495772138</v>
      </c>
      <c r="L226" s="9"/>
      <c r="M226" s="9"/>
      <c r="O226" s="9"/>
    </row>
    <row r="227" spans="1:15" x14ac:dyDescent="0.25">
      <c r="A227" s="9" t="s">
        <v>10</v>
      </c>
      <c r="B227" s="9" t="s">
        <v>26</v>
      </c>
      <c r="C227" s="9" t="s">
        <v>19</v>
      </c>
      <c r="D227" s="9" t="s">
        <v>15</v>
      </c>
      <c r="E227" s="9">
        <v>2015</v>
      </c>
      <c r="F227" s="44">
        <f t="shared" si="1"/>
        <v>1485.6200387221684</v>
      </c>
      <c r="G227" s="38">
        <v>1485.8358045217694</v>
      </c>
      <c r="H227" s="38">
        <v>1411.4962988159475</v>
      </c>
      <c r="I227" s="38">
        <v>1561.4041910852613</v>
      </c>
      <c r="J227" s="3">
        <v>1571.665537270087</v>
      </c>
      <c r="K227" s="9">
        <v>0.94525202945063247</v>
      </c>
      <c r="L227" s="9"/>
      <c r="M227" s="9"/>
      <c r="O227" s="9"/>
    </row>
    <row r="228" spans="1:15" x14ac:dyDescent="0.25">
      <c r="A228" s="9" t="s">
        <v>10</v>
      </c>
      <c r="B228" s="9" t="s">
        <v>26</v>
      </c>
      <c r="C228" s="9" t="s">
        <v>20</v>
      </c>
      <c r="D228" s="9" t="s">
        <v>15</v>
      </c>
      <c r="E228" s="9">
        <v>2015</v>
      </c>
      <c r="F228" s="44">
        <f t="shared" si="1"/>
        <v>43.319457889641818</v>
      </c>
      <c r="G228" s="38">
        <v>43.286037963201757</v>
      </c>
      <c r="H228" s="38">
        <v>31.381695428516156</v>
      </c>
      <c r="I228" s="38">
        <v>57.145148503316435</v>
      </c>
      <c r="J228" s="3">
        <v>45.09970958373669</v>
      </c>
      <c r="K228" s="9">
        <v>0.96052631578947367</v>
      </c>
      <c r="L228" s="9"/>
      <c r="M228" s="9"/>
      <c r="O228" s="9"/>
    </row>
    <row r="229" spans="1:15" x14ac:dyDescent="0.25">
      <c r="A229" s="9" t="s">
        <v>10</v>
      </c>
      <c r="B229" s="9" t="s">
        <v>27</v>
      </c>
      <c r="C229" s="9" t="s">
        <v>11</v>
      </c>
      <c r="D229" s="9" t="s">
        <v>11</v>
      </c>
      <c r="E229" s="9">
        <v>2015</v>
      </c>
      <c r="F229" s="44">
        <f>SUM(F230:F232)</f>
        <v>590.1698305776689</v>
      </c>
      <c r="G229" s="38"/>
      <c r="H229" s="38"/>
      <c r="I229" s="38"/>
      <c r="J229" s="3"/>
      <c r="K229" s="9"/>
      <c r="L229" s="9"/>
      <c r="M229" s="9"/>
      <c r="O229" s="9"/>
    </row>
    <row r="230" spans="1:15" x14ac:dyDescent="0.25">
      <c r="A230" s="9" t="s">
        <v>10</v>
      </c>
      <c r="B230" s="9" t="s">
        <v>27</v>
      </c>
      <c r="C230" s="9" t="s">
        <v>31</v>
      </c>
      <c r="D230" s="9" t="s">
        <v>11</v>
      </c>
      <c r="E230" s="9">
        <v>2015</v>
      </c>
      <c r="F230" s="44">
        <f t="shared" si="1"/>
        <v>128.48899192254979</v>
      </c>
      <c r="G230" s="38">
        <v>128.55225639857215</v>
      </c>
      <c r="H230" s="38">
        <v>107.38088542011405</v>
      </c>
      <c r="I230" s="38">
        <v>151.71320994206556</v>
      </c>
      <c r="J230" s="24">
        <v>138.11232613069723</v>
      </c>
      <c r="K230" s="9">
        <v>0.93032240873967487</v>
      </c>
      <c r="L230" s="9"/>
      <c r="M230" s="9"/>
      <c r="O230" s="9"/>
    </row>
    <row r="231" spans="1:15" x14ac:dyDescent="0.25">
      <c r="A231" s="9" t="s">
        <v>10</v>
      </c>
      <c r="B231" s="9" t="s">
        <v>27</v>
      </c>
      <c r="C231" s="9" t="s">
        <v>19</v>
      </c>
      <c r="D231" s="9" t="s">
        <v>11</v>
      </c>
      <c r="E231" s="9">
        <v>2015</v>
      </c>
      <c r="F231" s="44">
        <f t="shared" si="1"/>
        <v>435.68127606217013</v>
      </c>
      <c r="G231" s="38">
        <v>436.15205194388727</v>
      </c>
      <c r="H231" s="38">
        <v>396.96547735719776</v>
      </c>
      <c r="I231" s="38">
        <v>477.536651906141</v>
      </c>
      <c r="J231" s="24">
        <v>466.11530049864405</v>
      </c>
      <c r="K231" s="9">
        <v>0.93470708984683404</v>
      </c>
      <c r="L231" s="9"/>
      <c r="M231" s="9"/>
      <c r="O231" s="9"/>
    </row>
    <row r="232" spans="1:15" x14ac:dyDescent="0.25">
      <c r="A232" s="9" t="s">
        <v>10</v>
      </c>
      <c r="B232" s="9" t="s">
        <v>27</v>
      </c>
      <c r="C232" s="9" t="s">
        <v>20</v>
      </c>
      <c r="D232" s="9" t="s">
        <v>11</v>
      </c>
      <c r="E232" s="9">
        <v>2015</v>
      </c>
      <c r="F232" s="44">
        <f t="shared" si="1"/>
        <v>25.999562592948998</v>
      </c>
      <c r="G232" s="38">
        <v>25.989315472945702</v>
      </c>
      <c r="H232" s="38">
        <v>17.024516598396414</v>
      </c>
      <c r="I232" s="38">
        <v>36.74830159705067</v>
      </c>
      <c r="J232" s="3">
        <v>26.772373370658734</v>
      </c>
      <c r="K232" s="9">
        <v>0.97113402061855669</v>
      </c>
      <c r="L232" s="9"/>
      <c r="M232" s="9"/>
      <c r="O232" s="9"/>
    </row>
    <row r="233" spans="1:15" x14ac:dyDescent="0.25">
      <c r="A233" s="9" t="s">
        <v>10</v>
      </c>
      <c r="B233" s="9" t="s">
        <v>28</v>
      </c>
      <c r="C233" s="9" t="s">
        <v>11</v>
      </c>
      <c r="D233" s="9" t="s">
        <v>12</v>
      </c>
      <c r="E233" s="9">
        <v>2015</v>
      </c>
      <c r="F233" s="44">
        <f>SUM(F234:F236)</f>
        <v>3015.3843641559502</v>
      </c>
      <c r="G233" s="38"/>
      <c r="H233" s="38"/>
      <c r="I233" s="38"/>
      <c r="J233" s="24"/>
      <c r="K233" s="9"/>
      <c r="L233" s="9"/>
      <c r="M233" s="9"/>
      <c r="O233" s="9"/>
    </row>
    <row r="234" spans="1:15" x14ac:dyDescent="0.25">
      <c r="A234" s="9" t="s">
        <v>10</v>
      </c>
      <c r="B234" s="9" t="s">
        <v>28</v>
      </c>
      <c r="C234" s="9" t="s">
        <v>31</v>
      </c>
      <c r="D234" s="9" t="s">
        <v>12</v>
      </c>
      <c r="E234" s="9">
        <v>2015</v>
      </c>
      <c r="F234" s="44">
        <f t="shared" si="1"/>
        <v>656.49526142361412</v>
      </c>
      <c r="G234" s="38">
        <v>656.55729682803542</v>
      </c>
      <c r="H234" s="38">
        <v>607.02618540737228</v>
      </c>
      <c r="I234" s="38">
        <v>707.54146316151059</v>
      </c>
      <c r="J234" s="24">
        <v>705.6642463476511</v>
      </c>
      <c r="K234" s="9">
        <v>0.93032240873967487</v>
      </c>
      <c r="L234" s="9"/>
      <c r="M234" s="9"/>
      <c r="O234" s="9"/>
    </row>
    <row r="235" spans="1:15" x14ac:dyDescent="0.25">
      <c r="A235" s="9" t="s">
        <v>10</v>
      </c>
      <c r="B235" s="9" t="s">
        <v>28</v>
      </c>
      <c r="C235" s="9" t="s">
        <v>19</v>
      </c>
      <c r="D235" s="9" t="s">
        <v>12</v>
      </c>
      <c r="E235" s="9">
        <v>2015</v>
      </c>
      <c r="F235" s="44">
        <f t="shared" si="1"/>
        <v>2226.0482314174906</v>
      </c>
      <c r="G235" s="38">
        <v>2225.3653237254925</v>
      </c>
      <c r="H235" s="38">
        <v>2134.2606332342275</v>
      </c>
      <c r="I235" s="38">
        <v>2317.6649628047376</v>
      </c>
      <c r="J235" s="24">
        <v>2381.5463214067013</v>
      </c>
      <c r="K235" s="9">
        <v>0.93470708984683404</v>
      </c>
      <c r="L235" s="9"/>
      <c r="M235" s="9"/>
      <c r="O235" s="9"/>
    </row>
    <row r="236" spans="1:15" x14ac:dyDescent="0.25">
      <c r="A236" s="9" t="s">
        <v>10</v>
      </c>
      <c r="B236" s="9" t="s">
        <v>28</v>
      </c>
      <c r="C236" s="9" t="s">
        <v>20</v>
      </c>
      <c r="D236" s="9" t="s">
        <v>12</v>
      </c>
      <c r="E236" s="9">
        <v>2015</v>
      </c>
      <c r="F236" s="44">
        <f t="shared" si="1"/>
        <v>132.84087131484557</v>
      </c>
      <c r="G236" s="38">
        <v>132.78406090767896</v>
      </c>
      <c r="H236" s="38">
        <v>111.36026609340674</v>
      </c>
      <c r="I236" s="38">
        <v>155.28368321917301</v>
      </c>
      <c r="J236" s="24">
        <v>136.78943224564779</v>
      </c>
      <c r="K236" s="9">
        <v>0.97113402061855669</v>
      </c>
      <c r="L236" s="9"/>
      <c r="M236" s="9"/>
      <c r="O236" s="9"/>
    </row>
    <row r="237" spans="1:15" x14ac:dyDescent="0.25">
      <c r="A237" s="9" t="s">
        <v>10</v>
      </c>
      <c r="B237" s="9" t="s">
        <v>28</v>
      </c>
      <c r="C237" s="9" t="s">
        <v>11</v>
      </c>
      <c r="D237" s="9" t="s">
        <v>15</v>
      </c>
      <c r="E237" s="9">
        <v>2015</v>
      </c>
      <c r="F237" s="44">
        <f>SUM(F238:F240)</f>
        <v>4122.2252339464349</v>
      </c>
      <c r="G237" s="38"/>
      <c r="H237" s="38"/>
      <c r="I237" s="38"/>
      <c r="J237" s="24"/>
      <c r="K237" s="9"/>
      <c r="L237" s="9"/>
      <c r="M237" s="9"/>
      <c r="O237" s="9"/>
    </row>
    <row r="238" spans="1:15" x14ac:dyDescent="0.25">
      <c r="A238" s="9" t="s">
        <v>10</v>
      </c>
      <c r="B238" s="9" t="s">
        <v>28</v>
      </c>
      <c r="C238" s="9" t="s">
        <v>31</v>
      </c>
      <c r="D238" s="9" t="s">
        <v>15</v>
      </c>
      <c r="E238" s="9">
        <v>2015</v>
      </c>
      <c r="F238" s="44">
        <f t="shared" si="1"/>
        <v>498.16473055824457</v>
      </c>
      <c r="G238" s="38">
        <v>497.90630969426837</v>
      </c>
      <c r="H238" s="38">
        <v>454.45586547854316</v>
      </c>
      <c r="I238" s="38">
        <v>542.54303727859724</v>
      </c>
      <c r="J238" s="24">
        <v>526.76524685382378</v>
      </c>
      <c r="K238" s="9">
        <v>0.94570538495772138</v>
      </c>
      <c r="L238" s="9"/>
      <c r="M238" s="9"/>
      <c r="O238" s="9"/>
    </row>
    <row r="239" spans="1:15" x14ac:dyDescent="0.25">
      <c r="A239" s="9" t="s">
        <v>10</v>
      </c>
      <c r="B239" s="9" t="s">
        <v>28</v>
      </c>
      <c r="C239" s="9" t="s">
        <v>19</v>
      </c>
      <c r="D239" s="9" t="s">
        <v>15</v>
      </c>
      <c r="E239" s="9">
        <v>2015</v>
      </c>
      <c r="F239" s="44">
        <f t="shared" si="1"/>
        <v>3521.3799612778316</v>
      </c>
      <c r="G239" s="38">
        <v>3521.7786206424944</v>
      </c>
      <c r="H239" s="38">
        <v>3408.2681214000909</v>
      </c>
      <c r="I239" s="38">
        <v>3636.1384669069575</v>
      </c>
      <c r="J239" s="24">
        <v>3725.334462729913</v>
      </c>
      <c r="K239" s="9">
        <v>0.94525202945063247</v>
      </c>
      <c r="L239" s="9"/>
      <c r="M239" s="9"/>
      <c r="O239" s="9"/>
    </row>
    <row r="240" spans="1:15" x14ac:dyDescent="0.25">
      <c r="A240" s="9" t="s">
        <v>10</v>
      </c>
      <c r="B240" s="9" t="s">
        <v>28</v>
      </c>
      <c r="C240" s="9" t="s">
        <v>20</v>
      </c>
      <c r="D240" s="9" t="s">
        <v>15</v>
      </c>
      <c r="E240" s="9">
        <v>2015</v>
      </c>
      <c r="F240" s="44">
        <f t="shared" si="1"/>
        <v>102.68054211035819</v>
      </c>
      <c r="G240" s="38">
        <v>102.76996093509158</v>
      </c>
      <c r="H240" s="38">
        <v>83.800774751758553</v>
      </c>
      <c r="I240" s="38">
        <v>123.20492951539008</v>
      </c>
      <c r="J240" s="24">
        <v>106.90029041626332</v>
      </c>
      <c r="K240" s="9">
        <v>0.96052631578947367</v>
      </c>
      <c r="L240" s="9"/>
      <c r="M240" s="9"/>
      <c r="O240" s="9"/>
    </row>
    <row r="241" spans="1:15" x14ac:dyDescent="0.25">
      <c r="A241" s="9" t="s">
        <v>21</v>
      </c>
      <c r="B241" s="9" t="s">
        <v>11</v>
      </c>
      <c r="C241" s="9" t="s">
        <v>11</v>
      </c>
      <c r="D241" s="9" t="s">
        <v>11</v>
      </c>
      <c r="E241" s="9">
        <v>2015</v>
      </c>
      <c r="F241" s="44">
        <f>SUM(F244:F261)</f>
        <v>529.20289855072474</v>
      </c>
      <c r="G241" s="38">
        <v>529.2826</v>
      </c>
      <c r="H241" s="38">
        <v>484</v>
      </c>
      <c r="I241" s="38">
        <v>576</v>
      </c>
      <c r="J241" s="24"/>
      <c r="K241" s="9"/>
      <c r="L241" s="9"/>
      <c r="M241" s="9"/>
      <c r="O241" s="9"/>
    </row>
    <row r="242" spans="1:15" x14ac:dyDescent="0.25">
      <c r="A242" s="9" t="s">
        <v>21</v>
      </c>
      <c r="B242" s="9" t="s">
        <v>11</v>
      </c>
      <c r="C242" s="9" t="s">
        <v>19</v>
      </c>
      <c r="D242" s="9" t="s">
        <v>11</v>
      </c>
      <c r="E242" s="9">
        <v>2015</v>
      </c>
      <c r="F242" s="44">
        <f>SUM(F245,F248,F251,F254,F257,F260)</f>
        <v>387.43478260869563</v>
      </c>
      <c r="G242" s="38"/>
      <c r="H242" s="38"/>
      <c r="I242" s="38"/>
      <c r="J242" s="24"/>
      <c r="K242" s="9"/>
      <c r="L242" s="9"/>
      <c r="M242" s="9"/>
      <c r="O242" s="9"/>
    </row>
    <row r="243" spans="1:15" x14ac:dyDescent="0.25">
      <c r="A243" s="9" t="s">
        <v>21</v>
      </c>
      <c r="B243" s="9" t="s">
        <v>24</v>
      </c>
      <c r="C243" s="9" t="s">
        <v>11</v>
      </c>
      <c r="D243" s="9" t="s">
        <v>11</v>
      </c>
      <c r="E243" s="9">
        <v>2015</v>
      </c>
      <c r="F243" s="44">
        <f>SUM(F244:F246)</f>
        <v>272.85507246376812</v>
      </c>
      <c r="G243" s="38"/>
      <c r="H243" s="38"/>
      <c r="I243" s="38"/>
      <c r="J243" s="24"/>
      <c r="K243" s="9"/>
      <c r="L243" s="9"/>
      <c r="M243" s="9"/>
      <c r="O243" s="9"/>
    </row>
    <row r="244" spans="1:15" x14ac:dyDescent="0.25">
      <c r="A244" s="9" t="s">
        <v>21</v>
      </c>
      <c r="B244" s="9" t="s">
        <v>24</v>
      </c>
      <c r="C244" s="9" t="s">
        <v>31</v>
      </c>
      <c r="D244" s="9" t="s">
        <v>11</v>
      </c>
      <c r="E244" s="9">
        <v>2015</v>
      </c>
      <c r="F244" s="44">
        <f t="shared" si="1"/>
        <v>56.072969020077117</v>
      </c>
      <c r="G244" s="38">
        <v>56.041284410226417</v>
      </c>
      <c r="H244" s="38">
        <v>42.463936032473669</v>
      </c>
      <c r="I244" s="38">
        <v>71.690863328209346</v>
      </c>
      <c r="J244" s="24">
        <v>57.746788990825692</v>
      </c>
      <c r="K244" s="9">
        <v>0.97101449275362317</v>
      </c>
      <c r="L244" s="9"/>
      <c r="M244" s="9"/>
      <c r="O244" s="9"/>
    </row>
    <row r="245" spans="1:15" x14ac:dyDescent="0.25">
      <c r="A245" s="9" t="s">
        <v>21</v>
      </c>
      <c r="B245" s="9" t="s">
        <v>24</v>
      </c>
      <c r="C245" s="9" t="s">
        <v>19</v>
      </c>
      <c r="D245" s="9" t="s">
        <v>11</v>
      </c>
      <c r="E245" s="9">
        <v>2015</v>
      </c>
      <c r="F245" s="44">
        <f t="shared" si="1"/>
        <v>199.75995213402473</v>
      </c>
      <c r="G245" s="38">
        <v>199.70042122029849</v>
      </c>
      <c r="H245" s="38">
        <v>172.79650334077286</v>
      </c>
      <c r="I245" s="38">
        <v>227.98539380460315</v>
      </c>
      <c r="J245" s="24">
        <v>205.72293577981651</v>
      </c>
      <c r="K245" s="9">
        <v>0.97101449275362317</v>
      </c>
      <c r="L245" s="9"/>
      <c r="M245" s="9"/>
      <c r="O245" s="9"/>
    </row>
    <row r="246" spans="1:15" x14ac:dyDescent="0.25">
      <c r="A246" s="9" t="s">
        <v>21</v>
      </c>
      <c r="B246" s="9" t="s">
        <v>24</v>
      </c>
      <c r="C246" s="9" t="s">
        <v>20</v>
      </c>
      <c r="D246" s="9" t="s">
        <v>11</v>
      </c>
      <c r="E246" s="9">
        <v>2015</v>
      </c>
      <c r="F246" s="44">
        <f t="shared" si="1"/>
        <v>17.022151309666267</v>
      </c>
      <c r="G246" s="38">
        <v>17.0689039432771</v>
      </c>
      <c r="H246" s="38">
        <v>9.8794193919215871</v>
      </c>
      <c r="I246" s="38">
        <v>25.985485053637504</v>
      </c>
      <c r="J246" s="24">
        <v>17.530275229357798</v>
      </c>
      <c r="K246" s="9">
        <v>0.97101449275362317</v>
      </c>
      <c r="L246" s="9"/>
      <c r="M246" s="9"/>
      <c r="O246" s="9"/>
    </row>
    <row r="247" spans="1:15" x14ac:dyDescent="0.25">
      <c r="A247" s="9" t="s">
        <v>21</v>
      </c>
      <c r="B247" s="9" t="s">
        <v>26</v>
      </c>
      <c r="C247" s="9" t="s">
        <v>31</v>
      </c>
      <c r="D247" s="9" t="s">
        <v>12</v>
      </c>
      <c r="E247" s="9">
        <v>2015</v>
      </c>
      <c r="F247" s="44">
        <f t="shared" si="1"/>
        <v>5.5169134267189124</v>
      </c>
      <c r="G247" s="38">
        <v>5.5599168776427481</v>
      </c>
      <c r="H247" s="38">
        <v>1.9234939257452508</v>
      </c>
      <c r="I247" s="38">
        <v>11.173471226388951</v>
      </c>
      <c r="J247" s="24">
        <v>5.6815974096060442</v>
      </c>
      <c r="K247" s="9">
        <v>0.97101449275362317</v>
      </c>
      <c r="L247" s="9"/>
      <c r="M247" s="9"/>
      <c r="O247" s="9"/>
    </row>
    <row r="248" spans="1:15" x14ac:dyDescent="0.25">
      <c r="A248" s="9" t="s">
        <v>21</v>
      </c>
      <c r="B248" s="9" t="s">
        <v>26</v>
      </c>
      <c r="C248" s="9" t="s">
        <v>19</v>
      </c>
      <c r="D248" s="9" t="s">
        <v>12</v>
      </c>
      <c r="E248" s="9">
        <v>2015</v>
      </c>
      <c r="F248" s="44">
        <f t="shared" si="1"/>
        <v>19.654004082686125</v>
      </c>
      <c r="G248" s="38">
        <v>19.607041218756322</v>
      </c>
      <c r="H248" s="38">
        <v>12.088704995223075</v>
      </c>
      <c r="I248" s="38">
        <v>28.995732517297665</v>
      </c>
      <c r="J248" s="24">
        <v>20.240690771721532</v>
      </c>
      <c r="K248" s="9">
        <v>0.97101449275362317</v>
      </c>
      <c r="L248" s="9"/>
      <c r="M248" s="9"/>
      <c r="O248" s="9"/>
    </row>
    <row r="249" spans="1:15" x14ac:dyDescent="0.25">
      <c r="A249" s="9" t="s">
        <v>21</v>
      </c>
      <c r="B249" s="9" t="s">
        <v>26</v>
      </c>
      <c r="C249" s="9" t="s">
        <v>20</v>
      </c>
      <c r="D249" s="9" t="s">
        <v>12</v>
      </c>
      <c r="E249" s="9">
        <v>2015</v>
      </c>
      <c r="F249" s="44">
        <f t="shared" si="1"/>
        <v>1.6747772902539559</v>
      </c>
      <c r="G249" s="38">
        <v>1.6675302591821237</v>
      </c>
      <c r="H249" s="38">
        <v>0.15161007631145551</v>
      </c>
      <c r="I249" s="38">
        <v>4.9118409077259821</v>
      </c>
      <c r="J249" s="24">
        <v>1.7247706422018352</v>
      </c>
      <c r="K249" s="9">
        <v>0.97101449275362317</v>
      </c>
      <c r="L249" s="9"/>
      <c r="M249" s="9"/>
      <c r="O249" s="9"/>
    </row>
    <row r="250" spans="1:15" x14ac:dyDescent="0.25">
      <c r="A250" s="9" t="s">
        <v>21</v>
      </c>
      <c r="B250" s="9" t="s">
        <v>26</v>
      </c>
      <c r="C250" s="9" t="s">
        <v>31</v>
      </c>
      <c r="D250" s="9" t="s">
        <v>15</v>
      </c>
      <c r="E250" s="9">
        <v>2015</v>
      </c>
      <c r="F250" s="44">
        <f t="shared" si="1"/>
        <v>3.8618393987032382</v>
      </c>
      <c r="G250" s="38">
        <v>3.8793071394814236</v>
      </c>
      <c r="H250" s="38">
        <v>1.0414189141401542</v>
      </c>
      <c r="I250" s="38">
        <v>8.6435972585494465</v>
      </c>
      <c r="J250" s="24">
        <v>3.9771181867242307</v>
      </c>
      <c r="K250" s="9">
        <v>0.97101449275362317</v>
      </c>
      <c r="L250" s="9"/>
      <c r="M250" s="9"/>
      <c r="O250" s="9"/>
    </row>
    <row r="251" spans="1:15" x14ac:dyDescent="0.25">
      <c r="A251" s="9" t="s">
        <v>21</v>
      </c>
      <c r="B251" s="9" t="s">
        <v>26</v>
      </c>
      <c r="C251" s="9" t="s">
        <v>19</v>
      </c>
      <c r="D251" s="9" t="s">
        <v>15</v>
      </c>
      <c r="E251" s="9">
        <v>2015</v>
      </c>
      <c r="F251" s="44">
        <f t="shared" si="1"/>
        <v>13.757802857880288</v>
      </c>
      <c r="G251" s="38">
        <v>13.6916638217408</v>
      </c>
      <c r="H251" s="38">
        <v>7.3885081464083529</v>
      </c>
      <c r="I251" s="38">
        <v>21.83140041535129</v>
      </c>
      <c r="J251" s="24">
        <v>14.168483540205072</v>
      </c>
      <c r="K251" s="9">
        <v>0.97101449275362317</v>
      </c>
      <c r="L251" s="9"/>
      <c r="M251" s="9"/>
      <c r="O251" s="9"/>
    </row>
    <row r="252" spans="1:15" x14ac:dyDescent="0.25">
      <c r="A252" s="9" t="s">
        <v>21</v>
      </c>
      <c r="B252" s="9" t="s">
        <v>26</v>
      </c>
      <c r="C252" s="9" t="s">
        <v>20</v>
      </c>
      <c r="D252" s="9" t="s">
        <v>15</v>
      </c>
      <c r="E252" s="9">
        <v>2015</v>
      </c>
      <c r="F252" s="44">
        <f t="shared" si="1"/>
        <v>1.1723441031777688</v>
      </c>
      <c r="G252" s="38">
        <v>1.1672451466549962</v>
      </c>
      <c r="H252" s="38">
        <v>4.73768001042221E-2</v>
      </c>
      <c r="I252" s="38">
        <v>4.0766713539501609</v>
      </c>
      <c r="J252" s="24">
        <v>1.2073394495412844</v>
      </c>
      <c r="K252" s="9">
        <v>0.97101449275362317</v>
      </c>
      <c r="L252" s="9"/>
      <c r="M252" s="9"/>
      <c r="O252" s="9"/>
    </row>
    <row r="253" spans="1:15" x14ac:dyDescent="0.25">
      <c r="A253" s="9" t="s">
        <v>21</v>
      </c>
      <c r="B253" s="9" t="s">
        <v>27</v>
      </c>
      <c r="C253" s="9" t="s">
        <v>31</v>
      </c>
      <c r="D253" s="9" t="s">
        <v>11</v>
      </c>
      <c r="E253" s="9">
        <v>2015</v>
      </c>
      <c r="F253" s="44">
        <f t="shared" si="1"/>
        <v>1.5963834596463238</v>
      </c>
      <c r="G253" s="38">
        <v>1.6113195858853084</v>
      </c>
      <c r="H253" s="38">
        <v>0.12148166329189258</v>
      </c>
      <c r="I253" s="38">
        <v>4.9528809010255888</v>
      </c>
      <c r="J253" s="24">
        <v>1.6440366972477065</v>
      </c>
      <c r="K253" s="9">
        <v>0.97101449275362317</v>
      </c>
      <c r="L253" s="9"/>
      <c r="M253" s="9"/>
      <c r="O253" s="9"/>
    </row>
    <row r="254" spans="1:15" x14ac:dyDescent="0.25">
      <c r="A254" s="9" t="s">
        <v>21</v>
      </c>
      <c r="B254" s="9" t="s">
        <v>27</v>
      </c>
      <c r="C254" s="9" t="s">
        <v>19</v>
      </c>
      <c r="D254" s="9" t="s">
        <v>11</v>
      </c>
      <c r="E254" s="9">
        <v>2015</v>
      </c>
      <c r="F254" s="44">
        <f t="shared" si="1"/>
        <v>5.687116074990028</v>
      </c>
      <c r="G254" s="38">
        <v>5.688066352374074</v>
      </c>
      <c r="H254" s="38">
        <v>1.9742485462960013</v>
      </c>
      <c r="I254" s="38">
        <v>11.274374261523656</v>
      </c>
      <c r="J254" s="24">
        <v>5.856880733944954</v>
      </c>
      <c r="K254" s="9">
        <v>0.97101449275362317</v>
      </c>
      <c r="L254" s="9"/>
      <c r="M254" s="9"/>
      <c r="O254" s="9"/>
    </row>
    <row r="255" spans="1:15" x14ac:dyDescent="0.25">
      <c r="A255" s="9" t="s">
        <v>21</v>
      </c>
      <c r="B255" s="9" t="s">
        <v>27</v>
      </c>
      <c r="C255" s="9" t="s">
        <v>20</v>
      </c>
      <c r="D255" s="9" t="s">
        <v>11</v>
      </c>
      <c r="E255" s="9">
        <v>2015</v>
      </c>
      <c r="F255" s="44">
        <f t="shared" si="1"/>
        <v>0.48461640739263395</v>
      </c>
      <c r="G255" s="38">
        <v>0.47229934131837142</v>
      </c>
      <c r="H255" s="38">
        <v>3.8002641401648667E-4</v>
      </c>
      <c r="I255" s="38">
        <v>2.3902929185322357</v>
      </c>
      <c r="J255" s="24">
        <v>0.49908256880733948</v>
      </c>
      <c r="K255" s="9">
        <v>0.97101449275362317</v>
      </c>
      <c r="L255" s="9"/>
      <c r="M255" s="9"/>
      <c r="O255" s="9"/>
    </row>
    <row r="256" spans="1:15" x14ac:dyDescent="0.25">
      <c r="A256" s="9" t="s">
        <v>21</v>
      </c>
      <c r="B256" s="9" t="s">
        <v>28</v>
      </c>
      <c r="C256" s="9" t="s">
        <v>31</v>
      </c>
      <c r="D256" s="9" t="s">
        <v>12</v>
      </c>
      <c r="E256" s="9">
        <v>2015</v>
      </c>
      <c r="F256" s="44">
        <f t="shared" si="1"/>
        <v>16.034263278506458</v>
      </c>
      <c r="G256" s="38">
        <v>16.126373638227303</v>
      </c>
      <c r="H256" s="38">
        <v>9.1415211995140648</v>
      </c>
      <c r="I256" s="38">
        <v>24.876210694336649</v>
      </c>
      <c r="J256" s="24">
        <v>16.512898003237993</v>
      </c>
      <c r="K256" s="9">
        <v>0.97101449275362317</v>
      </c>
      <c r="L256" s="9"/>
      <c r="M256" s="9"/>
      <c r="O256" s="9"/>
    </row>
    <row r="257" spans="1:15" x14ac:dyDescent="0.25">
      <c r="A257" s="9" t="s">
        <v>21</v>
      </c>
      <c r="B257" s="9" t="s">
        <v>28</v>
      </c>
      <c r="C257" s="9" t="s">
        <v>19</v>
      </c>
      <c r="D257" s="9" t="s">
        <v>12</v>
      </c>
      <c r="E257" s="9">
        <v>2015</v>
      </c>
      <c r="F257" s="44">
        <f t="shared" si="1"/>
        <v>57.122062929679245</v>
      </c>
      <c r="G257" s="38">
        <v>57.004705176243753</v>
      </c>
      <c r="H257" s="38">
        <v>42.917165020313142</v>
      </c>
      <c r="I257" s="38">
        <v>72.856972689504587</v>
      </c>
      <c r="J257" s="24">
        <v>58.827199136535341</v>
      </c>
      <c r="K257" s="9">
        <v>0.97101449275362317</v>
      </c>
      <c r="L257" s="9"/>
      <c r="M257" s="9"/>
      <c r="O257" s="9"/>
    </row>
    <row r="258" spans="1:15" x14ac:dyDescent="0.25">
      <c r="A258" s="9" t="s">
        <v>21</v>
      </c>
      <c r="B258" s="9" t="s">
        <v>28</v>
      </c>
      <c r="C258" s="9" t="s">
        <v>20</v>
      </c>
      <c r="D258" s="9" t="s">
        <v>12</v>
      </c>
      <c r="E258" s="9">
        <v>2015</v>
      </c>
      <c r="F258" s="44">
        <f t="shared" si="1"/>
        <v>4.8675442095466019</v>
      </c>
      <c r="G258" s="38">
        <v>4.8813476795139739</v>
      </c>
      <c r="H258" s="38">
        <v>1.5674208470110524</v>
      </c>
      <c r="I258" s="38">
        <v>10.125135343951145</v>
      </c>
      <c r="J258" s="24">
        <v>5.0128440366972473</v>
      </c>
      <c r="K258" s="9">
        <v>0.97101449275362317</v>
      </c>
      <c r="L258" s="9"/>
      <c r="M258" s="9"/>
      <c r="O258" s="9"/>
    </row>
    <row r="259" spans="1:15" x14ac:dyDescent="0.25">
      <c r="A259" s="9" t="s">
        <v>21</v>
      </c>
      <c r="B259" s="9" t="s">
        <v>28</v>
      </c>
      <c r="C259" s="9" t="s">
        <v>31</v>
      </c>
      <c r="D259" s="9" t="s">
        <v>15</v>
      </c>
      <c r="E259" s="9">
        <v>2015</v>
      </c>
      <c r="F259" s="44">
        <f t="shared" si="1"/>
        <v>25.671254604753752</v>
      </c>
      <c r="G259" s="38">
        <v>25.748456154280408</v>
      </c>
      <c r="H259" s="38">
        <v>16.900021583561042</v>
      </c>
      <c r="I259" s="38">
        <v>36.657486032907158</v>
      </c>
      <c r="J259" s="24">
        <v>26.437560712358341</v>
      </c>
      <c r="K259" s="9">
        <v>0.97101449275362317</v>
      </c>
      <c r="L259" s="9"/>
      <c r="M259" s="9"/>
      <c r="O259" s="9"/>
    </row>
    <row r="260" spans="1:15" x14ac:dyDescent="0.25">
      <c r="A260" s="9" t="s">
        <v>21</v>
      </c>
      <c r="B260" s="9" t="s">
        <v>28</v>
      </c>
      <c r="C260" s="9" t="s">
        <v>19</v>
      </c>
      <c r="D260" s="9" t="s">
        <v>15</v>
      </c>
      <c r="E260" s="9">
        <v>2015</v>
      </c>
      <c r="F260" s="44">
        <f t="shared" si="1"/>
        <v>91.45384452943523</v>
      </c>
      <c r="G260" s="38">
        <v>91.527962758705229</v>
      </c>
      <c r="H260" s="38">
        <v>73.702839914214053</v>
      </c>
      <c r="I260" s="38">
        <v>111.38303422478495</v>
      </c>
      <c r="J260" s="24">
        <v>94.183810037776581</v>
      </c>
      <c r="K260" s="9">
        <v>0.97101449275362317</v>
      </c>
      <c r="L260" s="9"/>
      <c r="M260" s="9"/>
      <c r="O260" s="9"/>
    </row>
    <row r="261" spans="1:15" x14ac:dyDescent="0.25">
      <c r="A261" s="9" t="s">
        <v>21</v>
      </c>
      <c r="B261" s="9" t="s">
        <v>28</v>
      </c>
      <c r="C261" s="9" t="s">
        <v>20</v>
      </c>
      <c r="D261" s="9" t="s">
        <v>15</v>
      </c>
      <c r="E261" s="9">
        <v>2015</v>
      </c>
      <c r="F261" s="44">
        <f t="shared" si="1"/>
        <v>7.7930594335859604</v>
      </c>
      <c r="G261" s="38">
        <v>7.8387552761911685</v>
      </c>
      <c r="H261" s="38">
        <v>3.3463205238258498</v>
      </c>
      <c r="I261" s="38">
        <v>14.288576864645639</v>
      </c>
      <c r="J261" s="24">
        <v>8.0256880733944964</v>
      </c>
      <c r="K261" s="9">
        <v>0.97101449275362317</v>
      </c>
      <c r="L261" s="9"/>
      <c r="M261" s="9"/>
      <c r="O261" s="9"/>
    </row>
    <row r="262" spans="1:15" x14ac:dyDescent="0.25">
      <c r="A262" s="9" t="s">
        <v>22</v>
      </c>
      <c r="B262" s="9" t="s">
        <v>11</v>
      </c>
      <c r="C262" s="9" t="s">
        <v>11</v>
      </c>
      <c r="D262" s="9" t="s">
        <v>11</v>
      </c>
      <c r="E262" s="9">
        <v>2015</v>
      </c>
      <c r="F262" s="44">
        <f t="shared" si="1"/>
        <v>342.80720338983048</v>
      </c>
      <c r="G262" s="38">
        <v>342.75099999999998</v>
      </c>
      <c r="H262" s="38">
        <v>306</v>
      </c>
      <c r="I262" s="38">
        <v>380</v>
      </c>
      <c r="J262" s="24">
        <v>393.19915254237287</v>
      </c>
      <c r="K262" s="9">
        <v>0.87184115523465699</v>
      </c>
      <c r="L262" s="9"/>
      <c r="M262" s="9"/>
      <c r="O262" s="9"/>
    </row>
    <row r="263" spans="1:15" x14ac:dyDescent="0.25">
      <c r="A263" s="9" t="s">
        <v>22</v>
      </c>
      <c r="B263" s="9" t="s">
        <v>11</v>
      </c>
      <c r="C263" s="9" t="s">
        <v>19</v>
      </c>
      <c r="D263" s="9" t="s">
        <v>11</v>
      </c>
      <c r="E263" s="9">
        <v>2015</v>
      </c>
      <c r="F263" s="44">
        <f t="shared" si="1"/>
        <v>250.60815410267392</v>
      </c>
      <c r="G263" s="38"/>
      <c r="H263" s="38"/>
      <c r="I263" s="38"/>
      <c r="J263" s="24">
        <f>SUM(J266,J269,J272,J275,J278,J281)</f>
        <v>287.44703389830511</v>
      </c>
      <c r="K263" s="9">
        <v>0.87184115523465699</v>
      </c>
      <c r="L263" s="9"/>
      <c r="M263" s="9"/>
      <c r="O263" s="9"/>
    </row>
    <row r="264" spans="1:15" x14ac:dyDescent="0.25">
      <c r="A264" s="9" t="s">
        <v>22</v>
      </c>
      <c r="B264" s="9" t="s">
        <v>24</v>
      </c>
      <c r="C264" s="9" t="s">
        <v>11</v>
      </c>
      <c r="D264" s="9" t="s">
        <v>11</v>
      </c>
      <c r="E264" s="9">
        <v>2015</v>
      </c>
      <c r="F264" s="44">
        <f t="shared" si="1"/>
        <v>66.210055528360769</v>
      </c>
      <c r="G264" s="38"/>
      <c r="H264" s="38"/>
      <c r="I264" s="38"/>
      <c r="J264" s="24">
        <v>75.942796610169495</v>
      </c>
      <c r="K264" s="9">
        <v>0.87184115523465699</v>
      </c>
      <c r="L264" s="9"/>
      <c r="M264" s="9"/>
      <c r="O264" s="9"/>
    </row>
    <row r="265" spans="1:15" x14ac:dyDescent="0.25">
      <c r="A265" s="9" t="s">
        <v>22</v>
      </c>
      <c r="B265" s="9" t="s">
        <v>24</v>
      </c>
      <c r="C265" s="9" t="s">
        <v>31</v>
      </c>
      <c r="D265" s="9" t="s">
        <v>11</v>
      </c>
      <c r="E265" s="9">
        <v>2015</v>
      </c>
      <c r="F265" s="44">
        <f t="shared" si="1"/>
        <v>14.341528273291141</v>
      </c>
      <c r="G265" s="38">
        <v>14.333031840787177</v>
      </c>
      <c r="H265" s="38">
        <v>7.962755010706565</v>
      </c>
      <c r="I265" s="38">
        <v>22.568689862386123</v>
      </c>
      <c r="J265" s="24">
        <v>16.449703236859818</v>
      </c>
      <c r="K265" s="9">
        <v>0.87184115523465699</v>
      </c>
      <c r="L265" s="9"/>
      <c r="M265" s="9"/>
      <c r="O265" s="9"/>
    </row>
    <row r="266" spans="1:15" x14ac:dyDescent="0.25">
      <c r="A266" s="9" t="s">
        <v>22</v>
      </c>
      <c r="B266" s="9" t="s">
        <v>24</v>
      </c>
      <c r="C266" s="9" t="s">
        <v>19</v>
      </c>
      <c r="D266" s="9" t="s">
        <v>11</v>
      </c>
      <c r="E266" s="9">
        <v>2015</v>
      </c>
      <c r="F266" s="44">
        <f t="shared" ref="F266:F282" si="2">J266*K266</f>
        <v>48.402657922357591</v>
      </c>
      <c r="G266" s="38">
        <v>48.464953007292046</v>
      </c>
      <c r="H266" s="38">
        <v>35.705230871570123</v>
      </c>
      <c r="I266" s="38">
        <v>63.23392724509921</v>
      </c>
      <c r="J266" s="24">
        <v>55.51774842440188</v>
      </c>
      <c r="K266" s="9">
        <v>0.87184115523465699</v>
      </c>
      <c r="L266" s="9"/>
      <c r="M266" s="9"/>
      <c r="O266" s="9"/>
    </row>
    <row r="267" spans="1:15" x14ac:dyDescent="0.25">
      <c r="A267" s="9" t="s">
        <v>22</v>
      </c>
      <c r="B267" s="9" t="s">
        <v>24</v>
      </c>
      <c r="C267" s="9" t="s">
        <v>20</v>
      </c>
      <c r="D267" s="9" t="s">
        <v>11</v>
      </c>
      <c r="E267" s="9">
        <v>2015</v>
      </c>
      <c r="F267" s="44">
        <f t="shared" si="2"/>
        <v>3.4658693327120256</v>
      </c>
      <c r="G267" s="38">
        <v>3.4876587859613064</v>
      </c>
      <c r="H267" s="38">
        <v>0.84438869695574192</v>
      </c>
      <c r="I267" s="38">
        <v>8.1393681119193211</v>
      </c>
      <c r="J267" s="24">
        <v>3.9753449489077894</v>
      </c>
      <c r="K267" s="9">
        <v>0.87184115523465699</v>
      </c>
      <c r="L267" s="9"/>
      <c r="M267" s="9"/>
      <c r="O267" s="9"/>
    </row>
    <row r="268" spans="1:15" x14ac:dyDescent="0.25">
      <c r="A268" s="9" t="s">
        <v>22</v>
      </c>
      <c r="B268" s="9" t="s">
        <v>26</v>
      </c>
      <c r="C268" s="9" t="s">
        <v>31</v>
      </c>
      <c r="D268" s="9" t="s">
        <v>12</v>
      </c>
      <c r="E268" s="9">
        <v>2015</v>
      </c>
      <c r="F268" s="44">
        <f t="shared" si="2"/>
        <v>21.445275922678338</v>
      </c>
      <c r="G268" s="38">
        <v>21.450770749836455</v>
      </c>
      <c r="H268" s="38">
        <v>13.185303819745052</v>
      </c>
      <c r="I268" s="38">
        <v>31.496238921756568</v>
      </c>
      <c r="J268" s="24">
        <v>24.597687083154867</v>
      </c>
      <c r="K268" s="9">
        <v>0.87184115523465699</v>
      </c>
      <c r="L268" s="9"/>
      <c r="M268" s="9"/>
      <c r="O268" s="9"/>
    </row>
    <row r="269" spans="1:15" x14ac:dyDescent="0.25">
      <c r="A269" s="9" t="s">
        <v>22</v>
      </c>
      <c r="B269" s="9" t="s">
        <v>26</v>
      </c>
      <c r="C269" s="9" t="s">
        <v>19</v>
      </c>
      <c r="D269" s="9" t="s">
        <v>12</v>
      </c>
      <c r="E269" s="9">
        <v>2015</v>
      </c>
      <c r="F269" s="44">
        <f t="shared" si="2"/>
        <v>72.377806239039387</v>
      </c>
      <c r="G269" s="38">
        <v>72.441122174552618</v>
      </c>
      <c r="H269" s="38">
        <v>56.621791384038993</v>
      </c>
      <c r="I269" s="38">
        <v>90.083035859806259</v>
      </c>
      <c r="J269" s="24">
        <v>83.017193905647673</v>
      </c>
      <c r="K269" s="9">
        <v>0.87184115523465699</v>
      </c>
      <c r="L269" s="9"/>
      <c r="M269" s="9"/>
      <c r="O269" s="9"/>
    </row>
    <row r="270" spans="1:15" x14ac:dyDescent="0.25">
      <c r="A270" s="9" t="s">
        <v>22</v>
      </c>
      <c r="B270" s="9" t="s">
        <v>26</v>
      </c>
      <c r="C270" s="9" t="s">
        <v>20</v>
      </c>
      <c r="D270" s="9" t="s">
        <v>12</v>
      </c>
      <c r="E270" s="9">
        <v>2015</v>
      </c>
      <c r="F270" s="44">
        <f t="shared" si="2"/>
        <v>5.1826083479805991</v>
      </c>
      <c r="G270" s="38">
        <v>5.1715551390368368</v>
      </c>
      <c r="H270" s="38">
        <v>1.6849083217579857</v>
      </c>
      <c r="I270" s="38">
        <v>10.436091214860623</v>
      </c>
      <c r="J270" s="24">
        <v>5.9444410450957594</v>
      </c>
      <c r="K270" s="9">
        <v>0.87184115523465699</v>
      </c>
      <c r="L270" s="9"/>
      <c r="M270" s="9"/>
      <c r="O270" s="9"/>
    </row>
    <row r="271" spans="1:15" x14ac:dyDescent="0.25">
      <c r="A271" s="9" t="s">
        <v>22</v>
      </c>
      <c r="B271" s="37" t="s">
        <v>26</v>
      </c>
      <c r="C271" s="37" t="s">
        <v>31</v>
      </c>
      <c r="D271" s="37" t="s">
        <v>15</v>
      </c>
      <c r="E271" s="37">
        <v>2015</v>
      </c>
      <c r="F271" s="44">
        <f t="shared" si="2"/>
        <v>13.805396375224182</v>
      </c>
      <c r="G271" s="38">
        <v>13.776149979749796</v>
      </c>
      <c r="H271" s="38">
        <v>7.5246306255870659</v>
      </c>
      <c r="I271" s="38">
        <v>21.958224045824917</v>
      </c>
      <c r="J271" s="1">
        <v>15.834761059780947</v>
      </c>
      <c r="K271" s="37">
        <v>0.87184115523465699</v>
      </c>
      <c r="O271" s="9"/>
    </row>
    <row r="272" spans="1:15" x14ac:dyDescent="0.25">
      <c r="A272" s="9" t="s">
        <v>22</v>
      </c>
      <c r="B272" s="37" t="s">
        <v>26</v>
      </c>
      <c r="C272" s="37" t="s">
        <v>19</v>
      </c>
      <c r="D272" s="37" t="s">
        <v>15</v>
      </c>
      <c r="E272" s="37">
        <v>2015</v>
      </c>
      <c r="F272" s="44">
        <f t="shared" si="2"/>
        <v>46.593212766381612</v>
      </c>
      <c r="G272" s="38">
        <v>46.580174509688298</v>
      </c>
      <c r="H272" s="38">
        <v>34.221728422882279</v>
      </c>
      <c r="I272" s="38">
        <v>60.976561162163151</v>
      </c>
      <c r="J272" s="1">
        <v>53.442318576760691</v>
      </c>
      <c r="K272" s="37">
        <v>0.87184115523465699</v>
      </c>
      <c r="O272" s="9"/>
    </row>
    <row r="273" spans="1:23" x14ac:dyDescent="0.25">
      <c r="A273" s="9" t="s">
        <v>22</v>
      </c>
      <c r="B273" s="37" t="s">
        <v>26</v>
      </c>
      <c r="C273" s="37" t="s">
        <v>20</v>
      </c>
      <c r="D273" s="37" t="s">
        <v>15</v>
      </c>
      <c r="E273" s="37">
        <v>2015</v>
      </c>
      <c r="F273" s="44">
        <f t="shared" si="2"/>
        <v>3.3363041240125106</v>
      </c>
      <c r="G273" s="38">
        <v>3.3415215913350491</v>
      </c>
      <c r="H273" s="38">
        <v>0.74302432292437648</v>
      </c>
      <c r="I273" s="38">
        <v>7.8116718625806518</v>
      </c>
      <c r="J273" s="1">
        <v>3.8267339227803956</v>
      </c>
      <c r="K273" s="37">
        <v>0.87184115523465699</v>
      </c>
      <c r="O273" s="9"/>
    </row>
    <row r="274" spans="1:23" x14ac:dyDescent="0.25">
      <c r="A274" s="9" t="s">
        <v>22</v>
      </c>
      <c r="B274" s="9" t="s">
        <v>27</v>
      </c>
      <c r="C274" s="9" t="s">
        <v>31</v>
      </c>
      <c r="D274" s="9" t="s">
        <v>11</v>
      </c>
      <c r="E274" s="9">
        <v>2015</v>
      </c>
      <c r="F274" s="44">
        <f t="shared" si="2"/>
        <v>2.9487254393682716</v>
      </c>
      <c r="G274" s="38">
        <v>2.9655937506950276</v>
      </c>
      <c r="H274" s="38">
        <v>0.59037937725655898</v>
      </c>
      <c r="I274" s="38">
        <v>7.293305951488275</v>
      </c>
      <c r="J274" s="1">
        <v>3.3821819739337942</v>
      </c>
      <c r="K274" s="37">
        <v>0.87184115523465699</v>
      </c>
      <c r="O274" s="9"/>
    </row>
    <row r="275" spans="1:23" x14ac:dyDescent="0.25">
      <c r="A275" s="9" t="s">
        <v>22</v>
      </c>
      <c r="B275" s="9" t="s">
        <v>27</v>
      </c>
      <c r="C275" s="9" t="s">
        <v>19</v>
      </c>
      <c r="D275" s="9" t="s">
        <v>11</v>
      </c>
      <c r="E275" s="9">
        <v>2015</v>
      </c>
      <c r="F275" s="44">
        <f t="shared" si="2"/>
        <v>9.9519483578679164</v>
      </c>
      <c r="G275" s="38">
        <v>9.9764815578642931</v>
      </c>
      <c r="H275" s="38">
        <v>4.8472990187908112</v>
      </c>
      <c r="I275" s="38">
        <v>17.063684148405471</v>
      </c>
      <c r="J275" s="1">
        <v>11.414864162026555</v>
      </c>
      <c r="K275" s="37">
        <v>0.87184115523465699</v>
      </c>
      <c r="O275" s="9"/>
    </row>
    <row r="276" spans="1:23" x14ac:dyDescent="0.25">
      <c r="A276" s="9" t="s">
        <v>22</v>
      </c>
      <c r="B276" s="9" t="s">
        <v>27</v>
      </c>
      <c r="C276" s="9" t="s">
        <v>20</v>
      </c>
      <c r="D276" s="9" t="s">
        <v>11</v>
      </c>
      <c r="E276" s="9">
        <v>2015</v>
      </c>
      <c r="F276" s="44">
        <f t="shared" si="2"/>
        <v>0.71260864784733235</v>
      </c>
      <c r="G276" s="38">
        <v>0.72091755395602042</v>
      </c>
      <c r="H276" s="38">
        <v>4.6701616150989431E-3</v>
      </c>
      <c r="I276" s="38">
        <v>3.0672634096069444</v>
      </c>
      <c r="J276" s="1">
        <v>0.81736064370066697</v>
      </c>
      <c r="K276" s="37">
        <v>0.87184115523465699</v>
      </c>
      <c r="O276" s="9"/>
    </row>
    <row r="277" spans="1:23" x14ac:dyDescent="0.25">
      <c r="A277" s="9" t="s">
        <v>22</v>
      </c>
      <c r="B277" s="9" t="s">
        <v>28</v>
      </c>
      <c r="C277" s="9" t="s">
        <v>31</v>
      </c>
      <c r="D277" s="9" t="s">
        <v>12</v>
      </c>
      <c r="E277" s="9">
        <v>2015</v>
      </c>
      <c r="F277" s="44">
        <f t="shared" si="2"/>
        <v>10.186506063272212</v>
      </c>
      <c r="G277" s="38">
        <v>10.178932932631184</v>
      </c>
      <c r="H277" s="38">
        <v>4.8129491433945022</v>
      </c>
      <c r="I277" s="38">
        <v>17.336308462086389</v>
      </c>
      <c r="J277" s="1">
        <v>11.683901364498562</v>
      </c>
      <c r="K277" s="37">
        <v>0.87184115523465699</v>
      </c>
      <c r="O277" s="9"/>
    </row>
    <row r="278" spans="1:23" x14ac:dyDescent="0.25">
      <c r="A278" s="9" t="s">
        <v>22</v>
      </c>
      <c r="B278" s="9" t="s">
        <v>28</v>
      </c>
      <c r="C278" s="9" t="s">
        <v>19</v>
      </c>
      <c r="D278" s="9" t="s">
        <v>12</v>
      </c>
      <c r="E278" s="9">
        <v>2015</v>
      </c>
      <c r="F278" s="44">
        <f t="shared" si="2"/>
        <v>34.379457963543715</v>
      </c>
      <c r="G278" s="38">
        <v>34.222006019872573</v>
      </c>
      <c r="H278" s="38">
        <v>23.778035520635019</v>
      </c>
      <c r="I278" s="38">
        <v>46.686270916019396</v>
      </c>
      <c r="J278" s="1">
        <v>39.433167105182648</v>
      </c>
      <c r="K278" s="37">
        <v>0.87184115523465699</v>
      </c>
      <c r="O278" s="9"/>
    </row>
    <row r="279" spans="1:23" x14ac:dyDescent="0.25">
      <c r="A279" s="9" t="s">
        <v>22</v>
      </c>
      <c r="B279" s="9" t="s">
        <v>28</v>
      </c>
      <c r="C279" s="9" t="s">
        <v>20</v>
      </c>
      <c r="D279" s="9" t="s">
        <v>12</v>
      </c>
      <c r="E279" s="9">
        <v>2015</v>
      </c>
      <c r="F279" s="44">
        <f t="shared" si="2"/>
        <v>2.4617389652907846</v>
      </c>
      <c r="G279" s="38">
        <v>2.4398667758299504</v>
      </c>
      <c r="H279" s="38">
        <v>0.4140094947924946</v>
      </c>
      <c r="I279" s="38">
        <v>6.4115635702285854</v>
      </c>
      <c r="J279" s="1">
        <v>2.8236094964204859</v>
      </c>
      <c r="K279" s="37">
        <v>0.87184115523465699</v>
      </c>
      <c r="O279" s="9"/>
    </row>
    <row r="280" spans="1:23" x14ac:dyDescent="0.25">
      <c r="A280" s="9" t="s">
        <v>22</v>
      </c>
      <c r="B280" s="37" t="s">
        <v>28</v>
      </c>
      <c r="C280" s="37" t="s">
        <v>31</v>
      </c>
      <c r="D280" s="37" t="s">
        <v>15</v>
      </c>
      <c r="E280" s="37">
        <v>2015</v>
      </c>
      <c r="F280" s="44">
        <f t="shared" si="2"/>
        <v>11.526835808439607</v>
      </c>
      <c r="G280" s="38">
        <v>11.507807358030199</v>
      </c>
      <c r="H280" s="38">
        <v>5.8623289537260455</v>
      </c>
      <c r="I280" s="38">
        <v>19.190769588732969</v>
      </c>
      <c r="J280" s="1">
        <v>13.22125680719574</v>
      </c>
      <c r="K280" s="37">
        <v>0.87184115523465699</v>
      </c>
      <c r="O280" s="9"/>
    </row>
    <row r="281" spans="1:23" x14ac:dyDescent="0.25">
      <c r="A281" s="9" t="s">
        <v>22</v>
      </c>
      <c r="B281" s="37" t="s">
        <v>28</v>
      </c>
      <c r="C281" s="37" t="s">
        <v>19</v>
      </c>
      <c r="D281" s="37" t="s">
        <v>15</v>
      </c>
      <c r="E281" s="37">
        <v>2015</v>
      </c>
      <c r="F281" s="44">
        <f t="shared" si="2"/>
        <v>38.903070853483669</v>
      </c>
      <c r="G281" s="38">
        <v>38.911719804310763</v>
      </c>
      <c r="H281" s="38">
        <v>27.735623006053054</v>
      </c>
      <c r="I281" s="38">
        <v>51.887792396763814</v>
      </c>
      <c r="J281" s="1">
        <v>44.62174172428562</v>
      </c>
      <c r="K281" s="37">
        <v>0.87184115523465699</v>
      </c>
      <c r="O281" s="9"/>
    </row>
    <row r="282" spans="1:23" ht="15.75" thickBot="1" x14ac:dyDescent="0.3">
      <c r="A282" s="6" t="s">
        <v>22</v>
      </c>
      <c r="B282" s="6" t="s">
        <v>28</v>
      </c>
      <c r="C282" s="6" t="s">
        <v>20</v>
      </c>
      <c r="D282" s="6" t="s">
        <v>15</v>
      </c>
      <c r="E282" s="6">
        <v>2015</v>
      </c>
      <c r="F282" s="45">
        <f t="shared" si="2"/>
        <v>2.785651987039572</v>
      </c>
      <c r="G282" s="65">
        <v>2.780736468570399</v>
      </c>
      <c r="H282" s="65">
        <v>0.54008932922445996</v>
      </c>
      <c r="I282" s="65">
        <v>6.8038616877551554</v>
      </c>
      <c r="J282" s="42">
        <v>3.1951370617389707</v>
      </c>
      <c r="K282" s="6">
        <v>0.87184115523465699</v>
      </c>
      <c r="L282" s="6"/>
      <c r="M282" s="6"/>
      <c r="N282" s="6"/>
      <c r="O282" s="9"/>
    </row>
    <row r="283" spans="1:23" x14ac:dyDescent="0.25">
      <c r="A283" s="9"/>
      <c r="B283" s="9"/>
      <c r="C283" s="9"/>
      <c r="D283" s="9"/>
      <c r="E283" s="9"/>
      <c r="F283" s="44" t="s">
        <v>62</v>
      </c>
      <c r="G283" s="38"/>
      <c r="H283" s="38"/>
      <c r="I283" s="38"/>
      <c r="J283" s="9" t="s">
        <v>63</v>
      </c>
      <c r="K283" s="9" t="s">
        <v>64</v>
      </c>
      <c r="L283" s="9"/>
      <c r="M283" s="9"/>
      <c r="N283" s="9"/>
      <c r="O283" s="57"/>
      <c r="P283" s="58"/>
      <c r="Q283" s="58"/>
      <c r="R283" s="58"/>
      <c r="S283" s="58"/>
      <c r="T283" s="58" t="s">
        <v>62</v>
      </c>
      <c r="U283" s="58" t="s">
        <v>63</v>
      </c>
      <c r="V283" s="58" t="s">
        <v>64</v>
      </c>
      <c r="W283" s="62" t="s">
        <v>69</v>
      </c>
    </row>
    <row r="284" spans="1:23" x14ac:dyDescent="0.25">
      <c r="A284" s="11" t="s">
        <v>61</v>
      </c>
      <c r="B284" s="11" t="s">
        <v>11</v>
      </c>
      <c r="C284" s="37" t="s">
        <v>11</v>
      </c>
      <c r="D284" s="11" t="s">
        <v>11</v>
      </c>
      <c r="E284" s="11">
        <v>2012</v>
      </c>
      <c r="F284" s="44">
        <f>F285+F286</f>
        <v>623.86899415683479</v>
      </c>
      <c r="G284" s="38"/>
      <c r="H284" s="38"/>
      <c r="I284" s="38"/>
      <c r="J284" s="3">
        <f>J285+J286</f>
        <v>479.89922627448834</v>
      </c>
      <c r="K284" s="3">
        <f>K285+K286</f>
        <v>767.83876203918135</v>
      </c>
      <c r="L284" s="9"/>
      <c r="M284" s="9"/>
      <c r="N284" s="9"/>
      <c r="O284" s="57"/>
      <c r="P284" s="58"/>
      <c r="Q284" s="58"/>
      <c r="R284" s="58"/>
      <c r="S284" s="58"/>
      <c r="T284" s="58"/>
      <c r="U284" s="58"/>
      <c r="V284" s="58"/>
      <c r="W284" s="62"/>
    </row>
    <row r="285" spans="1:23" x14ac:dyDescent="0.25">
      <c r="A285" s="11" t="s">
        <v>61</v>
      </c>
      <c r="B285" s="11" t="s">
        <v>11</v>
      </c>
      <c r="C285" s="37" t="s">
        <v>11</v>
      </c>
      <c r="D285" s="11" t="s">
        <v>12</v>
      </c>
      <c r="E285" s="11">
        <v>2012</v>
      </c>
      <c r="F285" s="47">
        <v>459.21148836764087</v>
      </c>
      <c r="G285" s="14"/>
      <c r="H285" s="14"/>
      <c r="I285" s="14"/>
      <c r="J285" s="3">
        <v>353.23960643664685</v>
      </c>
      <c r="K285" s="3">
        <v>565.18337029863494</v>
      </c>
      <c r="O285" s="57" t="s">
        <v>61</v>
      </c>
      <c r="P285" s="58" t="s">
        <v>11</v>
      </c>
      <c r="Q285" s="58" t="s">
        <v>11</v>
      </c>
      <c r="R285" s="58" t="s">
        <v>12</v>
      </c>
      <c r="S285" s="58">
        <v>2012</v>
      </c>
      <c r="T285" s="58">
        <v>616.21000191607595</v>
      </c>
      <c r="U285" s="58">
        <v>534.04866832726577</v>
      </c>
      <c r="V285" s="58">
        <v>698.37133550488591</v>
      </c>
    </row>
    <row r="286" spans="1:23" x14ac:dyDescent="0.25">
      <c r="A286" s="11" t="s">
        <v>61</v>
      </c>
      <c r="B286" s="37" t="s">
        <v>11</v>
      </c>
      <c r="C286" s="37" t="s">
        <v>11</v>
      </c>
      <c r="D286" s="11" t="s">
        <v>15</v>
      </c>
      <c r="E286" s="11">
        <v>2012</v>
      </c>
      <c r="F286" s="47">
        <v>164.65750578919389</v>
      </c>
      <c r="G286" s="14"/>
      <c r="H286" s="14"/>
      <c r="I286" s="14"/>
      <c r="J286" s="3">
        <v>126.65961983784148</v>
      </c>
      <c r="K286" s="3">
        <v>202.65539174054635</v>
      </c>
      <c r="O286" s="57" t="s">
        <v>61</v>
      </c>
      <c r="P286" s="58" t="s">
        <v>11</v>
      </c>
      <c r="Q286" s="58" t="s">
        <v>11</v>
      </c>
      <c r="R286" s="58" t="s">
        <v>15</v>
      </c>
      <c r="S286" s="58">
        <v>2012</v>
      </c>
      <c r="T286" s="58">
        <v>212.68442230312323</v>
      </c>
      <c r="U286" s="58">
        <v>184.32649932937346</v>
      </c>
      <c r="V286" s="58">
        <v>241.04234527687294</v>
      </c>
    </row>
    <row r="287" spans="1:23" x14ac:dyDescent="0.25">
      <c r="A287" s="11" t="s">
        <v>61</v>
      </c>
      <c r="B287" s="37" t="s">
        <v>11</v>
      </c>
      <c r="C287" s="37" t="s">
        <v>31</v>
      </c>
      <c r="D287" s="37" t="s">
        <v>11</v>
      </c>
      <c r="E287" s="11">
        <v>2012</v>
      </c>
      <c r="F287" s="47">
        <v>134.47029639450835</v>
      </c>
      <c r="G287" s="14"/>
      <c r="H287" s="14"/>
      <c r="I287" s="14"/>
      <c r="J287" s="3">
        <v>103.4386895342372</v>
      </c>
      <c r="K287" s="3">
        <v>165.50190325477951</v>
      </c>
      <c r="O287" s="57" t="s">
        <v>61</v>
      </c>
      <c r="P287" s="58" t="s">
        <v>11</v>
      </c>
      <c r="Q287" s="58" t="s">
        <v>31</v>
      </c>
      <c r="R287" s="58" t="s">
        <v>11</v>
      </c>
      <c r="S287" s="58">
        <v>2012</v>
      </c>
      <c r="T287" s="58">
        <v>163.24966468672162</v>
      </c>
      <c r="U287" s="58">
        <v>141.48304272849205</v>
      </c>
      <c r="V287" s="58">
        <v>185.01628664495112</v>
      </c>
    </row>
    <row r="288" spans="1:23" x14ac:dyDescent="0.25">
      <c r="A288" s="11" t="s">
        <v>61</v>
      </c>
      <c r="B288" s="37" t="s">
        <v>11</v>
      </c>
      <c r="C288" s="37" t="s">
        <v>19</v>
      </c>
      <c r="D288" s="37" t="s">
        <v>11</v>
      </c>
      <c r="E288" s="11">
        <v>2012</v>
      </c>
      <c r="F288" s="47">
        <v>455.55243268343645</v>
      </c>
      <c r="G288" s="14"/>
      <c r="H288" s="14"/>
      <c r="I288" s="14"/>
      <c r="J288" s="3">
        <v>350.42494821802808</v>
      </c>
      <c r="K288" s="3">
        <v>560.67991714884488</v>
      </c>
      <c r="O288" s="57" t="s">
        <v>61</v>
      </c>
      <c r="P288" s="58" t="s">
        <v>11</v>
      </c>
      <c r="Q288" s="58" t="s">
        <v>19</v>
      </c>
      <c r="R288" s="58" t="s">
        <v>11</v>
      </c>
      <c r="S288" s="58">
        <v>2012</v>
      </c>
      <c r="T288" s="58">
        <v>631.15539375359265</v>
      </c>
      <c r="U288" s="58">
        <v>547.00134125311365</v>
      </c>
      <c r="V288" s="58">
        <v>715.30944625407164</v>
      </c>
    </row>
    <row r="289" spans="1:22" x14ac:dyDescent="0.25">
      <c r="A289" s="11" t="s">
        <v>61</v>
      </c>
      <c r="B289" s="37" t="s">
        <v>11</v>
      </c>
      <c r="C289" s="37" t="s">
        <v>20</v>
      </c>
      <c r="D289" s="37" t="s">
        <v>11</v>
      </c>
      <c r="E289" s="11">
        <v>2012</v>
      </c>
      <c r="F289" s="47">
        <v>33.846265078889857</v>
      </c>
      <c r="G289" s="14"/>
      <c r="H289" s="14"/>
      <c r="I289" s="14"/>
      <c r="J289" s="3">
        <v>26.035588522222969</v>
      </c>
      <c r="K289" s="3">
        <v>41.656941635556748</v>
      </c>
      <c r="O289" s="57" t="s">
        <v>61</v>
      </c>
      <c r="P289" s="58" t="s">
        <v>11</v>
      </c>
      <c r="Q289" s="58" t="s">
        <v>20</v>
      </c>
      <c r="R289" s="58" t="s">
        <v>11</v>
      </c>
      <c r="S289" s="58">
        <v>2012</v>
      </c>
      <c r="T289" s="58">
        <v>34.489365778884846</v>
      </c>
      <c r="U289" s="58">
        <v>29.890783675033532</v>
      </c>
      <c r="V289" s="58">
        <v>39.087947882736152</v>
      </c>
    </row>
    <row r="290" spans="1:22" x14ac:dyDescent="0.25">
      <c r="A290" s="11" t="s">
        <v>61</v>
      </c>
      <c r="B290" s="37" t="s">
        <v>24</v>
      </c>
      <c r="C290" s="37" t="s">
        <v>11</v>
      </c>
      <c r="D290" s="37" t="s">
        <v>11</v>
      </c>
      <c r="E290" s="11">
        <v>2012</v>
      </c>
      <c r="F290" s="44">
        <v>314.67878884157062</v>
      </c>
      <c r="G290" s="38"/>
      <c r="H290" s="38"/>
      <c r="I290" s="38"/>
      <c r="J290" s="3">
        <v>242.06060680120817</v>
      </c>
      <c r="K290" s="3">
        <v>387.29697088193308</v>
      </c>
      <c r="M290" s="21"/>
      <c r="O290" s="57" t="s">
        <v>61</v>
      </c>
      <c r="P290" s="58" t="s">
        <v>24</v>
      </c>
      <c r="Q290" s="58" t="s">
        <v>11</v>
      </c>
      <c r="R290" s="58" t="s">
        <v>11</v>
      </c>
      <c r="S290" s="58">
        <v>2012</v>
      </c>
      <c r="T290" s="58">
        <v>324.20003832151758</v>
      </c>
      <c r="U290" s="58">
        <v>280.97336654531523</v>
      </c>
      <c r="V290" s="58">
        <v>367.42671009771982</v>
      </c>
    </row>
    <row r="291" spans="1:22" x14ac:dyDescent="0.25">
      <c r="A291" s="11" t="s">
        <v>61</v>
      </c>
      <c r="B291" s="11" t="s">
        <v>11</v>
      </c>
      <c r="C291" s="37" t="s">
        <v>11</v>
      </c>
      <c r="D291" s="11" t="s">
        <v>11</v>
      </c>
      <c r="E291" s="11">
        <v>2013</v>
      </c>
      <c r="F291" s="44">
        <f>F292+F293</f>
        <v>586.86557252817863</v>
      </c>
      <c r="G291" s="38"/>
      <c r="H291" s="38"/>
      <c r="I291" s="38"/>
      <c r="J291" s="3">
        <f>J292+J293</f>
        <v>446.92070523299753</v>
      </c>
      <c r="K291" s="3">
        <f>K292+K293</f>
        <v>722.29608926545063</v>
      </c>
      <c r="M291" s="21"/>
      <c r="O291" s="57"/>
      <c r="P291" s="58"/>
      <c r="Q291" s="58"/>
      <c r="R291" s="58"/>
      <c r="S291" s="58"/>
      <c r="T291" s="58"/>
      <c r="U291" s="58"/>
      <c r="V291" s="58"/>
    </row>
    <row r="292" spans="1:22" x14ac:dyDescent="0.25">
      <c r="A292" s="11" t="s">
        <v>61</v>
      </c>
      <c r="B292" s="11" t="s">
        <v>11</v>
      </c>
      <c r="C292" s="37" t="s">
        <v>11</v>
      </c>
      <c r="D292" s="11" t="s">
        <v>12</v>
      </c>
      <c r="E292" s="11">
        <v>2013</v>
      </c>
      <c r="F292" s="44">
        <v>426.46822955423909</v>
      </c>
      <c r="G292" s="38"/>
      <c r="H292" s="38"/>
      <c r="I292" s="38"/>
      <c r="J292" s="3">
        <v>324.7719594297667</v>
      </c>
      <c r="K292" s="3">
        <v>524.88397483598658</v>
      </c>
      <c r="M292" s="1"/>
      <c r="O292" s="57" t="s">
        <v>61</v>
      </c>
      <c r="P292" s="58" t="s">
        <v>11</v>
      </c>
      <c r="Q292" s="58" t="s">
        <v>11</v>
      </c>
      <c r="R292" s="58" t="s">
        <v>12</v>
      </c>
      <c r="S292" s="58">
        <v>2013</v>
      </c>
      <c r="T292" s="58">
        <v>534.58516957271513</v>
      </c>
      <c r="U292" s="58">
        <v>463.30714696301976</v>
      </c>
      <c r="V292" s="58">
        <v>605.86319218241033</v>
      </c>
    </row>
    <row r="293" spans="1:22" x14ac:dyDescent="0.25">
      <c r="A293" s="11" t="s">
        <v>61</v>
      </c>
      <c r="B293" s="37" t="s">
        <v>11</v>
      </c>
      <c r="C293" s="37" t="s">
        <v>11</v>
      </c>
      <c r="D293" s="11" t="s">
        <v>15</v>
      </c>
      <c r="E293" s="11">
        <v>2013</v>
      </c>
      <c r="F293" s="44">
        <v>160.39734297393952</v>
      </c>
      <c r="G293" s="38"/>
      <c r="H293" s="38"/>
      <c r="I293" s="38"/>
      <c r="J293" s="3">
        <v>122.14874580323087</v>
      </c>
      <c r="K293" s="3">
        <v>197.41211442946403</v>
      </c>
      <c r="M293" s="1"/>
      <c r="O293" s="57" t="s">
        <v>61</v>
      </c>
      <c r="P293" s="58" t="s">
        <v>11</v>
      </c>
      <c r="Q293" s="58" t="s">
        <v>11</v>
      </c>
      <c r="R293" s="58" t="s">
        <v>15</v>
      </c>
      <c r="S293" s="58">
        <v>2013</v>
      </c>
      <c r="T293" s="58">
        <v>206.93619467330907</v>
      </c>
      <c r="U293" s="58">
        <v>179.34470205020119</v>
      </c>
      <c r="V293" s="58">
        <v>234.52768729641693</v>
      </c>
    </row>
    <row r="294" spans="1:22" x14ac:dyDescent="0.25">
      <c r="A294" s="11" t="s">
        <v>61</v>
      </c>
      <c r="B294" s="37" t="s">
        <v>11</v>
      </c>
      <c r="C294" s="37" t="s">
        <v>31</v>
      </c>
      <c r="D294" s="37" t="s">
        <v>11</v>
      </c>
      <c r="E294" s="11">
        <v>2013</v>
      </c>
      <c r="F294" s="44">
        <v>129.26138816135122</v>
      </c>
      <c r="G294" s="38"/>
      <c r="H294" s="38"/>
      <c r="I294" s="38"/>
      <c r="J294" s="3">
        <v>98.437518676721325</v>
      </c>
      <c r="K294" s="3">
        <v>159.09093927550921</v>
      </c>
      <c r="M294" s="1"/>
      <c r="O294" s="57" t="s">
        <v>61</v>
      </c>
      <c r="P294" s="58" t="s">
        <v>11</v>
      </c>
      <c r="Q294" s="58" t="s">
        <v>31</v>
      </c>
      <c r="R294" s="58" t="s">
        <v>11</v>
      </c>
      <c r="S294" s="58">
        <v>2013</v>
      </c>
      <c r="T294" s="58">
        <v>170.14753784249856</v>
      </c>
      <c r="U294" s="58">
        <v>147.46119946349876</v>
      </c>
      <c r="V294" s="58">
        <v>192.83387622149837</v>
      </c>
    </row>
    <row r="295" spans="1:22" x14ac:dyDescent="0.25">
      <c r="A295" s="11" t="s">
        <v>61</v>
      </c>
      <c r="B295" s="37" t="s">
        <v>11</v>
      </c>
      <c r="C295" s="37" t="s">
        <v>19</v>
      </c>
      <c r="D295" s="37" t="s">
        <v>11</v>
      </c>
      <c r="E295" s="11">
        <v>2013</v>
      </c>
      <c r="F295" s="44">
        <v>427.41174333643875</v>
      </c>
      <c r="G295" s="38"/>
      <c r="H295" s="38"/>
      <c r="I295" s="38"/>
      <c r="J295" s="3">
        <v>325.49048146390339</v>
      </c>
      <c r="K295" s="3">
        <v>526.04522256792461</v>
      </c>
      <c r="M295" s="1"/>
      <c r="O295" s="57" t="s">
        <v>61</v>
      </c>
      <c r="P295" s="58" t="s">
        <v>11</v>
      </c>
      <c r="Q295" s="58" t="s">
        <v>19</v>
      </c>
      <c r="R295" s="58" t="s">
        <v>11</v>
      </c>
      <c r="S295" s="58">
        <v>2013</v>
      </c>
      <c r="T295" s="58">
        <v>548.38091588426903</v>
      </c>
      <c r="U295" s="58">
        <v>475.26346043303317</v>
      </c>
      <c r="V295" s="58">
        <v>621.49837133550488</v>
      </c>
    </row>
    <row r="296" spans="1:22" x14ac:dyDescent="0.25">
      <c r="A296" s="11" t="s">
        <v>61</v>
      </c>
      <c r="B296" s="37" t="s">
        <v>11</v>
      </c>
      <c r="C296" s="37" t="s">
        <v>20</v>
      </c>
      <c r="D296" s="37" t="s">
        <v>11</v>
      </c>
      <c r="E296" s="11">
        <v>2013</v>
      </c>
      <c r="F296" s="44">
        <v>30.192441030388611</v>
      </c>
      <c r="G296" s="38"/>
      <c r="H296" s="38"/>
      <c r="I296" s="38"/>
      <c r="J296" s="3">
        <v>22.992705092372866</v>
      </c>
      <c r="K296" s="3">
        <v>37.15992742201675</v>
      </c>
      <c r="M296" s="1"/>
      <c r="O296" s="57" t="s">
        <v>61</v>
      </c>
      <c r="P296" s="58" t="s">
        <v>11</v>
      </c>
      <c r="Q296" s="58" t="s">
        <v>20</v>
      </c>
      <c r="R296" s="58" t="s">
        <v>11</v>
      </c>
      <c r="S296" s="58">
        <v>2013</v>
      </c>
      <c r="T296" s="58">
        <v>22.992910519256565</v>
      </c>
      <c r="U296" s="58">
        <v>19.927189116689021</v>
      </c>
      <c r="V296" s="58">
        <v>26.058631921824102</v>
      </c>
    </row>
    <row r="297" spans="1:22" x14ac:dyDescent="0.25">
      <c r="A297" s="11" t="s">
        <v>61</v>
      </c>
      <c r="B297" s="37" t="s">
        <v>24</v>
      </c>
      <c r="C297" s="37" t="s">
        <v>11</v>
      </c>
      <c r="D297" s="37" t="s">
        <v>11</v>
      </c>
      <c r="E297" s="11">
        <v>2013</v>
      </c>
      <c r="F297" s="44">
        <v>283.9976484420929</v>
      </c>
      <c r="G297" s="38"/>
      <c r="H297" s="38"/>
      <c r="I297" s="38"/>
      <c r="J297" s="3">
        <v>216.27513227513231</v>
      </c>
      <c r="K297" s="3">
        <v>349.53556731334515</v>
      </c>
      <c r="M297" s="1"/>
      <c r="O297" s="58" t="s">
        <v>61</v>
      </c>
      <c r="P297" s="58" t="s">
        <v>24</v>
      </c>
      <c r="Q297" s="58" t="s">
        <v>11</v>
      </c>
      <c r="R297" s="58" t="s">
        <v>11</v>
      </c>
      <c r="S297" s="58">
        <v>2013</v>
      </c>
      <c r="T297" s="58">
        <v>305.80570990611233</v>
      </c>
      <c r="U297" s="58">
        <v>265.03161525196401</v>
      </c>
      <c r="V297" s="58">
        <v>346.57980456026058</v>
      </c>
    </row>
    <row r="298" spans="1:22" x14ac:dyDescent="0.25">
      <c r="A298" s="11" t="s">
        <v>61</v>
      </c>
      <c r="B298" s="11" t="s">
        <v>11</v>
      </c>
      <c r="C298" s="37" t="s">
        <v>11</v>
      </c>
      <c r="D298" s="11" t="s">
        <v>11</v>
      </c>
      <c r="E298" s="11">
        <v>2014</v>
      </c>
      <c r="F298" s="44">
        <f>F299+F300</f>
        <v>538.55935256783346</v>
      </c>
      <c r="G298" s="38"/>
      <c r="H298" s="38"/>
      <c r="I298" s="38"/>
      <c r="J298" s="3">
        <f>J299+J300</f>
        <v>394.94352521641122</v>
      </c>
      <c r="K298" s="3">
        <f>K299+K300</f>
        <v>718.07913675711143</v>
      </c>
      <c r="M298" s="1"/>
      <c r="O298" s="58"/>
      <c r="P298" s="58"/>
      <c r="Q298" s="58"/>
      <c r="R298" s="58"/>
      <c r="S298" s="58"/>
      <c r="T298" s="58"/>
      <c r="U298" s="58"/>
      <c r="V298" s="58"/>
    </row>
    <row r="299" spans="1:22" x14ac:dyDescent="0.25">
      <c r="A299" s="37" t="s">
        <v>61</v>
      </c>
      <c r="B299" s="37" t="s">
        <v>11</v>
      </c>
      <c r="C299" s="37" t="s">
        <v>11</v>
      </c>
      <c r="D299" s="37" t="s">
        <v>12</v>
      </c>
      <c r="E299" s="37">
        <v>2014</v>
      </c>
      <c r="F299" s="47">
        <v>389.67434383747678</v>
      </c>
      <c r="G299" s="14"/>
      <c r="H299" s="14"/>
      <c r="I299" s="14"/>
      <c r="J299" s="1">
        <v>285.76118548081632</v>
      </c>
      <c r="K299" s="1">
        <v>519.56579178330242</v>
      </c>
      <c r="M299" s="1"/>
      <c r="O299" s="58" t="s">
        <v>61</v>
      </c>
      <c r="P299" s="58" t="s">
        <v>11</v>
      </c>
      <c r="Q299" s="58" t="s">
        <v>11</v>
      </c>
      <c r="R299" s="58" t="s">
        <v>12</v>
      </c>
      <c r="S299" s="58">
        <v>2014</v>
      </c>
      <c r="T299" s="58">
        <v>472.50431117072242</v>
      </c>
      <c r="U299" s="58">
        <v>409.50373634795938</v>
      </c>
      <c r="V299" s="58">
        <v>535.50488599348535</v>
      </c>
    </row>
    <row r="300" spans="1:22" x14ac:dyDescent="0.25">
      <c r="A300" s="37" t="s">
        <v>61</v>
      </c>
      <c r="B300" s="37" t="s">
        <v>11</v>
      </c>
      <c r="C300" s="37" t="s">
        <v>11</v>
      </c>
      <c r="D300" s="37" t="s">
        <v>15</v>
      </c>
      <c r="E300" s="37">
        <v>2014</v>
      </c>
      <c r="F300" s="47">
        <v>148.8850087303567</v>
      </c>
      <c r="G300" s="14"/>
      <c r="H300" s="14"/>
      <c r="I300" s="14"/>
      <c r="J300" s="1">
        <v>109.18233973559492</v>
      </c>
      <c r="K300" s="1">
        <v>198.51334497380896</v>
      </c>
      <c r="M300" s="1"/>
      <c r="O300" s="58" t="s">
        <v>61</v>
      </c>
      <c r="P300" s="58" t="s">
        <v>11</v>
      </c>
      <c r="Q300" s="58" t="s">
        <v>11</v>
      </c>
      <c r="R300" s="58" t="s">
        <v>15</v>
      </c>
      <c r="S300" s="58">
        <v>2014</v>
      </c>
      <c r="T300" s="58">
        <v>182.7936386280897</v>
      </c>
      <c r="U300" s="58">
        <v>158.42115347767771</v>
      </c>
      <c r="V300" s="58">
        <v>207.16612377850163</v>
      </c>
    </row>
    <row r="301" spans="1:22" x14ac:dyDescent="0.25">
      <c r="A301" s="37" t="s">
        <v>61</v>
      </c>
      <c r="B301" s="37" t="s">
        <v>11</v>
      </c>
      <c r="C301" s="37" t="s">
        <v>31</v>
      </c>
      <c r="D301" s="37" t="s">
        <v>11</v>
      </c>
      <c r="E301" s="37">
        <v>2014</v>
      </c>
      <c r="F301" s="47">
        <v>105.68997533327789</v>
      </c>
      <c r="G301" s="14"/>
      <c r="H301" s="14"/>
      <c r="I301" s="14"/>
      <c r="J301" s="1">
        <v>77.50598191107045</v>
      </c>
      <c r="K301" s="1">
        <v>140.91996711103718</v>
      </c>
      <c r="O301" s="58" t="s">
        <v>61</v>
      </c>
      <c r="P301" s="58" t="s">
        <v>11</v>
      </c>
      <c r="Q301" s="58" t="s">
        <v>31</v>
      </c>
      <c r="R301" s="58" t="s">
        <v>11</v>
      </c>
      <c r="S301" s="58">
        <v>2014</v>
      </c>
      <c r="T301" s="58">
        <v>119.56313470013413</v>
      </c>
      <c r="U301" s="58">
        <v>103.62138340678291</v>
      </c>
      <c r="V301" s="58">
        <v>135.50488599348535</v>
      </c>
    </row>
    <row r="302" spans="1:22" x14ac:dyDescent="0.25">
      <c r="A302" s="37" t="s">
        <v>61</v>
      </c>
      <c r="B302" s="37" t="s">
        <v>11</v>
      </c>
      <c r="C302" s="37" t="s">
        <v>19</v>
      </c>
      <c r="D302" s="37" t="s">
        <v>11</v>
      </c>
      <c r="E302" s="37">
        <v>2014</v>
      </c>
      <c r="F302" s="47">
        <v>401.62190626645599</v>
      </c>
      <c r="G302" s="14"/>
      <c r="H302" s="14"/>
      <c r="I302" s="14"/>
      <c r="J302" s="1">
        <v>294.52273126206774</v>
      </c>
      <c r="K302" s="1">
        <v>535.49587502194129</v>
      </c>
      <c r="O302" s="58" t="s">
        <v>61</v>
      </c>
      <c r="P302" s="58" t="s">
        <v>11</v>
      </c>
      <c r="Q302" s="58" t="s">
        <v>19</v>
      </c>
      <c r="R302" s="58" t="s">
        <v>11</v>
      </c>
      <c r="S302" s="58">
        <v>2014</v>
      </c>
      <c r="T302" s="58">
        <v>497.79651274190462</v>
      </c>
      <c r="U302" s="58">
        <v>431.42364437631733</v>
      </c>
      <c r="V302" s="58">
        <v>564.16938110749186</v>
      </c>
    </row>
    <row r="303" spans="1:22" x14ac:dyDescent="0.25">
      <c r="A303" s="37" t="s">
        <v>61</v>
      </c>
      <c r="B303" s="37" t="s">
        <v>11</v>
      </c>
      <c r="C303" s="37" t="s">
        <v>20</v>
      </c>
      <c r="D303" s="37" t="s">
        <v>11</v>
      </c>
      <c r="E303" s="37">
        <v>2014</v>
      </c>
      <c r="F303" s="47">
        <v>31.247470968099556</v>
      </c>
      <c r="G303" s="14"/>
      <c r="H303" s="14"/>
      <c r="I303" s="14"/>
      <c r="J303" s="1">
        <v>22.91481204327301</v>
      </c>
      <c r="K303" s="1">
        <v>41.663294624132746</v>
      </c>
      <c r="O303" s="58" t="s">
        <v>61</v>
      </c>
      <c r="P303" s="58" t="s">
        <v>11</v>
      </c>
      <c r="Q303" s="58" t="s">
        <v>20</v>
      </c>
      <c r="R303" s="58" t="s">
        <v>11</v>
      </c>
      <c r="S303" s="58">
        <v>2014</v>
      </c>
      <c r="T303" s="58">
        <v>37.938302356773328</v>
      </c>
      <c r="U303" s="58">
        <v>32.879862042536885</v>
      </c>
      <c r="V303" s="58">
        <v>42.99674267100977</v>
      </c>
    </row>
    <row r="304" spans="1:22" x14ac:dyDescent="0.25">
      <c r="A304" s="37" t="s">
        <v>61</v>
      </c>
      <c r="B304" s="37" t="s">
        <v>24</v>
      </c>
      <c r="C304" s="37" t="s">
        <v>11</v>
      </c>
      <c r="D304" s="37" t="s">
        <v>11</v>
      </c>
      <c r="E304" s="37">
        <v>2014</v>
      </c>
      <c r="F304" s="47">
        <v>279.38915218536067</v>
      </c>
      <c r="G304" s="14"/>
      <c r="H304" s="14"/>
      <c r="I304" s="14"/>
      <c r="J304" s="1">
        <v>204.88537826926452</v>
      </c>
      <c r="K304" s="1">
        <v>372.51886958048095</v>
      </c>
      <c r="O304" s="58" t="s">
        <v>61</v>
      </c>
      <c r="P304" s="58" t="s">
        <v>24</v>
      </c>
      <c r="Q304" s="58" t="s">
        <v>11</v>
      </c>
      <c r="R304" s="58" t="s">
        <v>11</v>
      </c>
      <c r="S304" s="58">
        <v>2014</v>
      </c>
      <c r="T304" s="58">
        <v>298.90783675033532</v>
      </c>
      <c r="U304" s="58">
        <v>259.05345851695728</v>
      </c>
      <c r="V304" s="58">
        <v>338.76221498371331</v>
      </c>
    </row>
    <row r="305" spans="1:22" x14ac:dyDescent="0.25">
      <c r="A305" s="11" t="s">
        <v>61</v>
      </c>
      <c r="B305" s="11" t="s">
        <v>11</v>
      </c>
      <c r="C305" s="37" t="s">
        <v>11</v>
      </c>
      <c r="D305" s="11" t="s">
        <v>11</v>
      </c>
      <c r="E305" s="11">
        <v>2015</v>
      </c>
      <c r="F305" s="44">
        <f>F306+F307</f>
        <v>487.94902632506046</v>
      </c>
      <c r="G305" s="38"/>
      <c r="H305" s="38"/>
      <c r="I305" s="38"/>
      <c r="J305" s="3">
        <f>J306+J307</f>
        <v>323.82071747026737</v>
      </c>
      <c r="K305" s="3">
        <f>K306+K307</f>
        <v>665.38503589780976</v>
      </c>
      <c r="O305" s="58"/>
      <c r="P305" s="58"/>
      <c r="Q305" s="58"/>
      <c r="R305" s="58"/>
      <c r="S305" s="58"/>
      <c r="T305" s="58"/>
      <c r="U305" s="58"/>
      <c r="V305" s="58"/>
    </row>
    <row r="306" spans="1:22" x14ac:dyDescent="0.25">
      <c r="A306" s="37" t="s">
        <v>61</v>
      </c>
      <c r="B306" s="37" t="s">
        <v>11</v>
      </c>
      <c r="C306" s="37" t="s">
        <v>11</v>
      </c>
      <c r="D306" s="37" t="s">
        <v>12</v>
      </c>
      <c r="E306" s="37">
        <v>2015</v>
      </c>
      <c r="F306" s="47">
        <v>355.44176780008991</v>
      </c>
      <c r="G306" s="14"/>
      <c r="H306" s="14"/>
      <c r="I306" s="14"/>
      <c r="J306" s="1">
        <v>235.88408226733239</v>
      </c>
      <c r="K306" s="1">
        <v>484.69331972739531</v>
      </c>
      <c r="O306" s="58" t="s">
        <v>61</v>
      </c>
      <c r="P306" s="58" t="s">
        <v>11</v>
      </c>
      <c r="Q306" s="58" t="s">
        <v>11</v>
      </c>
      <c r="R306" s="58" t="s">
        <v>12</v>
      </c>
      <c r="S306" s="58">
        <v>2015</v>
      </c>
      <c r="T306" s="58">
        <v>502.39509484575592</v>
      </c>
      <c r="U306" s="58">
        <v>435.40908219965513</v>
      </c>
      <c r="V306" s="58">
        <v>569.3811074918566</v>
      </c>
    </row>
    <row r="307" spans="1:22" x14ac:dyDescent="0.25">
      <c r="A307" s="37" t="s">
        <v>61</v>
      </c>
      <c r="B307" s="37" t="s">
        <v>11</v>
      </c>
      <c r="C307" s="37" t="s">
        <v>11</v>
      </c>
      <c r="D307" s="37" t="s">
        <v>15</v>
      </c>
      <c r="E307" s="37">
        <v>2015</v>
      </c>
      <c r="F307" s="47">
        <v>132.50725852497055</v>
      </c>
      <c r="G307" s="14"/>
      <c r="H307" s="14"/>
      <c r="I307" s="14"/>
      <c r="J307" s="1">
        <v>87.936635202934994</v>
      </c>
      <c r="K307" s="1">
        <v>180.6917161704144</v>
      </c>
      <c r="O307" s="58" t="s">
        <v>61</v>
      </c>
      <c r="P307" s="58" t="s">
        <v>11</v>
      </c>
      <c r="Q307" s="58" t="s">
        <v>11</v>
      </c>
      <c r="R307" s="58" t="s">
        <v>15</v>
      </c>
      <c r="S307" s="58">
        <v>2015</v>
      </c>
      <c r="T307" s="58">
        <v>185.09292968001535</v>
      </c>
      <c r="U307" s="58">
        <v>160.41387238934664</v>
      </c>
      <c r="V307" s="58">
        <v>209.77198697068403</v>
      </c>
    </row>
    <row r="308" spans="1:22" x14ac:dyDescent="0.25">
      <c r="A308" s="37" t="s">
        <v>61</v>
      </c>
      <c r="B308" s="37" t="s">
        <v>11</v>
      </c>
      <c r="C308" s="37" t="s">
        <v>31</v>
      </c>
      <c r="D308" s="37" t="s">
        <v>11</v>
      </c>
      <c r="E308" s="37">
        <v>2015</v>
      </c>
      <c r="F308" s="47">
        <v>100.27576320808581</v>
      </c>
      <c r="G308" s="14"/>
      <c r="H308" s="14"/>
      <c r="I308" s="14"/>
      <c r="J308" s="1">
        <v>66.546642856275128</v>
      </c>
      <c r="K308" s="1">
        <v>136.7396771019352</v>
      </c>
      <c r="O308" s="58" t="s">
        <v>61</v>
      </c>
      <c r="P308" s="58" t="s">
        <v>11</v>
      </c>
      <c r="Q308" s="58" t="s">
        <v>31</v>
      </c>
      <c r="R308" s="58" t="s">
        <v>11</v>
      </c>
      <c r="S308" s="58">
        <v>2015</v>
      </c>
      <c r="T308" s="58">
        <v>135.65817206361373</v>
      </c>
      <c r="U308" s="58">
        <v>117.57041578846523</v>
      </c>
      <c r="V308" s="58">
        <v>153.74592833876221</v>
      </c>
    </row>
    <row r="309" spans="1:22" x14ac:dyDescent="0.25">
      <c r="A309" s="37" t="s">
        <v>61</v>
      </c>
      <c r="B309" s="37" t="s">
        <v>11</v>
      </c>
      <c r="C309" s="37" t="s">
        <v>19</v>
      </c>
      <c r="D309" s="37" t="s">
        <v>11</v>
      </c>
      <c r="E309" s="37">
        <v>2015</v>
      </c>
      <c r="F309" s="47">
        <v>357.23240642880569</v>
      </c>
      <c r="G309" s="14"/>
      <c r="H309" s="14"/>
      <c r="I309" s="14"/>
      <c r="J309" s="1">
        <v>237.07241517548013</v>
      </c>
      <c r="K309" s="1">
        <v>487.13509967564408</v>
      </c>
      <c r="O309" s="58" t="s">
        <v>61</v>
      </c>
      <c r="P309" s="58" t="s">
        <v>11</v>
      </c>
      <c r="Q309" s="58" t="s">
        <v>19</v>
      </c>
      <c r="R309" s="58" t="s">
        <v>11</v>
      </c>
      <c r="S309" s="58">
        <v>2015</v>
      </c>
      <c r="T309" s="58">
        <v>520.78942326116123</v>
      </c>
      <c r="U309" s="58">
        <v>451.35083349300635</v>
      </c>
      <c r="V309" s="58">
        <v>590.22801302931589</v>
      </c>
    </row>
    <row r="310" spans="1:22" x14ac:dyDescent="0.25">
      <c r="A310" s="37" t="s">
        <v>61</v>
      </c>
      <c r="B310" s="37" t="s">
        <v>11</v>
      </c>
      <c r="C310" s="37" t="s">
        <v>20</v>
      </c>
      <c r="D310" s="37" t="s">
        <v>11</v>
      </c>
      <c r="E310" s="37">
        <v>2015</v>
      </c>
      <c r="F310" s="47">
        <v>30.440856688168907</v>
      </c>
      <c r="G310" s="14"/>
      <c r="H310" s="14"/>
      <c r="I310" s="14"/>
      <c r="J310" s="1">
        <v>20.201659438512092</v>
      </c>
      <c r="K310" s="1">
        <v>41.510259120230323</v>
      </c>
      <c r="O310" s="58" t="s">
        <v>61</v>
      </c>
      <c r="P310" s="58" t="s">
        <v>11</v>
      </c>
      <c r="Q310" s="58" t="s">
        <v>20</v>
      </c>
      <c r="R310" s="58" t="s">
        <v>11</v>
      </c>
      <c r="S310" s="58">
        <v>2015</v>
      </c>
      <c r="T310" s="58">
        <v>31.04042920099636</v>
      </c>
      <c r="U310" s="58">
        <v>26.901705307530179</v>
      </c>
      <c r="V310" s="58">
        <v>35.179153094462535</v>
      </c>
    </row>
    <row r="311" spans="1:22" x14ac:dyDescent="0.25">
      <c r="A311" s="37" t="s">
        <v>61</v>
      </c>
      <c r="B311" s="37" t="s">
        <v>24</v>
      </c>
      <c r="C311" s="37" t="s">
        <v>11</v>
      </c>
      <c r="D311" s="37" t="s">
        <v>11</v>
      </c>
      <c r="E311" s="37">
        <v>2015</v>
      </c>
      <c r="F311" s="47">
        <v>251.58472733457245</v>
      </c>
      <c r="G311" s="14"/>
      <c r="H311" s="14"/>
      <c r="I311" s="14"/>
      <c r="J311" s="1">
        <v>166.96077359476172</v>
      </c>
      <c r="K311" s="1">
        <v>343.0700827289624</v>
      </c>
      <c r="O311" s="58" t="s">
        <v>61</v>
      </c>
      <c r="P311" s="58" t="s">
        <v>24</v>
      </c>
      <c r="Q311" s="58" t="s">
        <v>11</v>
      </c>
      <c r="R311" s="58" t="s">
        <v>11</v>
      </c>
      <c r="S311" s="58">
        <v>2015</v>
      </c>
      <c r="T311" s="58">
        <v>254.07166123778504</v>
      </c>
      <c r="U311" s="58">
        <v>220.1954397394137</v>
      </c>
      <c r="V311" s="58">
        <v>287.94788273615632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23"/>
  <sheetViews>
    <sheetView zoomScale="80" zoomScaleNormal="80" workbookViewId="0">
      <pane ySplit="1" topLeftCell="A275" activePane="bottomLeft" state="frozen"/>
      <selection activeCell="E872" sqref="E872"/>
      <selection pane="bottomLeft" activeCell="K284" sqref="K284:L311"/>
    </sheetView>
  </sheetViews>
  <sheetFormatPr defaultRowHeight="15" x14ac:dyDescent="0.25"/>
  <cols>
    <col min="1" max="1" width="31.85546875" customWidth="1"/>
    <col min="2" max="2" width="15.140625" customWidth="1"/>
    <col min="3" max="3" width="18.28515625" customWidth="1"/>
    <col min="4" max="4" width="13.85546875" customWidth="1"/>
    <col min="6" max="6" width="23.7109375" style="37" customWidth="1"/>
    <col min="7" max="10" width="13.28515625" style="4" customWidth="1"/>
    <col min="11" max="11" width="17" customWidth="1"/>
    <col min="12" max="12" width="17.7109375" customWidth="1"/>
    <col min="13" max="13" width="17.7109375" style="37" customWidth="1"/>
    <col min="14" max="14" width="26.85546875" customWidth="1"/>
    <col min="15" max="15" width="25" customWidth="1"/>
    <col min="16" max="17" width="14.7109375" style="37" customWidth="1"/>
    <col min="18" max="21" width="9.140625" style="37"/>
    <col min="22" max="24" width="12.5703125" customWidth="1"/>
    <col min="25" max="25" width="11.5703125" customWidth="1"/>
    <col min="26" max="26" width="14.140625" customWidth="1"/>
    <col min="27" max="27" width="14" customWidth="1"/>
    <col min="28" max="30" width="12.5703125" customWidth="1"/>
    <col min="31" max="31" width="97.5703125" customWidth="1"/>
    <col min="32" max="32" width="9.85546875" customWidth="1"/>
    <col min="33" max="33" width="10.5703125" customWidth="1"/>
  </cols>
  <sheetData>
    <row r="1" spans="1:31" x14ac:dyDescent="0.25">
      <c r="A1" t="s">
        <v>0</v>
      </c>
      <c r="B1" t="s">
        <v>1</v>
      </c>
      <c r="C1" t="s">
        <v>2</v>
      </c>
      <c r="D1" t="s">
        <v>3</v>
      </c>
      <c r="E1" t="s">
        <v>4</v>
      </c>
      <c r="F1" s="37" t="s">
        <v>68</v>
      </c>
      <c r="G1" s="43" t="s">
        <v>55</v>
      </c>
      <c r="H1" s="64" t="s">
        <v>72</v>
      </c>
      <c r="I1" s="64" t="s">
        <v>73</v>
      </c>
      <c r="J1" s="64" t="s">
        <v>74</v>
      </c>
      <c r="K1" t="s">
        <v>53</v>
      </c>
      <c r="L1" t="s">
        <v>58</v>
      </c>
      <c r="M1" s="37" t="s">
        <v>67</v>
      </c>
      <c r="N1" t="s">
        <v>66</v>
      </c>
      <c r="V1" t="s">
        <v>5</v>
      </c>
      <c r="W1" t="s">
        <v>52</v>
      </c>
      <c r="X1" t="s">
        <v>46</v>
      </c>
      <c r="Y1" t="s">
        <v>44</v>
      </c>
      <c r="Z1" t="s">
        <v>45</v>
      </c>
      <c r="AA1" t="s">
        <v>51</v>
      </c>
      <c r="AE1" t="s">
        <v>9</v>
      </c>
    </row>
    <row r="2" spans="1:31" x14ac:dyDescent="0.25">
      <c r="A2" s="9" t="s">
        <v>71</v>
      </c>
      <c r="B2" s="9" t="s">
        <v>11</v>
      </c>
      <c r="C2" s="9" t="s">
        <v>11</v>
      </c>
      <c r="D2" s="9" t="s">
        <v>11</v>
      </c>
      <c r="E2" s="9">
        <v>2011</v>
      </c>
      <c r="F2" s="9"/>
      <c r="G2" s="44">
        <f>SUM(G3:G20)</f>
        <v>43643</v>
      </c>
      <c r="H2" s="38">
        <v>43641.740100000003</v>
      </c>
      <c r="I2" s="38">
        <v>43231.975000000006</v>
      </c>
      <c r="J2" s="38">
        <v>44047.025000000001</v>
      </c>
      <c r="K2" s="24">
        <f>SUM(K3:K20)</f>
        <v>45865.000000000007</v>
      </c>
      <c r="L2" s="9">
        <v>0.95155347214651698</v>
      </c>
      <c r="M2" s="9"/>
      <c r="N2" s="9"/>
      <c r="O2" s="9"/>
      <c r="P2" s="9"/>
      <c r="Q2" s="9"/>
      <c r="R2" s="9"/>
      <c r="S2" s="9"/>
      <c r="T2" s="9"/>
      <c r="U2" s="9"/>
      <c r="V2">
        <f>SUM(V3:V20)</f>
        <v>43936</v>
      </c>
      <c r="W2">
        <v>45373</v>
      </c>
    </row>
    <row r="3" spans="1:31" x14ac:dyDescent="0.25">
      <c r="A3" s="9" t="s">
        <v>71</v>
      </c>
      <c r="B3" t="s">
        <v>24</v>
      </c>
      <c r="C3" s="9" t="s">
        <v>31</v>
      </c>
      <c r="D3" s="11" t="s">
        <v>11</v>
      </c>
      <c r="E3">
        <v>2011</v>
      </c>
      <c r="G3" s="44">
        <f t="shared" ref="G3:G106" si="0">K3*L3</f>
        <v>14027.801286383954</v>
      </c>
      <c r="H3" s="38">
        <v>14026.052376496675</v>
      </c>
      <c r="I3" s="38">
        <v>13794.0488810647</v>
      </c>
      <c r="J3" s="38">
        <v>14257.905242666373</v>
      </c>
      <c r="K3" s="1">
        <v>14742</v>
      </c>
      <c r="L3">
        <v>0.95155347214651698</v>
      </c>
      <c r="V3">
        <f>33621-V4-V5</f>
        <v>14300</v>
      </c>
      <c r="W3" s="25">
        <f>$W$2*AA3</f>
        <v>14767.705298616171</v>
      </c>
      <c r="AA3" s="28">
        <f>V3/$V$2</f>
        <v>0.32547341587764023</v>
      </c>
      <c r="AE3" t="s">
        <v>47</v>
      </c>
    </row>
    <row r="4" spans="1:31" x14ac:dyDescent="0.25">
      <c r="A4" s="9" t="s">
        <v>71</v>
      </c>
      <c r="B4" t="s">
        <v>24</v>
      </c>
      <c r="C4" s="9" t="s">
        <v>19</v>
      </c>
      <c r="D4" s="11" t="s">
        <v>11</v>
      </c>
      <c r="E4">
        <v>2011</v>
      </c>
      <c r="G4" s="44">
        <f t="shared" si="0"/>
        <v>5716.9332606562739</v>
      </c>
      <c r="H4" s="38">
        <v>5716.7979287212074</v>
      </c>
      <c r="I4" s="38">
        <v>5572.3347249898825</v>
      </c>
      <c r="J4" s="38">
        <v>5864.9911743068697</v>
      </c>
      <c r="K4" s="1">
        <v>6008</v>
      </c>
      <c r="L4">
        <v>0.95155347214651698</v>
      </c>
      <c r="N4">
        <v>2011</v>
      </c>
      <c r="O4" t="s">
        <v>71</v>
      </c>
      <c r="P4" s="37" t="s">
        <v>31</v>
      </c>
      <c r="Q4" s="37" t="s">
        <v>11</v>
      </c>
      <c r="R4" s="37">
        <f>SUMIFS($G$2:$G$282,$E$2:$E$282,N4,$A$2:$A$282,O4,$C$2:$C$282,P4,$D$2:$D$282,Q4)</f>
        <v>15326.67177586395</v>
      </c>
      <c r="V4">
        <v>5949</v>
      </c>
      <c r="W4" s="25">
        <f t="shared" ref="W4:W20" si="1">$W$2*AA4</f>
        <v>6143.5719455571743</v>
      </c>
      <c r="AA4" s="28">
        <f t="shared" ref="AA4:AA20" si="2">V4/$V$2</f>
        <v>0.13540149308084487</v>
      </c>
      <c r="AE4" t="s">
        <v>48</v>
      </c>
    </row>
    <row r="5" spans="1:31" x14ac:dyDescent="0.25">
      <c r="A5" s="9" t="s">
        <v>71</v>
      </c>
      <c r="B5" t="s">
        <v>24</v>
      </c>
      <c r="C5" s="9" t="s">
        <v>20</v>
      </c>
      <c r="D5" s="11" t="s">
        <v>11</v>
      </c>
      <c r="E5">
        <v>2011</v>
      </c>
      <c r="G5" s="44">
        <f t="shared" si="0"/>
        <v>13414.049296849449</v>
      </c>
      <c r="H5" s="38">
        <v>13414.782858297513</v>
      </c>
      <c r="I5" s="38">
        <v>13191.925067958495</v>
      </c>
      <c r="J5" s="38">
        <v>13638.296349245087</v>
      </c>
      <c r="K5" s="1">
        <v>14097</v>
      </c>
      <c r="L5">
        <v>0.95155347214651698</v>
      </c>
      <c r="N5" s="37">
        <v>2011</v>
      </c>
      <c r="O5" s="37" t="s">
        <v>71</v>
      </c>
      <c r="P5" s="37" t="s">
        <v>19</v>
      </c>
      <c r="Q5" s="37" t="s">
        <v>11</v>
      </c>
      <c r="R5" s="37">
        <f t="shared" ref="R5:R48" si="3">SUMIFS($G$2:$G$282,$E$2:$E$282,N5,$A$2:$A$282,O5,$C$2:$C$282,P5,$D$2:$D$282,Q5)</f>
        <v>6405.8579744903518</v>
      </c>
      <c r="V5">
        <v>13372</v>
      </c>
      <c r="W5" s="25">
        <f t="shared" si="1"/>
        <v>13809.353514202476</v>
      </c>
      <c r="AA5" s="28">
        <f t="shared" si="2"/>
        <v>0.30435178441369265</v>
      </c>
    </row>
    <row r="6" spans="1:31" x14ac:dyDescent="0.25">
      <c r="A6" s="9" t="s">
        <v>71</v>
      </c>
      <c r="B6" t="s">
        <v>26</v>
      </c>
      <c r="C6" s="9" t="s">
        <v>31</v>
      </c>
      <c r="D6" s="11" t="s">
        <v>12</v>
      </c>
      <c r="E6">
        <v>2011</v>
      </c>
      <c r="G6" s="44">
        <f t="shared" si="0"/>
        <v>410.06434186623045</v>
      </c>
      <c r="H6" s="38">
        <v>409.58654608545868</v>
      </c>
      <c r="I6" s="38">
        <v>371.33342033864636</v>
      </c>
      <c r="J6" s="38">
        <v>449.36738449065678</v>
      </c>
      <c r="K6" s="1">
        <v>430.94198473282449</v>
      </c>
      <c r="L6">
        <v>0.95155347214651698</v>
      </c>
      <c r="N6" s="37">
        <v>2011</v>
      </c>
      <c r="O6" s="37" t="s">
        <v>71</v>
      </c>
      <c r="P6" s="37" t="s">
        <v>20</v>
      </c>
      <c r="Q6" s="37" t="s">
        <v>11</v>
      </c>
      <c r="R6" s="37">
        <f t="shared" si="3"/>
        <v>14446.48481412842</v>
      </c>
      <c r="V6">
        <f>1309-V7-V8</f>
        <v>399</v>
      </c>
      <c r="W6" s="25">
        <f t="shared" si="1"/>
        <v>412.04995903131828</v>
      </c>
      <c r="AA6" s="28">
        <f t="shared" si="2"/>
        <v>9.0813911143481432E-3</v>
      </c>
    </row>
    <row r="7" spans="1:31" x14ac:dyDescent="0.25">
      <c r="A7" s="9" t="s">
        <v>71</v>
      </c>
      <c r="B7" t="s">
        <v>26</v>
      </c>
      <c r="C7" s="9" t="s">
        <v>19</v>
      </c>
      <c r="D7" s="11" t="s">
        <v>12</v>
      </c>
      <c r="E7">
        <v>2011</v>
      </c>
      <c r="G7" s="44">
        <f t="shared" si="0"/>
        <v>478.75270139797937</v>
      </c>
      <c r="H7" s="38">
        <v>478.99078220561154</v>
      </c>
      <c r="I7" s="38">
        <v>436.37117515232393</v>
      </c>
      <c r="J7" s="38">
        <v>521.81147341066753</v>
      </c>
      <c r="K7" s="1">
        <v>503.12748091603061</v>
      </c>
      <c r="L7">
        <v>0.95155347214651698</v>
      </c>
      <c r="N7" s="37">
        <v>2011</v>
      </c>
      <c r="O7" s="37" t="s">
        <v>71</v>
      </c>
      <c r="P7" s="37" t="s">
        <v>31</v>
      </c>
      <c r="Q7" s="37" t="s">
        <v>12</v>
      </c>
      <c r="R7" s="37">
        <f t="shared" si="3"/>
        <v>604.37360096256305</v>
      </c>
      <c r="V7">
        <v>391</v>
      </c>
      <c r="W7" s="25">
        <f t="shared" si="1"/>
        <v>403.78830571740713</v>
      </c>
      <c r="AA7" s="28">
        <f t="shared" si="2"/>
        <v>8.8993080844865253E-3</v>
      </c>
    </row>
    <row r="8" spans="1:31" x14ac:dyDescent="0.25">
      <c r="A8" s="9" t="s">
        <v>71</v>
      </c>
      <c r="B8" t="s">
        <v>26</v>
      </c>
      <c r="C8" s="9" t="s">
        <v>20</v>
      </c>
      <c r="D8" s="11" t="s">
        <v>12</v>
      </c>
      <c r="E8">
        <v>2011</v>
      </c>
      <c r="G8" s="44">
        <f t="shared" si="0"/>
        <v>464.29199412813745</v>
      </c>
      <c r="H8" s="38">
        <v>464.60514358694525</v>
      </c>
      <c r="I8" s="38">
        <v>424.19598413105496</v>
      </c>
      <c r="J8" s="38">
        <v>507.95596821442905</v>
      </c>
      <c r="K8" s="1">
        <v>487.93053435114507</v>
      </c>
      <c r="L8">
        <v>0.95155347214651698</v>
      </c>
      <c r="N8" s="37">
        <v>2011</v>
      </c>
      <c r="O8" s="37" t="s">
        <v>71</v>
      </c>
      <c r="P8" s="37" t="s">
        <v>19</v>
      </c>
      <c r="Q8" s="37" t="s">
        <v>12</v>
      </c>
      <c r="R8" s="37">
        <f t="shared" si="3"/>
        <v>841.77107962330911</v>
      </c>
      <c r="V8">
        <v>519</v>
      </c>
      <c r="W8" s="25">
        <f t="shared" si="1"/>
        <v>535.97475873998542</v>
      </c>
      <c r="AA8" s="28">
        <f t="shared" si="2"/>
        <v>1.1812636562272397E-2</v>
      </c>
    </row>
    <row r="9" spans="1:31" x14ac:dyDescent="0.25">
      <c r="A9" s="9" t="s">
        <v>71</v>
      </c>
      <c r="B9" t="s">
        <v>26</v>
      </c>
      <c r="C9" s="9" t="s">
        <v>31</v>
      </c>
      <c r="D9" t="s">
        <v>15</v>
      </c>
      <c r="E9">
        <v>2011</v>
      </c>
      <c r="G9" s="44">
        <f t="shared" si="0"/>
        <v>345.46911501810411</v>
      </c>
      <c r="H9" s="38">
        <v>345.59057483743294</v>
      </c>
      <c r="I9" s="38">
        <v>310.3039869527334</v>
      </c>
      <c r="J9" s="38">
        <v>382.68034669976043</v>
      </c>
      <c r="K9" s="1">
        <v>363.05801526717556</v>
      </c>
      <c r="L9">
        <v>0.95155347214651698</v>
      </c>
      <c r="N9" s="37">
        <v>2011</v>
      </c>
      <c r="O9" s="37" t="s">
        <v>71</v>
      </c>
      <c r="P9" s="37" t="s">
        <v>20</v>
      </c>
      <c r="Q9" s="37" t="s">
        <v>12</v>
      </c>
      <c r="R9" s="37">
        <f t="shared" si="3"/>
        <v>1003.1539567192626</v>
      </c>
      <c r="V9">
        <f>1072-V10-V11</f>
        <v>330</v>
      </c>
      <c r="W9" s="25">
        <f t="shared" si="1"/>
        <v>340.79319919883466</v>
      </c>
      <c r="AA9" s="28">
        <f t="shared" si="2"/>
        <v>7.510924981791697E-3</v>
      </c>
    </row>
    <row r="10" spans="1:31" x14ac:dyDescent="0.25">
      <c r="A10" s="9" t="s">
        <v>71</v>
      </c>
      <c r="B10" t="s">
        <v>26</v>
      </c>
      <c r="C10" s="9" t="s">
        <v>19</v>
      </c>
      <c r="D10" t="s">
        <v>15</v>
      </c>
      <c r="E10">
        <v>2011</v>
      </c>
      <c r="G10" s="44">
        <f t="shared" si="0"/>
        <v>403.33736728184192</v>
      </c>
      <c r="H10" s="38">
        <v>403.38276435566803</v>
      </c>
      <c r="I10" s="38">
        <v>365.13795375966089</v>
      </c>
      <c r="J10" s="38">
        <v>443.14775691851651</v>
      </c>
      <c r="K10" s="1">
        <v>423.87251908396945</v>
      </c>
      <c r="L10">
        <v>0.95155347214651698</v>
      </c>
      <c r="N10" s="37">
        <v>2011</v>
      </c>
      <c r="O10" s="37" t="s">
        <v>71</v>
      </c>
      <c r="P10" s="37" t="s">
        <v>31</v>
      </c>
      <c r="Q10" s="37" t="s">
        <v>15</v>
      </c>
      <c r="R10" s="37">
        <f t="shared" si="3"/>
        <v>1032.2983711294462</v>
      </c>
      <c r="V10">
        <v>448</v>
      </c>
      <c r="W10" s="25">
        <f t="shared" si="1"/>
        <v>462.65258557902399</v>
      </c>
      <c r="AA10" s="28">
        <f t="shared" si="2"/>
        <v>1.0196649672250545E-2</v>
      </c>
    </row>
    <row r="11" spans="1:31" x14ac:dyDescent="0.25">
      <c r="A11" s="9" t="s">
        <v>71</v>
      </c>
      <c r="B11" t="s">
        <v>26</v>
      </c>
      <c r="C11" s="9" t="s">
        <v>20</v>
      </c>
      <c r="D11" t="s">
        <v>15</v>
      </c>
      <c r="E11">
        <v>2011</v>
      </c>
      <c r="G11" s="44">
        <f t="shared" si="0"/>
        <v>391.15457733158138</v>
      </c>
      <c r="H11" s="38">
        <v>391.05592899429689</v>
      </c>
      <c r="I11" s="38">
        <v>353.57083914033871</v>
      </c>
      <c r="J11" s="38">
        <v>430.5305384059252</v>
      </c>
      <c r="K11" s="1">
        <v>411.06946564885499</v>
      </c>
      <c r="L11">
        <v>0.95155347214651698</v>
      </c>
      <c r="N11" s="37">
        <v>2011</v>
      </c>
      <c r="O11" s="37" t="s">
        <v>71</v>
      </c>
      <c r="P11" s="37" t="s">
        <v>19</v>
      </c>
      <c r="Q11" s="37" t="s">
        <v>15</v>
      </c>
      <c r="R11" s="37">
        <f t="shared" si="3"/>
        <v>1686.5064958699863</v>
      </c>
      <c r="V11">
        <v>294</v>
      </c>
      <c r="W11" s="25">
        <f t="shared" si="1"/>
        <v>303.61575928623449</v>
      </c>
      <c r="AA11" s="28">
        <f t="shared" si="2"/>
        <v>6.6915513474144206E-3</v>
      </c>
    </row>
    <row r="12" spans="1:31" x14ac:dyDescent="0.25">
      <c r="A12" s="9" t="s">
        <v>71</v>
      </c>
      <c r="B12" t="s">
        <v>27</v>
      </c>
      <c r="C12" s="9" t="s">
        <v>31</v>
      </c>
      <c r="D12" s="11" t="s">
        <v>11</v>
      </c>
      <c r="E12">
        <v>2011</v>
      </c>
      <c r="G12" s="44">
        <f t="shared" si="0"/>
        <v>1298.8704894799957</v>
      </c>
      <c r="H12" s="38">
        <v>1298.8206577536616</v>
      </c>
      <c r="I12" s="38">
        <v>1227.6569916705043</v>
      </c>
      <c r="J12" s="38">
        <v>1369.5545420866749</v>
      </c>
      <c r="K12" s="1">
        <v>1365</v>
      </c>
      <c r="L12">
        <v>0.95155347214651698</v>
      </c>
      <c r="N12" s="37">
        <v>2011</v>
      </c>
      <c r="O12" s="37" t="s">
        <v>71</v>
      </c>
      <c r="P12" s="37" t="s">
        <v>20</v>
      </c>
      <c r="Q12" s="37" t="s">
        <v>15</v>
      </c>
      <c r="R12" s="37">
        <f t="shared" si="3"/>
        <v>2295.8819312127116</v>
      </c>
      <c r="V12">
        <f>2773-V13-V14</f>
        <v>1248</v>
      </c>
      <c r="W12" s="25">
        <f t="shared" si="1"/>
        <v>1288.8179169701384</v>
      </c>
      <c r="AA12" s="28">
        <f t="shared" si="2"/>
        <v>2.8404952658412235E-2</v>
      </c>
    </row>
    <row r="13" spans="1:31" x14ac:dyDescent="0.25">
      <c r="A13" s="9" t="s">
        <v>71</v>
      </c>
      <c r="B13" t="s">
        <v>27</v>
      </c>
      <c r="C13" s="9" t="s">
        <v>19</v>
      </c>
      <c r="D13" s="11" t="s">
        <v>11</v>
      </c>
      <c r="E13">
        <v>2011</v>
      </c>
      <c r="G13" s="44">
        <f t="shared" si="0"/>
        <v>688.92471383407826</v>
      </c>
      <c r="H13" s="38">
        <v>689.26445830472062</v>
      </c>
      <c r="I13" s="38">
        <v>638.68567156838185</v>
      </c>
      <c r="J13" s="38">
        <v>742.13284472782334</v>
      </c>
      <c r="K13" s="1">
        <v>724</v>
      </c>
      <c r="L13">
        <v>0.95155347214651698</v>
      </c>
      <c r="N13">
        <v>2012</v>
      </c>
      <c r="O13" s="37" t="s">
        <v>71</v>
      </c>
      <c r="P13" s="37" t="s">
        <v>31</v>
      </c>
      <c r="Q13" s="37" t="s">
        <v>11</v>
      </c>
      <c r="R13" s="37">
        <f t="shared" si="3"/>
        <v>15607.19653652393</v>
      </c>
      <c r="V13">
        <v>643</v>
      </c>
      <c r="W13" s="25">
        <f t="shared" si="1"/>
        <v>664.03038510560816</v>
      </c>
      <c r="AA13" s="28">
        <f t="shared" si="2"/>
        <v>1.4634923525127458E-2</v>
      </c>
    </row>
    <row r="14" spans="1:31" x14ac:dyDescent="0.25">
      <c r="A14" s="9" t="s">
        <v>71</v>
      </c>
      <c r="B14" t="s">
        <v>27</v>
      </c>
      <c r="C14" s="9" t="s">
        <v>20</v>
      </c>
      <c r="D14" s="11" t="s">
        <v>11</v>
      </c>
      <c r="E14">
        <v>2011</v>
      </c>
      <c r="G14" s="44">
        <f t="shared" si="0"/>
        <v>1032.435517278971</v>
      </c>
      <c r="H14" s="38">
        <v>1032.7525494288773</v>
      </c>
      <c r="I14" s="38">
        <v>972.41530719798129</v>
      </c>
      <c r="J14" s="38">
        <v>1095.8738377414008</v>
      </c>
      <c r="K14" s="1">
        <v>1085</v>
      </c>
      <c r="L14">
        <v>0.95155347214651698</v>
      </c>
      <c r="N14" s="37">
        <v>2012</v>
      </c>
      <c r="O14" s="37" t="s">
        <v>71</v>
      </c>
      <c r="P14" s="37" t="s">
        <v>19</v>
      </c>
      <c r="Q14" s="37" t="s">
        <v>11</v>
      </c>
      <c r="R14" s="37">
        <f t="shared" si="3"/>
        <v>6654.3118073047863</v>
      </c>
      <c r="V14">
        <v>882</v>
      </c>
      <c r="W14" s="25">
        <f t="shared" si="1"/>
        <v>910.84727785870348</v>
      </c>
      <c r="AA14" s="28">
        <f t="shared" si="2"/>
        <v>2.0074654042243262E-2</v>
      </c>
    </row>
    <row r="15" spans="1:31" x14ac:dyDescent="0.25">
      <c r="A15" s="9" t="s">
        <v>71</v>
      </c>
      <c r="B15" t="s">
        <v>28</v>
      </c>
      <c r="C15" t="s">
        <v>31</v>
      </c>
      <c r="D15" t="s">
        <v>12</v>
      </c>
      <c r="E15">
        <v>2011</v>
      </c>
      <c r="G15" s="44">
        <f t="shared" si="0"/>
        <v>194.30925909633257</v>
      </c>
      <c r="H15" s="38">
        <v>194.39870608937079</v>
      </c>
      <c r="I15" s="38">
        <v>168.13979240621961</v>
      </c>
      <c r="J15" s="38">
        <v>222.49329625526914</v>
      </c>
      <c r="K15" s="1">
        <v>204.20214395099541</v>
      </c>
      <c r="L15">
        <v>0.95155347214651698</v>
      </c>
      <c r="N15" s="37">
        <v>2012</v>
      </c>
      <c r="O15" s="37" t="s">
        <v>71</v>
      </c>
      <c r="P15" s="37" t="s">
        <v>20</v>
      </c>
      <c r="Q15" s="37" t="s">
        <v>11</v>
      </c>
      <c r="R15" s="37">
        <f t="shared" si="3"/>
        <v>15224.73217884131</v>
      </c>
      <c r="V15">
        <f>38874-V16-V17-V3-V4-V5-V6-V7-V8-V12-V13-V14</f>
        <v>224</v>
      </c>
      <c r="W15" s="25">
        <f t="shared" si="1"/>
        <v>231.326292789512</v>
      </c>
      <c r="AA15" s="28">
        <f t="shared" si="2"/>
        <v>5.0983248361252727E-3</v>
      </c>
    </row>
    <row r="16" spans="1:31" x14ac:dyDescent="0.25">
      <c r="A16" s="9" t="s">
        <v>71</v>
      </c>
      <c r="B16" t="s">
        <v>28</v>
      </c>
      <c r="C16" t="s">
        <v>19</v>
      </c>
      <c r="D16" t="s">
        <v>12</v>
      </c>
      <c r="E16">
        <v>2011</v>
      </c>
      <c r="G16" s="44">
        <f t="shared" si="0"/>
        <v>363.01837822532974</v>
      </c>
      <c r="H16" s="38">
        <v>362.74612375913102</v>
      </c>
      <c r="I16" s="38">
        <v>326.08585652693193</v>
      </c>
      <c r="J16" s="38">
        <v>401.06000057861644</v>
      </c>
      <c r="K16" s="1">
        <v>381.50076569678407</v>
      </c>
      <c r="L16">
        <v>0.95155347214651698</v>
      </c>
      <c r="N16" s="37">
        <v>2012</v>
      </c>
      <c r="O16" s="37" t="s">
        <v>71</v>
      </c>
      <c r="P16" s="37" t="s">
        <v>31</v>
      </c>
      <c r="Q16" s="37" t="s">
        <v>12</v>
      </c>
      <c r="R16" s="37">
        <f t="shared" si="3"/>
        <v>613.24465427447331</v>
      </c>
      <c r="V16">
        <f>7294-5949-391-643</f>
        <v>311</v>
      </c>
      <c r="W16" s="25">
        <f t="shared" si="1"/>
        <v>321.1717725782957</v>
      </c>
      <c r="AA16" s="28">
        <f t="shared" si="2"/>
        <v>7.0784777858703572E-3</v>
      </c>
    </row>
    <row r="17" spans="1:32" x14ac:dyDescent="0.25">
      <c r="A17" s="9" t="s">
        <v>71</v>
      </c>
      <c r="B17" t="s">
        <v>28</v>
      </c>
      <c r="C17" t="s">
        <v>20</v>
      </c>
      <c r="D17" t="s">
        <v>12</v>
      </c>
      <c r="E17">
        <v>2011</v>
      </c>
      <c r="G17" s="44">
        <f t="shared" si="0"/>
        <v>538.86196259112523</v>
      </c>
      <c r="H17" s="38">
        <v>538.44238639162529</v>
      </c>
      <c r="I17" s="38">
        <v>494.12973223096139</v>
      </c>
      <c r="J17" s="38">
        <v>584.85700339575396</v>
      </c>
      <c r="K17" s="1">
        <v>566.29709035222049</v>
      </c>
      <c r="L17">
        <v>0.95155347214651698</v>
      </c>
      <c r="N17" s="37">
        <v>2012</v>
      </c>
      <c r="O17" s="37" t="s">
        <v>71</v>
      </c>
      <c r="P17" s="37" t="s">
        <v>19</v>
      </c>
      <c r="Q17" s="37" t="s">
        <v>12</v>
      </c>
      <c r="R17" s="37">
        <f t="shared" si="3"/>
        <v>861.38838609887966</v>
      </c>
      <c r="V17">
        <f>15409-13372-519-882</f>
        <v>636</v>
      </c>
      <c r="W17" s="25">
        <f t="shared" si="1"/>
        <v>656.80143845593591</v>
      </c>
      <c r="AA17" s="28">
        <f t="shared" si="2"/>
        <v>1.4475600873998544E-2</v>
      </c>
    </row>
    <row r="18" spans="1:32" x14ac:dyDescent="0.25">
      <c r="A18" s="9" t="s">
        <v>71</v>
      </c>
      <c r="B18" t="s">
        <v>28</v>
      </c>
      <c r="C18" t="s">
        <v>31</v>
      </c>
      <c r="D18" t="s">
        <v>15</v>
      </c>
      <c r="E18">
        <v>2011</v>
      </c>
      <c r="G18" s="44">
        <f t="shared" si="0"/>
        <v>686.82925611134215</v>
      </c>
      <c r="H18" s="38">
        <v>686.62930750161615</v>
      </c>
      <c r="I18" s="38">
        <v>636.79697213467057</v>
      </c>
      <c r="J18" s="38">
        <v>738.77327476977132</v>
      </c>
      <c r="K18" s="1">
        <v>721.79785604900462</v>
      </c>
      <c r="L18">
        <v>0.95155347214651698</v>
      </c>
      <c r="N18" s="37">
        <v>2012</v>
      </c>
      <c r="O18" s="37" t="s">
        <v>71</v>
      </c>
      <c r="P18" s="37" t="s">
        <v>20</v>
      </c>
      <c r="Q18" s="37" t="s">
        <v>12</v>
      </c>
      <c r="R18" s="37">
        <f t="shared" si="3"/>
        <v>1015.9131814651797</v>
      </c>
      <c r="V18">
        <f>5062-V19-V20-V9-V10-V11</f>
        <v>667</v>
      </c>
      <c r="W18" s="25">
        <f t="shared" si="1"/>
        <v>688.81534504734157</v>
      </c>
      <c r="AA18" s="28">
        <f t="shared" si="2"/>
        <v>1.5181172614712309E-2</v>
      </c>
    </row>
    <row r="19" spans="1:32" x14ac:dyDescent="0.25">
      <c r="A19" s="9" t="s">
        <v>71</v>
      </c>
      <c r="B19" t="s">
        <v>28</v>
      </c>
      <c r="C19" t="s">
        <v>19</v>
      </c>
      <c r="D19" t="s">
        <v>15</v>
      </c>
      <c r="E19">
        <v>2011</v>
      </c>
      <c r="G19" s="44">
        <f t="shared" si="0"/>
        <v>1283.1691285881445</v>
      </c>
      <c r="H19" s="38">
        <v>1283.1787927290839</v>
      </c>
      <c r="I19" s="38">
        <v>1214.8488748197178</v>
      </c>
      <c r="J19" s="38">
        <v>1351.5458246645819</v>
      </c>
      <c r="K19" s="1">
        <v>1348.4992343032159</v>
      </c>
      <c r="L19">
        <v>0.95155347214651698</v>
      </c>
      <c r="N19" s="37">
        <v>2012</v>
      </c>
      <c r="O19" s="37" t="s">
        <v>71</v>
      </c>
      <c r="P19" s="37" t="s">
        <v>31</v>
      </c>
      <c r="Q19" s="37" t="s">
        <v>15</v>
      </c>
      <c r="R19" s="37">
        <f t="shared" si="3"/>
        <v>1053.8833998816981</v>
      </c>
      <c r="V19">
        <f>1834-448</f>
        <v>1386</v>
      </c>
      <c r="W19" s="25">
        <f t="shared" si="1"/>
        <v>1431.3314366351055</v>
      </c>
      <c r="AA19" s="28">
        <f t="shared" si="2"/>
        <v>3.1545884923525128E-2</v>
      </c>
    </row>
    <row r="20" spans="1:32" ht="15.75" thickBot="1" x14ac:dyDescent="0.3">
      <c r="A20" s="9" t="s">
        <v>71</v>
      </c>
      <c r="B20" s="6" t="s">
        <v>28</v>
      </c>
      <c r="C20" s="6" t="s">
        <v>20</v>
      </c>
      <c r="D20" s="6" t="s">
        <v>15</v>
      </c>
      <c r="E20" s="6">
        <v>2011</v>
      </c>
      <c r="F20" s="6"/>
      <c r="G20" s="45">
        <f t="shared" si="0"/>
        <v>1904.7273538811303</v>
      </c>
      <c r="H20" s="65">
        <v>1904.662214461106</v>
      </c>
      <c r="I20" s="65">
        <v>1821.1766879632621</v>
      </c>
      <c r="J20" s="65">
        <v>1992.1914391116547</v>
      </c>
      <c r="K20" s="42">
        <v>2001.7029096477795</v>
      </c>
      <c r="L20" s="6">
        <v>0.95155347214651698</v>
      </c>
      <c r="M20" s="6"/>
      <c r="N20" s="37">
        <v>2012</v>
      </c>
      <c r="O20" s="37" t="s">
        <v>71</v>
      </c>
      <c r="P20" s="37" t="s">
        <v>19</v>
      </c>
      <c r="Q20" s="37" t="s">
        <v>15</v>
      </c>
      <c r="R20" s="37">
        <f t="shared" si="3"/>
        <v>1726.8728859414227</v>
      </c>
      <c r="S20" s="6"/>
      <c r="T20" s="6"/>
      <c r="U20" s="6"/>
      <c r="V20" s="6">
        <f>2231-294</f>
        <v>1937</v>
      </c>
      <c r="W20" s="30">
        <f t="shared" si="1"/>
        <v>2000.3528086307356</v>
      </c>
      <c r="X20" s="6"/>
      <c r="Y20" s="6"/>
      <c r="Z20" s="6"/>
      <c r="AA20" s="29">
        <f t="shared" si="2"/>
        <v>4.4086853605243989E-2</v>
      </c>
      <c r="AB20" s="6"/>
      <c r="AC20" s="6"/>
      <c r="AD20" s="6"/>
      <c r="AE20" s="6"/>
    </row>
    <row r="21" spans="1:32" x14ac:dyDescent="0.25">
      <c r="A21" s="9" t="s">
        <v>71</v>
      </c>
      <c r="B21" s="9" t="s">
        <v>11</v>
      </c>
      <c r="C21" s="9" t="s">
        <v>11</v>
      </c>
      <c r="D21" s="9" t="s">
        <v>11</v>
      </c>
      <c r="E21" s="9">
        <v>2012</v>
      </c>
      <c r="F21" s="9"/>
      <c r="G21" s="44">
        <f>SUM(G22:G24,G26:G31,G33:G35,G36:G41)</f>
        <v>45100.5</v>
      </c>
      <c r="H21" s="38">
        <v>45099.404900000001</v>
      </c>
      <c r="I21" s="38">
        <v>44675</v>
      </c>
      <c r="J21" s="38">
        <v>45516.025000000001</v>
      </c>
      <c r="K21" s="24">
        <f>SUM(K22:K24,K25,K32,K36:K41)</f>
        <v>47640</v>
      </c>
      <c r="L21" s="9">
        <v>0.94669395465994965</v>
      </c>
      <c r="M21" s="9"/>
      <c r="N21" s="37">
        <v>2012</v>
      </c>
      <c r="O21" s="37" t="s">
        <v>71</v>
      </c>
      <c r="P21" s="37" t="s">
        <v>20</v>
      </c>
      <c r="Q21" s="37" t="s">
        <v>15</v>
      </c>
      <c r="R21" s="37">
        <f t="shared" si="3"/>
        <v>2342.9569696683216</v>
      </c>
      <c r="S21" s="9"/>
      <c r="T21" s="9"/>
      <c r="U21" s="9"/>
      <c r="V21" s="9">
        <f>SUM(V22:V41)</f>
        <v>44821</v>
      </c>
      <c r="W21" s="9">
        <v>47005</v>
      </c>
      <c r="X21" s="9"/>
      <c r="Y21" s="9"/>
      <c r="Z21" s="9"/>
      <c r="AA21" s="9"/>
      <c r="AB21" s="9"/>
      <c r="AC21" s="9"/>
      <c r="AD21" s="9"/>
      <c r="AE21" s="9"/>
    </row>
    <row r="22" spans="1:32" x14ac:dyDescent="0.25">
      <c r="A22" s="9" t="s">
        <v>71</v>
      </c>
      <c r="B22" s="9" t="s">
        <v>24</v>
      </c>
      <c r="C22" s="9" t="s">
        <v>31</v>
      </c>
      <c r="D22" s="9" t="s">
        <v>11</v>
      </c>
      <c r="E22" s="9">
        <v>2012</v>
      </c>
      <c r="F22" s="9"/>
      <c r="G22" s="44">
        <f t="shared" si="0"/>
        <v>14311.172512594459</v>
      </c>
      <c r="H22" s="38">
        <v>14311.859686105294</v>
      </c>
      <c r="I22" s="38">
        <v>14076.592307740946</v>
      </c>
      <c r="J22" s="38">
        <v>14550.141236880236</v>
      </c>
      <c r="K22" s="24">
        <v>15117</v>
      </c>
      <c r="L22" s="9">
        <v>0.94669395465994965</v>
      </c>
      <c r="M22" s="9"/>
      <c r="N22" s="9">
        <v>2013</v>
      </c>
      <c r="O22" s="37" t="s">
        <v>71</v>
      </c>
      <c r="P22" s="37" t="s">
        <v>31</v>
      </c>
      <c r="Q22" s="37" t="s">
        <v>11</v>
      </c>
      <c r="R22" s="37">
        <f t="shared" si="3"/>
        <v>15941.501035133655</v>
      </c>
      <c r="S22" s="9"/>
      <c r="T22" s="9"/>
      <c r="U22" s="9"/>
      <c r="V22">
        <f>12824+1401</f>
        <v>14225</v>
      </c>
      <c r="W22" s="25">
        <f>$W$21*AA22</f>
        <v>14918.14383882555</v>
      </c>
      <c r="Y22" s="16">
        <f>V22/SUM($V$22:$V$24)</f>
        <v>0.41228298988493756</v>
      </c>
      <c r="Z22" s="16"/>
      <c r="AA22" s="19">
        <f>V22/$V$21</f>
        <v>0.31737355257580152</v>
      </c>
      <c r="AF22" s="9"/>
    </row>
    <row r="23" spans="1:32" x14ac:dyDescent="0.25">
      <c r="A23" s="9" t="s">
        <v>71</v>
      </c>
      <c r="B23" s="9" t="s">
        <v>24</v>
      </c>
      <c r="C23" s="9" t="s">
        <v>19</v>
      </c>
      <c r="D23" s="9" t="s">
        <v>11</v>
      </c>
      <c r="E23" s="9">
        <v>2012</v>
      </c>
      <c r="F23" s="9"/>
      <c r="G23" s="44">
        <f t="shared" si="0"/>
        <v>5966.0653022670031</v>
      </c>
      <c r="H23" s="38">
        <v>5965.6958471839289</v>
      </c>
      <c r="I23" s="38">
        <v>5816.5427047441799</v>
      </c>
      <c r="J23" s="38">
        <v>6119.0865217010742</v>
      </c>
      <c r="K23" s="24">
        <v>6302</v>
      </c>
      <c r="L23" s="9">
        <v>0.94669395465994965</v>
      </c>
      <c r="M23" s="9"/>
      <c r="N23" s="9">
        <v>2013</v>
      </c>
      <c r="O23" s="37" t="s">
        <v>71</v>
      </c>
      <c r="P23" s="37" t="s">
        <v>19</v>
      </c>
      <c r="Q23" s="37" t="s">
        <v>11</v>
      </c>
      <c r="R23" s="37">
        <f t="shared" si="3"/>
        <v>6864.3690860378738</v>
      </c>
      <c r="S23" s="9"/>
      <c r="T23" s="9"/>
      <c r="U23" s="9"/>
      <c r="V23">
        <v>6049</v>
      </c>
      <c r="W23" s="25">
        <f t="shared" ref="W23:W41" si="4">$W$21*AA23</f>
        <v>6343.7505856629705</v>
      </c>
      <c r="Y23" s="16">
        <f t="shared" ref="Y23:Y24" si="5">V23/SUM($V$22:$V$24)</f>
        <v>0.17531808828217837</v>
      </c>
      <c r="Z23" s="16"/>
      <c r="AA23" s="19">
        <f t="shared" ref="AA23:AA41" si="6">V23/$V$21</f>
        <v>0.13495905936949198</v>
      </c>
      <c r="AF23" s="9"/>
    </row>
    <row r="24" spans="1:32" x14ac:dyDescent="0.25">
      <c r="A24" s="9" t="s">
        <v>71</v>
      </c>
      <c r="B24" s="9" t="s">
        <v>24</v>
      </c>
      <c r="C24" s="9" t="s">
        <v>20</v>
      </c>
      <c r="D24" s="9" t="s">
        <v>11</v>
      </c>
      <c r="E24" s="9">
        <v>2012</v>
      </c>
      <c r="F24" s="9"/>
      <c r="G24" s="44">
        <f t="shared" si="0"/>
        <v>14162.541561712847</v>
      </c>
      <c r="H24" s="38">
        <v>14161.940491230829</v>
      </c>
      <c r="I24" s="38">
        <v>13926.961534220351</v>
      </c>
      <c r="J24" s="38">
        <v>14396.180325478079</v>
      </c>
      <c r="K24" s="24">
        <v>14960</v>
      </c>
      <c r="L24" s="9">
        <v>0.94669395465994965</v>
      </c>
      <c r="M24" s="9"/>
      <c r="N24" s="9">
        <v>2013</v>
      </c>
      <c r="O24" s="37" t="s">
        <v>71</v>
      </c>
      <c r="P24" s="37" t="s">
        <v>20</v>
      </c>
      <c r="Q24" s="37" t="s">
        <v>11</v>
      </c>
      <c r="R24" s="37">
        <f t="shared" si="3"/>
        <v>15862.372861231201</v>
      </c>
      <c r="S24" s="9"/>
      <c r="T24" s="9"/>
      <c r="U24" s="9"/>
      <c r="V24">
        <v>14229</v>
      </c>
      <c r="W24" s="25">
        <f t="shared" si="4"/>
        <v>14922.338747462127</v>
      </c>
      <c r="Y24" s="16">
        <f t="shared" si="5"/>
        <v>0.41239892183288412</v>
      </c>
      <c r="Z24" s="16"/>
      <c r="AA24" s="19">
        <f t="shared" si="6"/>
        <v>0.31746279645701792</v>
      </c>
      <c r="AF24" s="9"/>
    </row>
    <row r="25" spans="1:32" x14ac:dyDescent="0.25">
      <c r="A25" s="9" t="s">
        <v>71</v>
      </c>
      <c r="B25" s="9" t="s">
        <v>26</v>
      </c>
      <c r="C25" s="9" t="s">
        <v>11</v>
      </c>
      <c r="D25" s="9" t="s">
        <v>11</v>
      </c>
      <c r="E25" s="9">
        <v>2012</v>
      </c>
      <c r="F25" s="9"/>
      <c r="G25" s="44">
        <f t="shared" si="0"/>
        <v>2536.1931045340052</v>
      </c>
      <c r="H25" s="38"/>
      <c r="I25" s="38"/>
      <c r="J25" s="38"/>
      <c r="K25" s="24">
        <v>2679</v>
      </c>
      <c r="L25" s="9">
        <v>0.94669395465994965</v>
      </c>
      <c r="M25" s="9"/>
      <c r="N25" s="9">
        <v>2013</v>
      </c>
      <c r="O25" s="37" t="s">
        <v>71</v>
      </c>
      <c r="P25" s="37" t="s">
        <v>31</v>
      </c>
      <c r="Q25" s="37" t="s">
        <v>12</v>
      </c>
      <c r="R25" s="37">
        <f t="shared" si="3"/>
        <v>618.97594785137358</v>
      </c>
      <c r="S25" s="9"/>
      <c r="T25" s="9"/>
      <c r="U25" s="9"/>
      <c r="V25">
        <v>2443</v>
      </c>
      <c r="W25" s="25">
        <f t="shared" si="4"/>
        <v>2562.0404497891614</v>
      </c>
      <c r="Y25" s="16"/>
      <c r="Z25" s="16"/>
      <c r="AA25" s="19">
        <f t="shared" si="6"/>
        <v>5.4505700452912698E-2</v>
      </c>
      <c r="AF25" s="9"/>
    </row>
    <row r="26" spans="1:32" s="37" customFormat="1" x14ac:dyDescent="0.25">
      <c r="A26" s="9" t="s">
        <v>71</v>
      </c>
      <c r="B26" s="9" t="s">
        <v>26</v>
      </c>
      <c r="C26" s="9" t="s">
        <v>31</v>
      </c>
      <c r="D26" s="9" t="s">
        <v>12</v>
      </c>
      <c r="E26" s="9">
        <v>2012</v>
      </c>
      <c r="F26" s="9"/>
      <c r="G26" s="44">
        <f t="shared" si="0"/>
        <v>416.51141596689615</v>
      </c>
      <c r="H26" s="38">
        <v>416.4937416284003</v>
      </c>
      <c r="I26" s="38">
        <v>377.28304374966467</v>
      </c>
      <c r="J26" s="38">
        <v>457.72435018034849</v>
      </c>
      <c r="K26" s="24">
        <v>439.96416573348262</v>
      </c>
      <c r="L26" s="9">
        <v>0.94669395465994965</v>
      </c>
      <c r="M26" s="9"/>
      <c r="N26" s="9">
        <v>2013</v>
      </c>
      <c r="O26" s="37" t="s">
        <v>71</v>
      </c>
      <c r="P26" s="37" t="s">
        <v>19</v>
      </c>
      <c r="Q26" s="37" t="s">
        <v>12</v>
      </c>
      <c r="R26" s="37">
        <f t="shared" si="3"/>
        <v>865.10872896315436</v>
      </c>
      <c r="S26" s="9"/>
      <c r="T26" s="9"/>
      <c r="U26" s="9"/>
      <c r="W26" s="25"/>
      <c r="Y26" s="16"/>
      <c r="Z26" s="16"/>
      <c r="AA26" s="19"/>
      <c r="AF26" s="9"/>
    </row>
    <row r="27" spans="1:32" s="37" customFormat="1" x14ac:dyDescent="0.25">
      <c r="A27" s="9" t="s">
        <v>71</v>
      </c>
      <c r="B27" s="9" t="s">
        <v>26</v>
      </c>
      <c r="C27" s="9" t="s">
        <v>19</v>
      </c>
      <c r="D27" s="9" t="s">
        <v>12</v>
      </c>
      <c r="E27" s="9">
        <v>2012</v>
      </c>
      <c r="F27" s="9"/>
      <c r="G27" s="44">
        <f t="shared" si="0"/>
        <v>496.29096579140116</v>
      </c>
      <c r="H27" s="38">
        <v>496.33153583511148</v>
      </c>
      <c r="I27" s="38">
        <v>453.58269311023628</v>
      </c>
      <c r="J27" s="38">
        <v>540.84114625292307</v>
      </c>
      <c r="K27" s="24">
        <v>524.23590892123923</v>
      </c>
      <c r="L27" s="9">
        <v>0.94669395465994965</v>
      </c>
      <c r="M27" s="9"/>
      <c r="N27" s="9">
        <v>2013</v>
      </c>
      <c r="O27" s="37" t="s">
        <v>71</v>
      </c>
      <c r="P27" s="37" t="s">
        <v>20</v>
      </c>
      <c r="Q27" s="37" t="s">
        <v>12</v>
      </c>
      <c r="R27" s="37">
        <f t="shared" si="3"/>
        <v>1018.3905394595382</v>
      </c>
      <c r="S27" s="9"/>
      <c r="T27" s="9"/>
      <c r="U27" s="9"/>
      <c r="W27" s="25"/>
      <c r="Y27" s="16"/>
      <c r="Z27" s="16"/>
      <c r="AA27" s="19"/>
      <c r="AF27" s="9"/>
    </row>
    <row r="28" spans="1:32" s="37" customFormat="1" x14ac:dyDescent="0.25">
      <c r="A28" s="9" t="s">
        <v>71</v>
      </c>
      <c r="B28" s="9" t="s">
        <v>26</v>
      </c>
      <c r="C28" s="9" t="s">
        <v>20</v>
      </c>
      <c r="D28" s="9" t="s">
        <v>12</v>
      </c>
      <c r="E28" s="9">
        <v>2012</v>
      </c>
      <c r="F28" s="9"/>
      <c r="G28" s="44">
        <f t="shared" si="0"/>
        <v>475.05095577318878</v>
      </c>
      <c r="H28" s="38">
        <v>475.15245309352366</v>
      </c>
      <c r="I28" s="38">
        <v>433.4547989700684</v>
      </c>
      <c r="J28" s="38">
        <v>518.68032720999474</v>
      </c>
      <c r="K28" s="24">
        <v>501.79992534527804</v>
      </c>
      <c r="L28" s="9">
        <v>0.94669395465994965</v>
      </c>
      <c r="M28" s="9"/>
      <c r="N28" s="9">
        <v>2013</v>
      </c>
      <c r="O28" s="37" t="s">
        <v>71</v>
      </c>
      <c r="P28" s="37" t="s">
        <v>31</v>
      </c>
      <c r="Q28" s="37" t="s">
        <v>15</v>
      </c>
      <c r="R28" s="37">
        <f t="shared" si="3"/>
        <v>1083.2217931216521</v>
      </c>
      <c r="S28" s="9"/>
      <c r="T28" s="9"/>
      <c r="U28" s="9"/>
      <c r="W28" s="25"/>
      <c r="Y28" s="16"/>
      <c r="Z28" s="16"/>
      <c r="AA28" s="19"/>
      <c r="AF28" s="9"/>
    </row>
    <row r="29" spans="1:32" s="37" customFormat="1" x14ac:dyDescent="0.25">
      <c r="A29" s="9" t="s">
        <v>71</v>
      </c>
      <c r="B29" s="9" t="s">
        <v>26</v>
      </c>
      <c r="C29" s="9" t="s">
        <v>31</v>
      </c>
      <c r="D29" s="9" t="s">
        <v>15</v>
      </c>
      <c r="E29" s="9">
        <v>2012</v>
      </c>
      <c r="F29" s="9"/>
      <c r="G29" s="44">
        <f t="shared" si="0"/>
        <v>344.63052357970332</v>
      </c>
      <c r="H29" s="38">
        <v>344.39910183161942</v>
      </c>
      <c r="I29" s="38">
        <v>309.13622411157195</v>
      </c>
      <c r="J29" s="38">
        <v>381.59522855178642</v>
      </c>
      <c r="K29" s="24">
        <v>364.03583426651733</v>
      </c>
      <c r="L29" s="9">
        <v>0.94669395465994965</v>
      </c>
      <c r="M29" s="9"/>
      <c r="N29" s="9">
        <v>2013</v>
      </c>
      <c r="O29" s="37" t="s">
        <v>71</v>
      </c>
      <c r="P29" s="37" t="s">
        <v>19</v>
      </c>
      <c r="Q29" s="37" t="s">
        <v>15</v>
      </c>
      <c r="R29" s="37">
        <f t="shared" si="3"/>
        <v>1767.7870574339718</v>
      </c>
      <c r="S29" s="9"/>
      <c r="T29" s="9"/>
      <c r="U29" s="9"/>
      <c r="W29" s="25"/>
      <c r="Y29" s="16"/>
      <c r="Z29" s="16"/>
      <c r="AA29" s="19"/>
      <c r="AF29" s="9"/>
    </row>
    <row r="30" spans="1:32" s="37" customFormat="1" x14ac:dyDescent="0.25">
      <c r="A30" s="9" t="s">
        <v>71</v>
      </c>
      <c r="B30" s="9" t="s">
        <v>26</v>
      </c>
      <c r="C30" s="9" t="s">
        <v>19</v>
      </c>
      <c r="D30" s="9" t="s">
        <v>15</v>
      </c>
      <c r="E30" s="9">
        <v>2012</v>
      </c>
      <c r="F30" s="9"/>
      <c r="G30" s="44">
        <f t="shared" si="0"/>
        <v>410.64184277283056</v>
      </c>
      <c r="H30" s="38">
        <v>410.7177089720708</v>
      </c>
      <c r="I30" s="38">
        <v>371.41809088388567</v>
      </c>
      <c r="J30" s="38">
        <v>450.65914765105765</v>
      </c>
      <c r="K30" s="24">
        <v>433.76409107876071</v>
      </c>
      <c r="L30" s="9">
        <v>0.94669395465994965</v>
      </c>
      <c r="M30" s="9"/>
      <c r="N30" s="9">
        <v>2013</v>
      </c>
      <c r="O30" s="37" t="s">
        <v>71</v>
      </c>
      <c r="P30" s="37" t="s">
        <v>20</v>
      </c>
      <c r="Q30" s="37" t="s">
        <v>15</v>
      </c>
      <c r="R30" s="37">
        <f t="shared" si="3"/>
        <v>2390.71495283785</v>
      </c>
      <c r="S30" s="9"/>
      <c r="T30" s="9"/>
      <c r="U30" s="9"/>
      <c r="W30" s="25"/>
      <c r="Y30" s="16"/>
      <c r="Z30" s="16"/>
      <c r="AA30" s="19"/>
      <c r="AF30" s="9"/>
    </row>
    <row r="31" spans="1:32" s="37" customFormat="1" x14ac:dyDescent="0.25">
      <c r="A31" s="9" t="s">
        <v>71</v>
      </c>
      <c r="B31" s="9" t="s">
        <v>26</v>
      </c>
      <c r="C31" s="9" t="s">
        <v>20</v>
      </c>
      <c r="D31" s="9" t="s">
        <v>15</v>
      </c>
      <c r="E31" s="9">
        <v>2012</v>
      </c>
      <c r="F31" s="9"/>
      <c r="G31" s="44">
        <f t="shared" si="0"/>
        <v>393.06740064998502</v>
      </c>
      <c r="H31" s="38">
        <v>392.7988459531839</v>
      </c>
      <c r="I31" s="38">
        <v>354.67596696162252</v>
      </c>
      <c r="J31" s="38">
        <v>432.60844225490291</v>
      </c>
      <c r="K31" s="24">
        <v>415.2000746547219</v>
      </c>
      <c r="L31" s="9">
        <v>0.94669395465994965</v>
      </c>
      <c r="M31" s="9"/>
      <c r="N31" s="11">
        <v>2014</v>
      </c>
      <c r="O31" s="37" t="s">
        <v>71</v>
      </c>
      <c r="P31" s="37" t="s">
        <v>31</v>
      </c>
      <c r="Q31" s="37" t="s">
        <v>11</v>
      </c>
      <c r="R31" s="37">
        <f t="shared" si="3"/>
        <v>16033.045751375312</v>
      </c>
      <c r="S31" s="9"/>
      <c r="T31" s="9"/>
      <c r="U31" s="9"/>
      <c r="W31" s="25"/>
      <c r="Y31" s="16"/>
      <c r="Z31" s="16"/>
      <c r="AA31" s="19"/>
      <c r="AF31" s="9"/>
    </row>
    <row r="32" spans="1:32" x14ac:dyDescent="0.25">
      <c r="A32" s="9" t="s">
        <v>71</v>
      </c>
      <c r="B32" s="9" t="s">
        <v>27</v>
      </c>
      <c r="C32" s="9" t="s">
        <v>11</v>
      </c>
      <c r="D32" s="9" t="s">
        <v>11</v>
      </c>
      <c r="E32" s="9">
        <v>2012</v>
      </c>
      <c r="F32" s="9"/>
      <c r="G32" s="44">
        <f t="shared" si="0"/>
        <v>3046.461146095718</v>
      </c>
      <c r="H32" s="38"/>
      <c r="I32" s="38"/>
      <c r="J32" s="38"/>
      <c r="K32" s="24">
        <v>3218</v>
      </c>
      <c r="L32" s="9">
        <v>0.94669395465994965</v>
      </c>
      <c r="M32" s="9"/>
      <c r="N32" s="11">
        <v>2014</v>
      </c>
      <c r="O32" s="37" t="s">
        <v>71</v>
      </c>
      <c r="P32" s="37" t="s">
        <v>19</v>
      </c>
      <c r="Q32" s="37" t="s">
        <v>11</v>
      </c>
      <c r="R32" s="37">
        <f t="shared" si="3"/>
        <v>6980.1698658329051</v>
      </c>
      <c r="S32" s="9"/>
      <c r="T32" s="9"/>
      <c r="U32" s="9"/>
      <c r="V32">
        <v>2904</v>
      </c>
      <c r="W32" s="25">
        <f t="shared" si="4"/>
        <v>3045.5036701546151</v>
      </c>
      <c r="Y32" s="16"/>
      <c r="Z32" s="16"/>
      <c r="AA32" s="19">
        <f t="shared" si="6"/>
        <v>6.4791057763102122E-2</v>
      </c>
      <c r="AF32" s="9"/>
    </row>
    <row r="33" spans="1:32" s="37" customFormat="1" x14ac:dyDescent="0.25">
      <c r="A33" s="9" t="s">
        <v>71</v>
      </c>
      <c r="B33" s="9" t="s">
        <v>27</v>
      </c>
      <c r="C33" s="9" t="s">
        <v>31</v>
      </c>
      <c r="D33" s="9" t="s">
        <v>11</v>
      </c>
      <c r="E33" s="9">
        <v>2012</v>
      </c>
      <c r="F33" s="9"/>
      <c r="G33" s="44">
        <f t="shared" si="0"/>
        <v>1296.024023929471</v>
      </c>
      <c r="H33" s="38">
        <v>1295.1408095226857</v>
      </c>
      <c r="I33" s="38">
        <v>1226.8685293517633</v>
      </c>
      <c r="J33" s="38">
        <v>1364.747055658795</v>
      </c>
      <c r="K33" s="24">
        <v>1369</v>
      </c>
      <c r="L33" s="9">
        <v>0.94669395465994965</v>
      </c>
      <c r="M33" s="9"/>
      <c r="N33" s="11">
        <v>2014</v>
      </c>
      <c r="O33" s="37" t="s">
        <v>71</v>
      </c>
      <c r="P33" s="37" t="s">
        <v>20</v>
      </c>
      <c r="Q33" s="37" t="s">
        <v>11</v>
      </c>
      <c r="R33" s="37">
        <f t="shared" si="3"/>
        <v>16473.051094312741</v>
      </c>
      <c r="S33" s="9"/>
      <c r="T33" s="9"/>
      <c r="U33" s="9"/>
      <c r="W33" s="25"/>
      <c r="Y33" s="16"/>
      <c r="Z33" s="16"/>
      <c r="AA33" s="19"/>
      <c r="AF33" s="9"/>
    </row>
    <row r="34" spans="1:32" s="37" customFormat="1" x14ac:dyDescent="0.25">
      <c r="A34" s="9" t="s">
        <v>71</v>
      </c>
      <c r="B34" s="9" t="s">
        <v>27</v>
      </c>
      <c r="C34" s="9" t="s">
        <v>19</v>
      </c>
      <c r="D34" s="9" t="s">
        <v>11</v>
      </c>
      <c r="E34" s="9">
        <v>2012</v>
      </c>
      <c r="F34" s="9"/>
      <c r="G34" s="44">
        <f t="shared" si="0"/>
        <v>688.24650503778344</v>
      </c>
      <c r="H34" s="38">
        <v>688.29372287857916</v>
      </c>
      <c r="I34" s="38">
        <v>638.05407967753331</v>
      </c>
      <c r="J34" s="38">
        <v>739.84902136939445</v>
      </c>
      <c r="K34" s="24">
        <v>727</v>
      </c>
      <c r="L34" s="9">
        <v>0.94669395465994965</v>
      </c>
      <c r="M34" s="9"/>
      <c r="N34" s="11">
        <v>2014</v>
      </c>
      <c r="O34" s="37" t="s">
        <v>71</v>
      </c>
      <c r="P34" s="37" t="s">
        <v>31</v>
      </c>
      <c r="Q34" s="37" t="s">
        <v>12</v>
      </c>
      <c r="R34" s="37">
        <f t="shared" si="3"/>
        <v>611.87041939734888</v>
      </c>
      <c r="S34" s="9"/>
      <c r="T34" s="9"/>
      <c r="U34" s="9"/>
      <c r="W34" s="25"/>
      <c r="Y34" s="16"/>
      <c r="Z34" s="16"/>
      <c r="AA34" s="19"/>
      <c r="AF34" s="9"/>
    </row>
    <row r="35" spans="1:32" s="37" customFormat="1" x14ac:dyDescent="0.25">
      <c r="A35" s="9" t="s">
        <v>71</v>
      </c>
      <c r="B35" s="9" t="s">
        <v>27</v>
      </c>
      <c r="C35" s="9" t="s">
        <v>20</v>
      </c>
      <c r="D35" s="9" t="s">
        <v>11</v>
      </c>
      <c r="E35" s="9">
        <v>2012</v>
      </c>
      <c r="F35" s="9"/>
      <c r="G35" s="44">
        <f t="shared" si="0"/>
        <v>1062.1906171284636</v>
      </c>
      <c r="H35" s="38">
        <v>1061.9651629866607</v>
      </c>
      <c r="I35" s="38">
        <v>999.06655303705611</v>
      </c>
      <c r="J35" s="38">
        <v>1128.2417491716615</v>
      </c>
      <c r="K35" s="24">
        <v>1122</v>
      </c>
      <c r="L35" s="9">
        <v>0.94669395465994965</v>
      </c>
      <c r="M35" s="9"/>
      <c r="N35" s="11">
        <v>2014</v>
      </c>
      <c r="O35" s="37" t="s">
        <v>71</v>
      </c>
      <c r="P35" s="37" t="s">
        <v>19</v>
      </c>
      <c r="Q35" s="37" t="s">
        <v>12</v>
      </c>
      <c r="R35" s="37">
        <f t="shared" si="3"/>
        <v>856.51620273811864</v>
      </c>
      <c r="S35" s="9"/>
      <c r="T35" s="9"/>
      <c r="U35" s="9"/>
      <c r="W35" s="25"/>
      <c r="Y35" s="16"/>
      <c r="Z35" s="16"/>
      <c r="AA35" s="19"/>
      <c r="AF35" s="9"/>
    </row>
    <row r="36" spans="1:32" x14ac:dyDescent="0.25">
      <c r="A36" s="9" t="s">
        <v>71</v>
      </c>
      <c r="B36" s="9" t="s">
        <v>28</v>
      </c>
      <c r="C36" s="9" t="s">
        <v>31</v>
      </c>
      <c r="D36" s="9" t="s">
        <v>12</v>
      </c>
      <c r="E36" s="9">
        <v>2012</v>
      </c>
      <c r="F36" s="9"/>
      <c r="G36" s="44">
        <f t="shared" si="0"/>
        <v>196.7332383075771</v>
      </c>
      <c r="H36" s="38">
        <v>196.79463991196391</v>
      </c>
      <c r="I36" s="38">
        <v>170.85692948405699</v>
      </c>
      <c r="J36" s="38">
        <v>225.06932984898179</v>
      </c>
      <c r="K36" s="24">
        <v>207.81081081081081</v>
      </c>
      <c r="L36" s="9">
        <v>0.94669395465994965</v>
      </c>
      <c r="M36" s="9"/>
      <c r="N36" s="11">
        <v>2014</v>
      </c>
      <c r="O36" s="37" t="s">
        <v>71</v>
      </c>
      <c r="P36" s="37" t="s">
        <v>20</v>
      </c>
      <c r="Q36" s="37" t="s">
        <v>12</v>
      </c>
      <c r="R36" s="37">
        <f t="shared" si="3"/>
        <v>1039.2240109962636</v>
      </c>
      <c r="S36" s="9"/>
      <c r="T36" s="9"/>
      <c r="U36" s="9"/>
      <c r="V36">
        <f>14469-12824-348-1155</f>
        <v>142</v>
      </c>
      <c r="W36" s="25">
        <f t="shared" si="4"/>
        <v>148.91925659846947</v>
      </c>
      <c r="Y36" s="16">
        <f>V36/SUM($V$36:$V$38)</f>
        <v>0.13148148148148148</v>
      </c>
      <c r="Z36" s="16"/>
      <c r="AA36" s="19">
        <f t="shared" si="6"/>
        <v>3.1681577831819906E-3</v>
      </c>
      <c r="AE36" t="s">
        <v>39</v>
      </c>
      <c r="AF36" s="9"/>
    </row>
    <row r="37" spans="1:32" x14ac:dyDescent="0.25">
      <c r="A37" s="9" t="s">
        <v>71</v>
      </c>
      <c r="B37" s="9" t="s">
        <v>28</v>
      </c>
      <c r="C37" s="9" t="s">
        <v>19</v>
      </c>
      <c r="D37" s="9" t="s">
        <v>12</v>
      </c>
      <c r="E37" s="9">
        <v>2012</v>
      </c>
      <c r="F37" s="9"/>
      <c r="G37" s="44">
        <f t="shared" si="0"/>
        <v>365.0974203074785</v>
      </c>
      <c r="H37" s="38">
        <v>365.31062194352921</v>
      </c>
      <c r="I37" s="38">
        <v>329.66577972998465</v>
      </c>
      <c r="J37" s="38">
        <v>402.6084917361361</v>
      </c>
      <c r="K37" s="24">
        <v>385.65517241379308</v>
      </c>
      <c r="L37" s="9">
        <v>0.94669395465994965</v>
      </c>
      <c r="M37" s="9"/>
      <c r="N37" s="11">
        <v>2014</v>
      </c>
      <c r="O37" s="37" t="s">
        <v>71</v>
      </c>
      <c r="P37" s="37" t="s">
        <v>31</v>
      </c>
      <c r="Q37" s="37" t="s">
        <v>15</v>
      </c>
      <c r="R37" s="37">
        <f t="shared" si="3"/>
        <v>1083.5544232828267</v>
      </c>
      <c r="S37" s="9"/>
      <c r="T37" s="9"/>
      <c r="U37" s="9"/>
      <c r="V37">
        <f>7476-6049-439-665</f>
        <v>323</v>
      </c>
      <c r="W37" s="25">
        <f t="shared" si="4"/>
        <v>338.73887240356083</v>
      </c>
      <c r="Y37" s="16">
        <f t="shared" ref="Y37:Y38" si="7">V37/SUM($V$36:$V$38)</f>
        <v>0.29907407407407405</v>
      </c>
      <c r="Z37" s="16"/>
      <c r="AA37" s="19">
        <f t="shared" si="6"/>
        <v>7.2064434082238235E-3</v>
      </c>
      <c r="AE37" t="s">
        <v>39</v>
      </c>
      <c r="AF37" s="9"/>
    </row>
    <row r="38" spans="1:32" x14ac:dyDescent="0.25">
      <c r="A38" s="9" t="s">
        <v>71</v>
      </c>
      <c r="B38" s="9" t="s">
        <v>28</v>
      </c>
      <c r="C38" s="9" t="s">
        <v>20</v>
      </c>
      <c r="D38" s="9" t="s">
        <v>12</v>
      </c>
      <c r="E38" s="9">
        <v>2012</v>
      </c>
      <c r="F38" s="9"/>
      <c r="G38" s="44">
        <f t="shared" si="0"/>
        <v>540.86222569199094</v>
      </c>
      <c r="H38" s="38">
        <v>541.00148373877732</v>
      </c>
      <c r="I38" s="38">
        <v>496.05948714618</v>
      </c>
      <c r="J38" s="38">
        <v>587.1899117751575</v>
      </c>
      <c r="K38" s="24">
        <v>571.31686859273066</v>
      </c>
      <c r="L38" s="9">
        <v>0.94669395465994965</v>
      </c>
      <c r="M38" s="9"/>
      <c r="N38" s="11">
        <v>2014</v>
      </c>
      <c r="O38" s="37" t="s">
        <v>71</v>
      </c>
      <c r="P38" s="37" t="s">
        <v>19</v>
      </c>
      <c r="Q38" s="37" t="s">
        <v>15</v>
      </c>
      <c r="R38" s="37">
        <f t="shared" si="3"/>
        <v>1771.3454943371178</v>
      </c>
      <c r="S38" s="9"/>
      <c r="T38" s="9"/>
      <c r="U38" s="9"/>
      <c r="V38">
        <f>16309-14229-526-939</f>
        <v>615</v>
      </c>
      <c r="W38" s="25">
        <f t="shared" si="4"/>
        <v>644.96720287365304</v>
      </c>
      <c r="Y38" s="16">
        <f t="shared" si="7"/>
        <v>0.56944444444444442</v>
      </c>
      <c r="Z38" s="16"/>
      <c r="AA38" s="19">
        <f t="shared" si="6"/>
        <v>1.3721246737020593E-2</v>
      </c>
      <c r="AE38" t="s">
        <v>39</v>
      </c>
      <c r="AF38" s="9"/>
    </row>
    <row r="39" spans="1:32" x14ac:dyDescent="0.25">
      <c r="A39" s="9" t="s">
        <v>71</v>
      </c>
      <c r="B39" s="9" t="s">
        <v>28</v>
      </c>
      <c r="C39" s="9" t="s">
        <v>31</v>
      </c>
      <c r="D39" s="9" t="s">
        <v>15</v>
      </c>
      <c r="E39" s="9">
        <v>2012</v>
      </c>
      <c r="F39" s="9"/>
      <c r="G39" s="44">
        <f t="shared" si="0"/>
        <v>709.25287630199466</v>
      </c>
      <c r="H39" s="38">
        <v>708.75823137265229</v>
      </c>
      <c r="I39" s="38">
        <v>658.1474522570976</v>
      </c>
      <c r="J39" s="38">
        <v>761.29277860796572</v>
      </c>
      <c r="K39" s="24">
        <v>749.18918918918916</v>
      </c>
      <c r="L39" s="9">
        <v>0.94669395465994965</v>
      </c>
      <c r="M39" s="9"/>
      <c r="N39" s="11">
        <v>2014</v>
      </c>
      <c r="O39" s="37" t="s">
        <v>71</v>
      </c>
      <c r="P39" s="37" t="s">
        <v>20</v>
      </c>
      <c r="Q39" s="37" t="s">
        <v>15</v>
      </c>
      <c r="R39" s="37">
        <f t="shared" si="3"/>
        <v>2461.1589193080863</v>
      </c>
      <c r="S39" s="9"/>
      <c r="T39" s="9"/>
      <c r="U39" s="9"/>
      <c r="V39">
        <f>768-289</f>
        <v>479</v>
      </c>
      <c r="W39" s="25">
        <f t="shared" si="4"/>
        <v>502.34030923004843</v>
      </c>
      <c r="Y39" s="16">
        <f>V39/SUM($V$39:$V$41)</f>
        <v>0.12310460035980468</v>
      </c>
      <c r="Z39" s="16"/>
      <c r="AA39" s="19">
        <f t="shared" si="6"/>
        <v>1.0686954775663194E-2</v>
      </c>
      <c r="AE39" t="s">
        <v>40</v>
      </c>
      <c r="AF39" s="9"/>
    </row>
    <row r="40" spans="1:32" x14ac:dyDescent="0.25">
      <c r="A40" s="9" t="s">
        <v>71</v>
      </c>
      <c r="B40" s="9" t="s">
        <v>28</v>
      </c>
      <c r="C40" s="9" t="s">
        <v>19</v>
      </c>
      <c r="D40" s="9" t="s">
        <v>15</v>
      </c>
      <c r="E40" s="9">
        <v>2012</v>
      </c>
      <c r="F40" s="9"/>
      <c r="G40" s="44">
        <f t="shared" si="0"/>
        <v>1316.2310431685921</v>
      </c>
      <c r="H40" s="38">
        <v>1316.392459611608</v>
      </c>
      <c r="I40" s="38">
        <v>1246.2709176558051</v>
      </c>
      <c r="J40" s="38">
        <v>1388.4568033475455</v>
      </c>
      <c r="K40" s="24">
        <v>1390.344827586207</v>
      </c>
      <c r="L40" s="9">
        <v>0.94669395465994965</v>
      </c>
      <c r="M40" s="9"/>
      <c r="N40" s="11">
        <v>2015</v>
      </c>
      <c r="O40" s="37" t="s">
        <v>71</v>
      </c>
      <c r="P40" s="37" t="s">
        <v>31</v>
      </c>
      <c r="Q40" s="37" t="s">
        <v>11</v>
      </c>
      <c r="R40" s="37">
        <f t="shared" si="3"/>
        <v>15763.999313590901</v>
      </c>
      <c r="S40" s="9"/>
      <c r="T40" s="9"/>
      <c r="U40" s="9"/>
      <c r="V40">
        <f>1852-435</f>
        <v>1417</v>
      </c>
      <c r="W40" s="25">
        <f t="shared" si="4"/>
        <v>1486.0463845072622</v>
      </c>
      <c r="Y40" s="16">
        <f t="shared" ref="Y40:Y41" si="8">V40/SUM($V$39:$V$41)</f>
        <v>0.36417373425854538</v>
      </c>
      <c r="Z40" s="16"/>
      <c r="AA40" s="19">
        <f t="shared" si="6"/>
        <v>3.1614644920907611E-2</v>
      </c>
      <c r="AE40" t="s">
        <v>40</v>
      </c>
      <c r="AF40" s="9"/>
    </row>
    <row r="41" spans="1:32" x14ac:dyDescent="0.25">
      <c r="A41" s="9" t="s">
        <v>71</v>
      </c>
      <c r="B41" s="9" t="s">
        <v>28</v>
      </c>
      <c r="C41" s="9" t="s">
        <v>20</v>
      </c>
      <c r="D41" s="9" t="s">
        <v>15</v>
      </c>
      <c r="E41" s="9">
        <v>2012</v>
      </c>
      <c r="F41" s="9"/>
      <c r="G41" s="44">
        <f t="shared" si="0"/>
        <v>1949.8895690183365</v>
      </c>
      <c r="H41" s="38">
        <v>1950.3583561995822</v>
      </c>
      <c r="I41" s="38">
        <v>1865.9548500915462</v>
      </c>
      <c r="J41" s="38">
        <v>2039.4674903674859</v>
      </c>
      <c r="K41" s="24">
        <v>2059.6831314072692</v>
      </c>
      <c r="L41" s="9">
        <v>0.94669395465994965</v>
      </c>
      <c r="M41" s="9"/>
      <c r="N41" s="11">
        <v>2015</v>
      </c>
      <c r="O41" s="37" t="s">
        <v>71</v>
      </c>
      <c r="P41" s="37" t="s">
        <v>19</v>
      </c>
      <c r="Q41" s="37" t="s">
        <v>11</v>
      </c>
      <c r="R41" s="37">
        <f t="shared" si="3"/>
        <v>7058.4099823494807</v>
      </c>
      <c r="S41" s="9"/>
      <c r="T41" s="9"/>
      <c r="U41" s="9"/>
      <c r="V41" s="2">
        <f>2313-318</f>
        <v>1995</v>
      </c>
      <c r="W41" s="25">
        <f t="shared" si="4"/>
        <v>2092.2106824925818</v>
      </c>
      <c r="X41" s="2"/>
      <c r="Y41" s="16">
        <f t="shared" si="8"/>
        <v>0.51272166538164998</v>
      </c>
      <c r="Z41" s="16"/>
      <c r="AA41" s="19">
        <f t="shared" si="6"/>
        <v>4.4510385756676561E-2</v>
      </c>
      <c r="AE41" t="s">
        <v>40</v>
      </c>
      <c r="AF41" s="9"/>
    </row>
    <row r="42" spans="1:32" x14ac:dyDescent="0.25">
      <c r="A42" s="9" t="s">
        <v>21</v>
      </c>
      <c r="B42" s="9" t="s">
        <v>24</v>
      </c>
      <c r="C42" s="9" t="s">
        <v>11</v>
      </c>
      <c r="D42" s="9" t="s">
        <v>11</v>
      </c>
      <c r="E42" s="9">
        <v>2012</v>
      </c>
      <c r="F42" s="9"/>
      <c r="G42" s="44">
        <f t="shared" si="0"/>
        <v>1751.9394799054373</v>
      </c>
      <c r="H42" s="38"/>
      <c r="I42" s="38"/>
      <c r="J42" s="38"/>
      <c r="K42" s="3">
        <v>1778</v>
      </c>
      <c r="L42" s="9">
        <v>0.98534278959810873</v>
      </c>
      <c r="M42" s="9"/>
      <c r="N42" s="11">
        <v>2015</v>
      </c>
      <c r="O42" s="37" t="s">
        <v>71</v>
      </c>
      <c r="P42" s="37" t="s">
        <v>20</v>
      </c>
      <c r="Q42" s="37" t="s">
        <v>11</v>
      </c>
      <c r="R42" s="37">
        <f t="shared" si="3"/>
        <v>16789.882329868604</v>
      </c>
      <c r="S42" s="9"/>
      <c r="T42" s="9"/>
      <c r="U42" s="9"/>
      <c r="V42" s="2"/>
      <c r="W42" s="25"/>
      <c r="X42" s="2"/>
      <c r="Y42" s="16"/>
      <c r="Z42" s="16"/>
      <c r="AA42" s="19"/>
      <c r="AF42" s="9"/>
    </row>
    <row r="43" spans="1:32" x14ac:dyDescent="0.25">
      <c r="A43" s="9" t="s">
        <v>21</v>
      </c>
      <c r="B43" s="9" t="s">
        <v>24</v>
      </c>
      <c r="C43" s="9" t="s">
        <v>31</v>
      </c>
      <c r="D43" s="9" t="s">
        <v>11</v>
      </c>
      <c r="E43" s="9">
        <v>2012</v>
      </c>
      <c r="F43" s="9"/>
      <c r="G43" s="44">
        <f t="shared" si="0"/>
        <v>537.01182033096927</v>
      </c>
      <c r="H43" s="38">
        <v>536.97783062492636</v>
      </c>
      <c r="I43" s="38">
        <v>492.79915689777482</v>
      </c>
      <c r="J43" s="38">
        <v>582.36343394129449</v>
      </c>
      <c r="K43" s="24">
        <v>545</v>
      </c>
      <c r="L43" s="9">
        <v>0.98534278959810873</v>
      </c>
      <c r="M43" s="9"/>
      <c r="N43" s="11">
        <v>2015</v>
      </c>
      <c r="O43" s="37" t="s">
        <v>71</v>
      </c>
      <c r="P43" s="37" t="s">
        <v>31</v>
      </c>
      <c r="Q43" s="37" t="s">
        <v>12</v>
      </c>
      <c r="R43" s="37">
        <f t="shared" si="3"/>
        <v>609.44102472250142</v>
      </c>
      <c r="S43" s="9"/>
      <c r="T43" s="9"/>
      <c r="U43" s="9"/>
      <c r="V43" s="2">
        <f>1618-V44-V45</f>
        <v>510</v>
      </c>
      <c r="W43" s="22">
        <f>2006*AA43</f>
        <v>535.35321821036109</v>
      </c>
      <c r="X43" s="2"/>
      <c r="Y43" s="17"/>
      <c r="Z43" s="17"/>
      <c r="AA43" s="23">
        <f>V43/SUM($V$43:$V$63)</f>
        <v>0.26687598116169547</v>
      </c>
      <c r="AB43" s="2"/>
      <c r="AC43" s="2"/>
      <c r="AD43" s="2"/>
      <c r="AE43" t="s">
        <v>49</v>
      </c>
      <c r="AF43" s="9"/>
    </row>
    <row r="44" spans="1:32" x14ac:dyDescent="0.25">
      <c r="A44" s="9" t="s">
        <v>21</v>
      </c>
      <c r="B44" s="9" t="s">
        <v>24</v>
      </c>
      <c r="C44" s="9" t="s">
        <v>19</v>
      </c>
      <c r="D44" s="9" t="s">
        <v>11</v>
      </c>
      <c r="E44" s="9">
        <v>2012</v>
      </c>
      <c r="F44" s="9"/>
      <c r="G44" s="44">
        <f t="shared" si="0"/>
        <v>309.39763593380616</v>
      </c>
      <c r="H44" s="38">
        <v>309.32360381539149</v>
      </c>
      <c r="I44" s="38">
        <v>275.76857550030911</v>
      </c>
      <c r="J44" s="38">
        <v>345.56935867396737</v>
      </c>
      <c r="K44" s="24">
        <v>314</v>
      </c>
      <c r="L44" s="9">
        <v>0.98534278959810873</v>
      </c>
      <c r="M44" s="9"/>
      <c r="N44" s="11">
        <v>2015</v>
      </c>
      <c r="O44" s="37" t="s">
        <v>71</v>
      </c>
      <c r="P44" s="37" t="s">
        <v>19</v>
      </c>
      <c r="Q44" s="37" t="s">
        <v>12</v>
      </c>
      <c r="R44" s="37">
        <f t="shared" si="3"/>
        <v>835.39326428528909</v>
      </c>
      <c r="S44" s="9"/>
      <c r="T44" s="9"/>
      <c r="U44" s="9"/>
      <c r="V44" s="2">
        <v>305</v>
      </c>
      <c r="W44" s="22">
        <f t="shared" ref="W44:W63" si="9">2006*AA44</f>
        <v>320.16221873364731</v>
      </c>
      <c r="X44" s="2"/>
      <c r="Y44" s="17"/>
      <c r="Z44" s="17"/>
      <c r="AA44" s="23">
        <f>V44/SUM($V$43:$V$63)</f>
        <v>0.15960230245944532</v>
      </c>
      <c r="AB44" s="2"/>
      <c r="AC44" s="2"/>
      <c r="AD44" s="2"/>
      <c r="AE44" s="8" t="s">
        <v>50</v>
      </c>
      <c r="AF44" s="9"/>
    </row>
    <row r="45" spans="1:32" x14ac:dyDescent="0.25">
      <c r="A45" s="9" t="s">
        <v>21</v>
      </c>
      <c r="B45" s="9" t="s">
        <v>24</v>
      </c>
      <c r="C45" s="9" t="s">
        <v>20</v>
      </c>
      <c r="D45" s="9" t="s">
        <v>11</v>
      </c>
      <c r="E45" s="9">
        <v>2012</v>
      </c>
      <c r="F45" s="9"/>
      <c r="G45" s="44">
        <f t="shared" si="0"/>
        <v>905.53002364066197</v>
      </c>
      <c r="H45" s="38">
        <v>905.28937023671517</v>
      </c>
      <c r="I45" s="38">
        <v>845.73031761590119</v>
      </c>
      <c r="J45" s="38">
        <v>965.55248729845346</v>
      </c>
      <c r="K45" s="24">
        <v>919</v>
      </c>
      <c r="L45" s="9">
        <v>0.98534278959810873</v>
      </c>
      <c r="M45" s="9"/>
      <c r="N45" s="11">
        <v>2015</v>
      </c>
      <c r="O45" s="37" t="s">
        <v>71</v>
      </c>
      <c r="P45" s="37" t="s">
        <v>20</v>
      </c>
      <c r="Q45" s="37" t="s">
        <v>12</v>
      </c>
      <c r="R45" s="37">
        <f t="shared" si="3"/>
        <v>1023.6095235044669</v>
      </c>
      <c r="S45" s="9"/>
      <c r="T45" s="9"/>
      <c r="U45" s="9"/>
      <c r="V45" s="2">
        <v>803</v>
      </c>
      <c r="W45" s="22">
        <f t="shared" si="9"/>
        <v>842.91889063317637</v>
      </c>
      <c r="X45" s="2"/>
      <c r="Y45" s="17"/>
      <c r="Z45" s="17"/>
      <c r="AA45" s="23">
        <f>V45/SUM($V$43:$V$63)</f>
        <v>0.42019884877027736</v>
      </c>
      <c r="AB45" s="2"/>
      <c r="AC45" s="2"/>
      <c r="AD45" s="2"/>
      <c r="AF45" s="9"/>
    </row>
    <row r="46" spans="1:32" x14ac:dyDescent="0.25">
      <c r="A46" s="9" t="s">
        <v>21</v>
      </c>
      <c r="B46" s="9" t="s">
        <v>26</v>
      </c>
      <c r="C46" s="9" t="s">
        <v>11</v>
      </c>
      <c r="D46" s="9" t="s">
        <v>11</v>
      </c>
      <c r="E46" s="9">
        <v>2012</v>
      </c>
      <c r="F46" s="9"/>
      <c r="G46" s="44">
        <f t="shared" si="0"/>
        <v>78.827423167848693</v>
      </c>
      <c r="H46" s="38"/>
      <c r="I46" s="38"/>
      <c r="J46" s="38"/>
      <c r="K46" s="24">
        <v>80</v>
      </c>
      <c r="L46" s="9">
        <v>0.98534278959810873</v>
      </c>
      <c r="M46" s="9"/>
      <c r="N46" s="11">
        <v>2015</v>
      </c>
      <c r="O46" s="37" t="s">
        <v>71</v>
      </c>
      <c r="P46" s="37" t="s">
        <v>31</v>
      </c>
      <c r="Q46" s="37" t="s">
        <v>15</v>
      </c>
      <c r="R46" s="37">
        <f t="shared" si="3"/>
        <v>1100.053974296914</v>
      </c>
      <c r="S46" s="9"/>
      <c r="T46" s="9"/>
      <c r="U46" s="9"/>
      <c r="V46" s="2"/>
      <c r="W46" s="22"/>
      <c r="X46" s="2"/>
      <c r="Y46" s="17"/>
      <c r="Z46" s="17"/>
      <c r="AA46" s="23"/>
      <c r="AB46" s="2"/>
      <c r="AC46" s="2"/>
      <c r="AD46" s="2"/>
      <c r="AF46" s="9"/>
    </row>
    <row r="47" spans="1:32" x14ac:dyDescent="0.25">
      <c r="A47" s="9" t="s">
        <v>21</v>
      </c>
      <c r="B47" s="9" t="s">
        <v>26</v>
      </c>
      <c r="C47" s="9" t="s">
        <v>31</v>
      </c>
      <c r="D47" s="9" t="s">
        <v>12</v>
      </c>
      <c r="E47" s="9">
        <v>2012</v>
      </c>
      <c r="F47" s="9"/>
      <c r="G47" s="44">
        <f t="shared" si="0"/>
        <v>8.6463829787234037</v>
      </c>
      <c r="H47" s="38">
        <v>8.6244965722609397</v>
      </c>
      <c r="I47" s="38">
        <v>3.8218920326316432</v>
      </c>
      <c r="J47" s="38">
        <v>15.265298956691128</v>
      </c>
      <c r="K47" s="24">
        <v>8.7750000000000004</v>
      </c>
      <c r="L47" s="9">
        <v>0.98534278959810873</v>
      </c>
      <c r="M47" s="9"/>
      <c r="N47" s="11">
        <v>2015</v>
      </c>
      <c r="O47" s="37" t="s">
        <v>71</v>
      </c>
      <c r="P47" s="37" t="s">
        <v>19</v>
      </c>
      <c r="Q47" s="37" t="s">
        <v>15</v>
      </c>
      <c r="R47" s="37">
        <f t="shared" si="3"/>
        <v>1768.8428604450501</v>
      </c>
      <c r="S47" s="9"/>
      <c r="T47" s="9"/>
      <c r="U47" s="9"/>
      <c r="V47" s="2">
        <f>40-V48-V49</f>
        <v>7</v>
      </c>
      <c r="W47" s="22">
        <f t="shared" si="9"/>
        <v>7.3479853479853476</v>
      </c>
      <c r="X47" s="2"/>
      <c r="Y47" s="17"/>
      <c r="Z47" s="17"/>
      <c r="AA47" s="23">
        <f t="shared" ref="AA47:AA52" si="10">V47/SUM($V$43:$V$63)</f>
        <v>3.663003663003663E-3</v>
      </c>
      <c r="AB47" s="2"/>
      <c r="AC47" s="2"/>
      <c r="AD47" s="2"/>
      <c r="AF47" s="9"/>
    </row>
    <row r="48" spans="1:32" x14ac:dyDescent="0.25">
      <c r="A48" s="9" t="s">
        <v>21</v>
      </c>
      <c r="B48" s="9" t="s">
        <v>26</v>
      </c>
      <c r="C48" s="9" t="s">
        <v>19</v>
      </c>
      <c r="D48" s="9" t="s">
        <v>12</v>
      </c>
      <c r="E48" s="9">
        <v>2012</v>
      </c>
      <c r="F48" s="9"/>
      <c r="G48" s="44">
        <f t="shared" si="0"/>
        <v>16.332056737588651</v>
      </c>
      <c r="H48" s="38">
        <v>16.351215042303327</v>
      </c>
      <c r="I48" s="38">
        <v>9.3623448873095132</v>
      </c>
      <c r="J48" s="38">
        <v>25.289402685748158</v>
      </c>
      <c r="K48" s="24">
        <v>16.574999999999999</v>
      </c>
      <c r="L48" s="9">
        <v>0.98534278959810873</v>
      </c>
      <c r="M48" s="9"/>
      <c r="N48" s="11">
        <v>2015</v>
      </c>
      <c r="O48" s="37" t="s">
        <v>71</v>
      </c>
      <c r="P48" s="37" t="s">
        <v>20</v>
      </c>
      <c r="Q48" s="37" t="s">
        <v>15</v>
      </c>
      <c r="R48" s="37">
        <f t="shared" si="3"/>
        <v>2475.3677269367963</v>
      </c>
      <c r="S48" s="9"/>
      <c r="T48" s="9"/>
      <c r="U48" s="9"/>
      <c r="V48" s="2">
        <v>14</v>
      </c>
      <c r="W48" s="22">
        <f t="shared" si="9"/>
        <v>14.695970695970695</v>
      </c>
      <c r="X48" s="2"/>
      <c r="Y48" s="17"/>
      <c r="Z48" s="17"/>
      <c r="AA48" s="23">
        <f t="shared" si="10"/>
        <v>7.326007326007326E-3</v>
      </c>
      <c r="AB48" s="2"/>
      <c r="AC48" s="2"/>
      <c r="AD48" s="2"/>
      <c r="AF48" s="9"/>
    </row>
    <row r="49" spans="1:32" x14ac:dyDescent="0.25">
      <c r="A49" s="9" t="s">
        <v>21</v>
      </c>
      <c r="B49" s="9" t="s">
        <v>26</v>
      </c>
      <c r="C49" s="9" t="s">
        <v>20</v>
      </c>
      <c r="D49" s="9" t="s">
        <v>12</v>
      </c>
      <c r="E49" s="9">
        <v>2012</v>
      </c>
      <c r="F49" s="9"/>
      <c r="G49" s="44">
        <f t="shared" si="0"/>
        <v>13.449929078014184</v>
      </c>
      <c r="H49" s="38">
        <v>13.390823360840479</v>
      </c>
      <c r="I49" s="38">
        <v>7.171626067012923</v>
      </c>
      <c r="J49" s="38">
        <v>21.401909591702736</v>
      </c>
      <c r="K49" s="24">
        <v>13.65</v>
      </c>
      <c r="L49" s="9">
        <v>0.98534278959810873</v>
      </c>
      <c r="M49" s="9"/>
      <c r="N49" s="9"/>
      <c r="O49" s="9"/>
      <c r="P49" s="9"/>
      <c r="Q49" s="9"/>
      <c r="R49" s="9"/>
      <c r="S49" s="9"/>
      <c r="T49" s="9"/>
      <c r="U49" s="9"/>
      <c r="V49" s="2">
        <v>19</v>
      </c>
      <c r="W49" s="22">
        <f t="shared" si="9"/>
        <v>19.944531658817375</v>
      </c>
      <c r="X49" s="2"/>
      <c r="Y49" s="17"/>
      <c r="Z49" s="17"/>
      <c r="AA49" s="23">
        <f t="shared" si="10"/>
        <v>9.9424385138670857E-3</v>
      </c>
      <c r="AB49" s="2"/>
      <c r="AC49" s="2"/>
      <c r="AD49" s="2"/>
      <c r="AF49" s="9"/>
    </row>
    <row r="50" spans="1:32" x14ac:dyDescent="0.25">
      <c r="A50" s="9" t="s">
        <v>21</v>
      </c>
      <c r="B50" s="9" t="s">
        <v>26</v>
      </c>
      <c r="C50" s="9" t="s">
        <v>31</v>
      </c>
      <c r="D50" s="9" t="s">
        <v>15</v>
      </c>
      <c r="E50" s="9">
        <v>2012</v>
      </c>
      <c r="F50" s="9"/>
      <c r="G50" s="44">
        <f t="shared" si="0"/>
        <v>9.0897872340425518</v>
      </c>
      <c r="H50" s="38">
        <v>9.0449706898552549</v>
      </c>
      <c r="I50" s="38">
        <v>4.1523514953573128</v>
      </c>
      <c r="J50" s="38">
        <v>15.91274537247733</v>
      </c>
      <c r="K50" s="24">
        <v>9.2249999999999996</v>
      </c>
      <c r="L50" s="9">
        <v>0.98534278959810873</v>
      </c>
      <c r="M50" s="9"/>
      <c r="N50" s="9"/>
      <c r="O50" s="9"/>
      <c r="P50" s="9"/>
      <c r="Q50" s="9"/>
      <c r="R50" s="9"/>
      <c r="S50" s="9"/>
      <c r="T50" s="9"/>
      <c r="U50" s="9"/>
      <c r="V50" s="2">
        <f>27-V51-V52</f>
        <v>8</v>
      </c>
      <c r="W50" s="22">
        <f t="shared" si="9"/>
        <v>8.3976975405546845</v>
      </c>
      <c r="X50" s="2"/>
      <c r="Y50" s="17"/>
      <c r="Z50" s="17"/>
      <c r="AA50" s="23">
        <f t="shared" si="10"/>
        <v>4.1862899005756151E-3</v>
      </c>
      <c r="AB50" s="2"/>
      <c r="AC50" s="2"/>
      <c r="AD50" s="2"/>
      <c r="AF50" s="9"/>
    </row>
    <row r="51" spans="1:32" x14ac:dyDescent="0.25">
      <c r="A51" s="9" t="s">
        <v>21</v>
      </c>
      <c r="B51" s="9" t="s">
        <v>26</v>
      </c>
      <c r="C51" s="9" t="s">
        <v>19</v>
      </c>
      <c r="D51" s="9" t="s">
        <v>15</v>
      </c>
      <c r="E51" s="9">
        <v>2012</v>
      </c>
      <c r="F51" s="9"/>
      <c r="G51" s="44">
        <f t="shared" si="0"/>
        <v>17.169598108747042</v>
      </c>
      <c r="H51" s="38">
        <v>17.177888577007085</v>
      </c>
      <c r="I51" s="38">
        <v>10.080831842402947</v>
      </c>
      <c r="J51" s="38">
        <v>26.258658850604121</v>
      </c>
      <c r="K51" s="24">
        <v>17.424999999999997</v>
      </c>
      <c r="L51" s="9">
        <v>0.98534278959810873</v>
      </c>
      <c r="M51" s="9"/>
      <c r="N51" s="9"/>
      <c r="O51" s="9"/>
      <c r="P51" s="9"/>
      <c r="Q51" s="9"/>
      <c r="R51" s="9"/>
      <c r="S51" s="9"/>
      <c r="T51" s="9"/>
      <c r="U51" s="9"/>
      <c r="V51" s="2">
        <v>12</v>
      </c>
      <c r="W51" s="22">
        <f t="shared" si="9"/>
        <v>12.596546310832025</v>
      </c>
      <c r="X51" s="2"/>
      <c r="Y51" s="17"/>
      <c r="Z51" s="17"/>
      <c r="AA51" s="23">
        <f t="shared" si="10"/>
        <v>6.2794348508634227E-3</v>
      </c>
      <c r="AB51" s="2"/>
      <c r="AC51" s="2"/>
      <c r="AD51" s="2"/>
      <c r="AF51" s="9"/>
    </row>
    <row r="52" spans="1:32" x14ac:dyDescent="0.25">
      <c r="A52" s="9" t="s">
        <v>21</v>
      </c>
      <c r="B52" s="9" t="s">
        <v>26</v>
      </c>
      <c r="C52" s="9" t="s">
        <v>20</v>
      </c>
      <c r="D52" s="9" t="s">
        <v>15</v>
      </c>
      <c r="E52" s="9">
        <v>2012</v>
      </c>
      <c r="F52" s="9"/>
      <c r="G52" s="44">
        <f t="shared" si="0"/>
        <v>14.139669030732858</v>
      </c>
      <c r="H52" s="38">
        <v>14.197936641848374</v>
      </c>
      <c r="I52" s="38">
        <v>7.6787009829522113</v>
      </c>
      <c r="J52" s="38">
        <v>22.485040555908629</v>
      </c>
      <c r="K52" s="24">
        <v>14.349999999999998</v>
      </c>
      <c r="L52" s="9">
        <v>0.98534278959810873</v>
      </c>
      <c r="M52" s="9"/>
      <c r="N52" s="9"/>
      <c r="O52" s="9"/>
      <c r="P52" s="9"/>
      <c r="Q52" s="9"/>
      <c r="R52" s="9"/>
      <c r="S52" s="9"/>
      <c r="T52" s="9"/>
      <c r="U52" s="9"/>
      <c r="V52" s="2">
        <v>7</v>
      </c>
      <c r="W52" s="22">
        <f t="shared" si="9"/>
        <v>7.3479853479853476</v>
      </c>
      <c r="X52" s="2"/>
      <c r="Y52" s="17"/>
      <c r="Z52" s="17"/>
      <c r="AA52" s="23">
        <f t="shared" si="10"/>
        <v>3.663003663003663E-3</v>
      </c>
      <c r="AB52" s="2"/>
      <c r="AC52" s="2"/>
      <c r="AD52" s="2"/>
      <c r="AF52" s="9"/>
    </row>
    <row r="53" spans="1:32" x14ac:dyDescent="0.25">
      <c r="A53" s="9" t="s">
        <v>21</v>
      </c>
      <c r="B53" s="9" t="s">
        <v>27</v>
      </c>
      <c r="C53" s="11" t="s">
        <v>11</v>
      </c>
      <c r="D53" s="9" t="s">
        <v>11</v>
      </c>
      <c r="E53" s="9">
        <v>2012</v>
      </c>
      <c r="F53" s="9"/>
      <c r="G53" s="44">
        <f t="shared" si="0"/>
        <v>67.003309692671394</v>
      </c>
      <c r="H53" s="38"/>
      <c r="I53" s="38"/>
      <c r="J53" s="38"/>
      <c r="K53" s="24">
        <v>68</v>
      </c>
      <c r="L53" s="9">
        <v>0.98534278959810873</v>
      </c>
      <c r="M53" s="9"/>
      <c r="N53" s="9"/>
      <c r="O53" s="9"/>
      <c r="P53" s="9"/>
      <c r="Q53" s="9"/>
      <c r="R53" s="9"/>
      <c r="S53" s="9"/>
      <c r="T53" s="9"/>
      <c r="U53" s="9"/>
      <c r="V53" s="2"/>
      <c r="W53" s="22"/>
      <c r="X53" s="2"/>
      <c r="Y53" s="17"/>
      <c r="Z53" s="17"/>
      <c r="AA53" s="23"/>
      <c r="AB53" s="2"/>
      <c r="AC53" s="2"/>
      <c r="AD53" s="2"/>
      <c r="AF53" s="9"/>
    </row>
    <row r="54" spans="1:32" x14ac:dyDescent="0.25">
      <c r="A54" s="9" t="s">
        <v>21</v>
      </c>
      <c r="B54" s="9" t="s">
        <v>27</v>
      </c>
      <c r="C54" s="9" t="s">
        <v>31</v>
      </c>
      <c r="D54" s="9" t="s">
        <v>11</v>
      </c>
      <c r="E54" s="9">
        <v>2012</v>
      </c>
      <c r="F54" s="9"/>
      <c r="G54" s="44">
        <f t="shared" si="0"/>
        <v>26.604255319148937</v>
      </c>
      <c r="H54" s="38">
        <v>26.570408922768937</v>
      </c>
      <c r="I54" s="38">
        <v>17.560889123125953</v>
      </c>
      <c r="J54" s="38">
        <v>37.398603875437182</v>
      </c>
      <c r="K54" s="24">
        <v>27</v>
      </c>
      <c r="L54" s="9">
        <v>0.98534278959810873</v>
      </c>
      <c r="M54" s="9"/>
      <c r="N54" s="9"/>
      <c r="O54" s="9"/>
      <c r="P54" s="9"/>
      <c r="Q54" s="9"/>
      <c r="R54" s="9"/>
      <c r="S54" s="9"/>
      <c r="T54" s="9"/>
      <c r="U54" s="9"/>
      <c r="V54" s="2">
        <f>59-V55-V56</f>
        <v>22</v>
      </c>
      <c r="W54" s="22">
        <f t="shared" si="9"/>
        <v>23.093668236525382</v>
      </c>
      <c r="X54" s="2"/>
      <c r="Y54" s="17"/>
      <c r="Z54" s="17"/>
      <c r="AA54" s="23">
        <f>V54/SUM($V$43:$V$63)</f>
        <v>1.1512297226582941E-2</v>
      </c>
      <c r="AB54" s="2"/>
      <c r="AC54" s="2"/>
      <c r="AD54" s="2"/>
      <c r="AF54" s="9"/>
    </row>
    <row r="55" spans="1:32" x14ac:dyDescent="0.25">
      <c r="A55" s="9" t="s">
        <v>21</v>
      </c>
      <c r="B55" s="9" t="s">
        <v>27</v>
      </c>
      <c r="C55" s="9" t="s">
        <v>19</v>
      </c>
      <c r="D55" s="9" t="s">
        <v>11</v>
      </c>
      <c r="E55" s="9">
        <v>2012</v>
      </c>
      <c r="F55" s="9"/>
      <c r="G55" s="44">
        <f t="shared" si="0"/>
        <v>11.824113475177304</v>
      </c>
      <c r="H55" s="38">
        <v>11.809366735953766</v>
      </c>
      <c r="I55" s="38">
        <v>6.0455112648879332</v>
      </c>
      <c r="J55" s="38">
        <v>19.313336436856662</v>
      </c>
      <c r="K55" s="24">
        <v>12</v>
      </c>
      <c r="L55" s="9">
        <v>0.98534278959810873</v>
      </c>
      <c r="M55" s="9"/>
      <c r="N55" s="9"/>
      <c r="O55" s="9"/>
      <c r="P55" s="9"/>
      <c r="Q55" s="9"/>
      <c r="R55" s="9"/>
      <c r="S55" s="9"/>
      <c r="T55" s="9"/>
      <c r="U55" s="9"/>
      <c r="V55" s="2">
        <v>13</v>
      </c>
      <c r="W55" s="22">
        <f t="shared" si="9"/>
        <v>13.646258503401359</v>
      </c>
      <c r="X55" s="2"/>
      <c r="Y55" s="17"/>
      <c r="Z55" s="17"/>
      <c r="AA55" s="23">
        <f>V55/SUM($V$43:$V$63)</f>
        <v>6.8027210884353739E-3</v>
      </c>
      <c r="AB55" s="2"/>
      <c r="AC55" s="2"/>
      <c r="AD55" s="2"/>
      <c r="AF55" s="9"/>
    </row>
    <row r="56" spans="1:32" x14ac:dyDescent="0.25">
      <c r="A56" s="9" t="s">
        <v>21</v>
      </c>
      <c r="B56" s="9" t="s">
        <v>27</v>
      </c>
      <c r="C56" s="9" t="s">
        <v>20</v>
      </c>
      <c r="D56" s="9" t="s">
        <v>11</v>
      </c>
      <c r="E56" s="9">
        <v>2012</v>
      </c>
      <c r="F56" s="9"/>
      <c r="G56" s="44">
        <f t="shared" si="0"/>
        <v>28.574940898345154</v>
      </c>
      <c r="H56" s="38">
        <v>28.550598333814456</v>
      </c>
      <c r="I56" s="38">
        <v>19.177854969430676</v>
      </c>
      <c r="J56" s="38">
        <v>39.929617173608293</v>
      </c>
      <c r="K56" s="24">
        <v>29</v>
      </c>
      <c r="L56" s="9">
        <v>0.98534278959810873</v>
      </c>
      <c r="M56" s="9"/>
      <c r="N56" s="9"/>
      <c r="O56" s="9"/>
      <c r="P56" s="9"/>
      <c r="Q56" s="9"/>
      <c r="R56" s="9"/>
      <c r="S56" s="9"/>
      <c r="T56" s="9"/>
      <c r="U56" s="9"/>
      <c r="V56" s="2">
        <v>24</v>
      </c>
      <c r="W56" s="22">
        <f t="shared" si="9"/>
        <v>25.19309262166405</v>
      </c>
      <c r="X56" s="2"/>
      <c r="Y56" s="17"/>
      <c r="Z56" s="17"/>
      <c r="AA56" s="23">
        <f>V56/SUM($V$43:$V$63)</f>
        <v>1.2558869701726845E-2</v>
      </c>
      <c r="AB56" s="2"/>
      <c r="AC56" s="2"/>
      <c r="AD56" s="2"/>
      <c r="AF56" s="9"/>
    </row>
    <row r="57" spans="1:32" x14ac:dyDescent="0.25">
      <c r="A57" s="9" t="s">
        <v>21</v>
      </c>
      <c r="B57" s="9" t="s">
        <v>28</v>
      </c>
      <c r="C57" s="11" t="s">
        <v>11</v>
      </c>
      <c r="D57" s="9" t="s">
        <v>11</v>
      </c>
      <c r="E57" s="9">
        <v>2012</v>
      </c>
      <c r="F57" s="9"/>
      <c r="G57" s="44">
        <f t="shared" si="0"/>
        <v>186.22978723404256</v>
      </c>
      <c r="H57" s="38"/>
      <c r="I57" s="38"/>
      <c r="J57" s="38"/>
      <c r="K57" s="24">
        <v>189</v>
      </c>
      <c r="L57" s="9">
        <v>0.98534278959810873</v>
      </c>
      <c r="M57" s="9"/>
      <c r="N57" s="9"/>
      <c r="O57" s="9"/>
      <c r="P57" s="9"/>
      <c r="Q57" s="9"/>
      <c r="R57" s="9"/>
      <c r="S57" s="9"/>
      <c r="T57" s="9"/>
      <c r="U57" s="9"/>
      <c r="V57" s="2"/>
      <c r="W57" s="22"/>
      <c r="X57" s="2"/>
      <c r="Y57" s="17"/>
      <c r="Z57" s="17"/>
      <c r="AA57" s="23"/>
      <c r="AB57" s="2"/>
      <c r="AC57" s="2"/>
      <c r="AD57" s="2"/>
      <c r="AF57" s="9"/>
    </row>
    <row r="58" spans="1:32" x14ac:dyDescent="0.25">
      <c r="A58" s="9" t="s">
        <v>21</v>
      </c>
      <c r="B58" s="9" t="s">
        <v>28</v>
      </c>
      <c r="C58" s="9" t="s">
        <v>31</v>
      </c>
      <c r="D58" s="9" t="s">
        <v>12</v>
      </c>
      <c r="E58" s="9">
        <v>2012</v>
      </c>
      <c r="F58" s="9"/>
      <c r="G58" s="44">
        <f t="shared" si="0"/>
        <v>3.102005078364416</v>
      </c>
      <c r="H58" s="38">
        <v>3.1001687313459594</v>
      </c>
      <c r="I58" s="38">
        <v>0.67270274745417591</v>
      </c>
      <c r="J58" s="38">
        <v>7.3977605381926761</v>
      </c>
      <c r="K58" s="24">
        <v>3.1481481481481479</v>
      </c>
      <c r="L58" s="9">
        <v>0.98534278959810873</v>
      </c>
      <c r="M58" s="9"/>
      <c r="N58" s="9"/>
      <c r="O58" s="9"/>
      <c r="P58" s="9"/>
      <c r="Q58" s="9"/>
      <c r="R58" s="9"/>
      <c r="S58" s="9"/>
      <c r="T58" s="9"/>
      <c r="U58" s="9"/>
      <c r="V58" s="2">
        <f>1730-SUM(V43:V49)-SUM(V54:V56)-SUM(V59:V60)</f>
        <v>3</v>
      </c>
      <c r="W58" s="22">
        <f t="shared" si="9"/>
        <v>3.1491365777080063</v>
      </c>
      <c r="X58" s="2"/>
      <c r="Y58" s="17"/>
      <c r="Z58" s="17"/>
      <c r="AA58" s="23">
        <f t="shared" ref="AA58:AA63" si="11">V58/SUM($V$43:$V$63)</f>
        <v>1.5698587127158557E-3</v>
      </c>
      <c r="AB58" s="2"/>
      <c r="AC58" s="2"/>
      <c r="AD58" s="2"/>
      <c r="AF58" s="9"/>
    </row>
    <row r="59" spans="1:32" x14ac:dyDescent="0.25">
      <c r="A59" s="9" t="s">
        <v>21</v>
      </c>
      <c r="B59" s="9" t="s">
        <v>28</v>
      </c>
      <c r="C59" s="9" t="s">
        <v>19</v>
      </c>
      <c r="D59" s="9" t="s">
        <v>12</v>
      </c>
      <c r="E59" s="9">
        <v>2012</v>
      </c>
      <c r="F59" s="9"/>
      <c r="G59" s="44">
        <f t="shared" si="0"/>
        <v>6.2926388732535301</v>
      </c>
      <c r="H59" s="38">
        <v>6.2654703990608551</v>
      </c>
      <c r="I59" s="38">
        <v>2.3905959292789882</v>
      </c>
      <c r="J59" s="38">
        <v>12.030071173717381</v>
      </c>
      <c r="K59" s="24">
        <v>6.3862433862433861</v>
      </c>
      <c r="L59" s="9">
        <v>0.98534278959810873</v>
      </c>
      <c r="M59" s="9"/>
      <c r="N59" s="9"/>
      <c r="O59" s="9"/>
      <c r="P59" s="9"/>
      <c r="Q59" s="9"/>
      <c r="R59" s="9"/>
      <c r="S59" s="9"/>
      <c r="T59" s="9"/>
      <c r="U59" s="9"/>
      <c r="V59" s="2">
        <f>335-V55-V48-V44</f>
        <v>3</v>
      </c>
      <c r="W59" s="22">
        <f t="shared" si="9"/>
        <v>3.1491365777080063</v>
      </c>
      <c r="X59" s="2"/>
      <c r="Y59" s="17"/>
      <c r="Z59" s="17"/>
      <c r="AA59" s="23">
        <f t="shared" si="11"/>
        <v>1.5698587127158557E-3</v>
      </c>
      <c r="AB59" s="2"/>
      <c r="AC59" s="2"/>
      <c r="AD59" s="2"/>
      <c r="AF59" s="9"/>
    </row>
    <row r="60" spans="1:32" x14ac:dyDescent="0.25">
      <c r="A60" s="9" t="s">
        <v>21</v>
      </c>
      <c r="B60" s="9" t="s">
        <v>28</v>
      </c>
      <c r="C60" s="9" t="s">
        <v>20</v>
      </c>
      <c r="D60" s="9" t="s">
        <v>12</v>
      </c>
      <c r="E60" s="9">
        <v>2012</v>
      </c>
      <c r="F60" s="9"/>
      <c r="G60" s="44">
        <f t="shared" si="0"/>
        <v>7.356183471549901</v>
      </c>
      <c r="H60" s="38">
        <v>7.3677846436535868</v>
      </c>
      <c r="I60" s="38">
        <v>2.999033502831459</v>
      </c>
      <c r="J60" s="38">
        <v>13.568225091688076</v>
      </c>
      <c r="K60" s="24">
        <v>7.4656084656084651</v>
      </c>
      <c r="L60" s="9">
        <v>0.98534278959810873</v>
      </c>
      <c r="M60" s="9"/>
      <c r="N60" s="9"/>
      <c r="O60" s="9"/>
      <c r="P60" s="9"/>
      <c r="Q60" s="9"/>
      <c r="R60" s="9"/>
      <c r="S60" s="9"/>
      <c r="T60" s="9"/>
      <c r="U60" s="9"/>
      <c r="V60" s="2">
        <f>853-V56-V49-V45</f>
        <v>7</v>
      </c>
      <c r="W60" s="22">
        <f t="shared" si="9"/>
        <v>7.3479853479853476</v>
      </c>
      <c r="X60" s="2"/>
      <c r="Y60" s="17"/>
      <c r="Z60" s="17"/>
      <c r="AA60" s="23">
        <f t="shared" si="11"/>
        <v>3.663003663003663E-3</v>
      </c>
      <c r="AB60" s="2"/>
      <c r="AC60" s="2"/>
      <c r="AD60" s="2"/>
      <c r="AF60" s="9"/>
    </row>
    <row r="61" spans="1:32" x14ac:dyDescent="0.25">
      <c r="A61" s="9" t="s">
        <v>21</v>
      </c>
      <c r="B61" s="9" t="s">
        <v>28</v>
      </c>
      <c r="C61" s="9" t="s">
        <v>31</v>
      </c>
      <c r="D61" s="9" t="s">
        <v>15</v>
      </c>
      <c r="E61" s="9">
        <v>2012</v>
      </c>
      <c r="F61" s="9"/>
      <c r="G61" s="44">
        <f t="shared" si="0"/>
        <v>31.384992557569387</v>
      </c>
      <c r="H61" s="38">
        <v>31.421813773662734</v>
      </c>
      <c r="I61" s="38">
        <v>21.60175648203845</v>
      </c>
      <c r="J61" s="38">
        <v>43.469916324551576</v>
      </c>
      <c r="K61" s="24">
        <v>31.851851851851851</v>
      </c>
      <c r="L61" s="9">
        <v>0.98534278959810873</v>
      </c>
      <c r="M61" s="9"/>
      <c r="N61" s="9"/>
      <c r="O61" s="9"/>
      <c r="P61" s="9"/>
      <c r="Q61" s="9"/>
      <c r="R61" s="9"/>
      <c r="S61" s="9"/>
      <c r="T61" s="9"/>
      <c r="U61" s="9"/>
      <c r="V61" s="2">
        <f>181-SUM(V50:V52)-SUM(V62:V63)</f>
        <v>22</v>
      </c>
      <c r="W61" s="22">
        <f t="shared" si="9"/>
        <v>23.093668236525382</v>
      </c>
      <c r="X61" s="2"/>
      <c r="Y61" s="17"/>
      <c r="Z61" s="17"/>
      <c r="AA61" s="23">
        <f t="shared" si="11"/>
        <v>1.1512297226582941E-2</v>
      </c>
      <c r="AB61" s="2"/>
      <c r="AC61" s="2"/>
      <c r="AD61" s="2"/>
      <c r="AF61" s="9"/>
    </row>
    <row r="62" spans="1:32" x14ac:dyDescent="0.25">
      <c r="A62" s="9" t="s">
        <v>21</v>
      </c>
      <c r="B62" s="9" t="s">
        <v>28</v>
      </c>
      <c r="C62" s="9" t="s">
        <v>19</v>
      </c>
      <c r="D62" s="9" t="s">
        <v>15</v>
      </c>
      <c r="E62" s="9">
        <v>2012</v>
      </c>
      <c r="F62" s="9"/>
      <c r="G62" s="44">
        <f t="shared" si="0"/>
        <v>63.666699188212185</v>
      </c>
      <c r="H62" s="38">
        <v>63.821140210598173</v>
      </c>
      <c r="I62" s="38">
        <v>49.08060486527129</v>
      </c>
      <c r="J62" s="38">
        <v>80.406672332376218</v>
      </c>
      <c r="K62" s="24">
        <v>64.613756613756607</v>
      </c>
      <c r="L62" s="9">
        <v>0.98534278959810873</v>
      </c>
      <c r="M62" s="9"/>
      <c r="N62" s="9"/>
      <c r="O62" s="9"/>
      <c r="P62" s="9"/>
      <c r="Q62" s="9"/>
      <c r="R62" s="9"/>
      <c r="S62" s="9"/>
      <c r="T62" s="9"/>
      <c r="U62" s="9"/>
      <c r="V62" s="2">
        <f>73-V51</f>
        <v>61</v>
      </c>
      <c r="W62" s="22">
        <f t="shared" si="9"/>
        <v>64.032443746729456</v>
      </c>
      <c r="X62" s="2"/>
      <c r="Y62" s="17"/>
      <c r="Z62" s="17"/>
      <c r="AA62" s="23">
        <f t="shared" si="11"/>
        <v>3.1920460491889062E-2</v>
      </c>
      <c r="AB62" s="2"/>
      <c r="AC62" s="2"/>
      <c r="AD62" s="2"/>
      <c r="AF62" s="9"/>
    </row>
    <row r="63" spans="1:32" x14ac:dyDescent="0.25">
      <c r="A63" s="9" t="s">
        <v>21</v>
      </c>
      <c r="B63" s="9" t="s">
        <v>28</v>
      </c>
      <c r="C63" s="9" t="s">
        <v>20</v>
      </c>
      <c r="D63" s="9" t="s">
        <v>15</v>
      </c>
      <c r="E63" s="9">
        <v>2012</v>
      </c>
      <c r="F63" s="9"/>
      <c r="G63" s="44">
        <f t="shared" si="0"/>
        <v>74.427268065093116</v>
      </c>
      <c r="H63" s="38">
        <v>74.396412687993106</v>
      </c>
      <c r="I63" s="38">
        <v>58.644448756063227</v>
      </c>
      <c r="J63" s="38">
        <v>92.065025744395086</v>
      </c>
      <c r="K63" s="24">
        <v>75.534391534391531</v>
      </c>
      <c r="L63" s="9">
        <v>0.98534278959810873</v>
      </c>
      <c r="M63" s="9"/>
      <c r="N63" s="9"/>
      <c r="O63" s="9"/>
      <c r="P63" s="9"/>
      <c r="Q63" s="9"/>
      <c r="R63" s="9"/>
      <c r="S63" s="9"/>
      <c r="T63" s="9"/>
      <c r="U63" s="9"/>
      <c r="V63" s="2">
        <f>78-V52</f>
        <v>71</v>
      </c>
      <c r="W63" s="22">
        <f t="shared" si="9"/>
        <v>74.529565672422819</v>
      </c>
      <c r="X63" s="2"/>
      <c r="Y63" s="17"/>
      <c r="Z63" s="17"/>
      <c r="AA63" s="23">
        <f t="shared" si="11"/>
        <v>3.7153322867608585E-2</v>
      </c>
      <c r="AB63" s="2"/>
      <c r="AC63" s="2"/>
      <c r="AD63" s="2"/>
      <c r="AF63" s="9"/>
    </row>
    <row r="64" spans="1:32" x14ac:dyDescent="0.25">
      <c r="A64" s="9" t="s">
        <v>22</v>
      </c>
      <c r="B64" s="9" t="s">
        <v>11</v>
      </c>
      <c r="C64" s="9" t="s">
        <v>11</v>
      </c>
      <c r="D64" s="9" t="s">
        <v>11</v>
      </c>
      <c r="E64" s="9">
        <v>2012</v>
      </c>
      <c r="F64" s="44">
        <f>M64*N64</f>
        <v>498.35267822736034</v>
      </c>
      <c r="G64" s="51">
        <f t="shared" si="0"/>
        <v>416</v>
      </c>
      <c r="H64" s="39">
        <v>498.38869999999997</v>
      </c>
      <c r="I64" s="39">
        <v>455</v>
      </c>
      <c r="J64" s="39">
        <v>542.02499999999964</v>
      </c>
      <c r="K64" s="51">
        <v>478</v>
      </c>
      <c r="L64" s="52">
        <v>0.87029288702928875</v>
      </c>
      <c r="M64" s="44">
        <v>548</v>
      </c>
      <c r="N64" s="46">
        <v>0.9094026974951831</v>
      </c>
      <c r="O64" s="9"/>
      <c r="P64" s="9"/>
      <c r="Q64" s="9"/>
      <c r="R64" s="9"/>
      <c r="S64" s="9"/>
      <c r="T64" s="9"/>
      <c r="U64" s="9"/>
      <c r="V64" s="1">
        <v>545</v>
      </c>
      <c r="W64" s="1"/>
      <c r="X64" s="2"/>
      <c r="Y64" s="17"/>
      <c r="Z64" s="17"/>
      <c r="AA64" s="17"/>
      <c r="AB64" s="2"/>
      <c r="AC64" s="2"/>
      <c r="AD64" s="2"/>
      <c r="AF64" s="9"/>
    </row>
    <row r="65" spans="1:32" x14ac:dyDescent="0.25">
      <c r="A65" s="9" t="s">
        <v>22</v>
      </c>
      <c r="B65" s="9" t="s">
        <v>11</v>
      </c>
      <c r="C65" s="9" t="s">
        <v>19</v>
      </c>
      <c r="D65" s="9" t="s">
        <v>11</v>
      </c>
      <c r="E65" s="9">
        <v>2012</v>
      </c>
      <c r="F65" s="44">
        <f t="shared" ref="F65:F84" si="12">M65*N65</f>
        <v>139.13861271676302</v>
      </c>
      <c r="G65" s="51">
        <f t="shared" si="0"/>
        <v>113.13807531380753</v>
      </c>
      <c r="H65" s="39"/>
      <c r="I65" s="39"/>
      <c r="J65" s="39"/>
      <c r="K65" s="51">
        <v>130</v>
      </c>
      <c r="L65" s="52">
        <v>0.87029288702928875</v>
      </c>
      <c r="M65" s="44">
        <v>153</v>
      </c>
      <c r="N65" s="46">
        <v>0.9094026974951831</v>
      </c>
      <c r="O65" s="9"/>
      <c r="P65" s="9"/>
      <c r="Q65" s="9"/>
      <c r="R65" s="9"/>
      <c r="S65" s="9"/>
      <c r="T65" s="9"/>
      <c r="U65" s="9"/>
      <c r="V65" s="38">
        <f>V64*Y65</f>
        <v>143.82641575080331</v>
      </c>
      <c r="W65" s="40"/>
      <c r="X65" s="3">
        <f>$V$64*Z65</f>
        <v>111.79486900000001</v>
      </c>
      <c r="Y65" s="19">
        <f>(Y128+Y194)/2</f>
        <v>0.2639016802767033</v>
      </c>
      <c r="Z65" s="19">
        <v>0.20512820000000001</v>
      </c>
      <c r="AA65" s="19"/>
      <c r="AB65" s="3"/>
      <c r="AC65" s="3"/>
      <c r="AD65" s="3"/>
      <c r="AE65" s="9" t="s">
        <v>42</v>
      </c>
      <c r="AF65" s="9"/>
    </row>
    <row r="66" spans="1:32" x14ac:dyDescent="0.25">
      <c r="A66" s="9" t="s">
        <v>22</v>
      </c>
      <c r="B66" s="9" t="s">
        <v>24</v>
      </c>
      <c r="C66" s="9" t="s">
        <v>11</v>
      </c>
      <c r="D66" s="9" t="s">
        <v>11</v>
      </c>
      <c r="E66" s="9">
        <v>2012</v>
      </c>
      <c r="F66" s="44">
        <f t="shared" si="12"/>
        <v>327.38497109826591</v>
      </c>
      <c r="G66" s="51">
        <f t="shared" si="0"/>
        <v>267.17991631799163</v>
      </c>
      <c r="H66" s="39"/>
      <c r="I66" s="39"/>
      <c r="J66" s="39"/>
      <c r="K66" s="51">
        <v>307</v>
      </c>
      <c r="L66" s="52">
        <v>0.87029288702928875</v>
      </c>
      <c r="M66" s="44">
        <v>360</v>
      </c>
      <c r="N66" s="46">
        <v>0.9094026974951831</v>
      </c>
      <c r="O66" s="9"/>
      <c r="P66" s="9"/>
      <c r="Q66" s="9"/>
      <c r="R66" s="9"/>
      <c r="S66" s="9"/>
      <c r="T66" s="9"/>
      <c r="U66" s="9"/>
      <c r="V66" s="38">
        <f>V64*Y66</f>
        <v>350.03765784572562</v>
      </c>
      <c r="W66" s="39"/>
      <c r="X66" s="3">
        <f>$V$64*Z66</f>
        <v>418.475525</v>
      </c>
      <c r="Y66" s="19">
        <f>(Y129+Y195)/2</f>
        <v>0.64227093182701944</v>
      </c>
      <c r="Z66" s="19">
        <v>0.767845</v>
      </c>
      <c r="AA66" s="19"/>
      <c r="AB66" s="3"/>
      <c r="AC66" s="3"/>
      <c r="AD66" s="3"/>
      <c r="AE66" s="9" t="s">
        <v>43</v>
      </c>
      <c r="AF66" s="9"/>
    </row>
    <row r="67" spans="1:32" s="37" customFormat="1" x14ac:dyDescent="0.25">
      <c r="A67" s="9" t="s">
        <v>22</v>
      </c>
      <c r="B67" s="9" t="s">
        <v>24</v>
      </c>
      <c r="C67" s="9" t="s">
        <v>31</v>
      </c>
      <c r="D67" s="9" t="s">
        <v>11</v>
      </c>
      <c r="E67" s="9">
        <v>2012</v>
      </c>
      <c r="F67" s="44">
        <f t="shared" si="12"/>
        <v>148.23263969171484</v>
      </c>
      <c r="G67" s="51">
        <f t="shared" si="0"/>
        <v>120.97071129707113</v>
      </c>
      <c r="H67" s="39">
        <v>148.25021519735702</v>
      </c>
      <c r="I67" s="39">
        <v>125.06022868611315</v>
      </c>
      <c r="J67" s="39">
        <v>172.42172153720503</v>
      </c>
      <c r="K67" s="51">
        <v>139</v>
      </c>
      <c r="L67" s="52">
        <v>0.87029288702928875</v>
      </c>
      <c r="M67" s="44">
        <v>163</v>
      </c>
      <c r="N67" s="46">
        <v>0.9094026974951831</v>
      </c>
      <c r="O67" s="9"/>
      <c r="P67" s="9"/>
      <c r="Q67" s="9"/>
      <c r="R67" s="9"/>
      <c r="S67" s="9"/>
      <c r="T67" s="9"/>
      <c r="U67" s="9"/>
      <c r="V67" s="3"/>
      <c r="W67" s="27"/>
      <c r="X67" s="3"/>
      <c r="Y67" s="19"/>
      <c r="Z67" s="19"/>
      <c r="AA67" s="19"/>
      <c r="AB67" s="3"/>
      <c r="AC67" s="3"/>
      <c r="AD67" s="3"/>
      <c r="AE67" s="9"/>
      <c r="AF67" s="9"/>
    </row>
    <row r="68" spans="1:32" s="37" customFormat="1" x14ac:dyDescent="0.25">
      <c r="A68" s="9" t="s">
        <v>22</v>
      </c>
      <c r="B68" s="9" t="s">
        <v>24</v>
      </c>
      <c r="C68" s="9" t="s">
        <v>19</v>
      </c>
      <c r="D68" s="9" t="s">
        <v>11</v>
      </c>
      <c r="E68" s="9">
        <v>2012</v>
      </c>
      <c r="F68" s="44">
        <f t="shared" si="12"/>
        <v>70.024007707129101</v>
      </c>
      <c r="G68" s="51">
        <f t="shared" si="0"/>
        <v>51.347280334728033</v>
      </c>
      <c r="H68" s="39">
        <v>70.067997777877181</v>
      </c>
      <c r="I68" s="39">
        <v>54.435946521340092</v>
      </c>
      <c r="J68" s="39">
        <v>87.325875246678663</v>
      </c>
      <c r="K68" s="51">
        <v>59</v>
      </c>
      <c r="L68" s="52">
        <v>0.87029288702928875</v>
      </c>
      <c r="M68" s="44">
        <v>77</v>
      </c>
      <c r="N68" s="46">
        <v>0.9094026974951831</v>
      </c>
      <c r="O68" s="9"/>
      <c r="P68" s="9"/>
      <c r="Q68" s="9"/>
      <c r="R68" s="9"/>
      <c r="S68" s="9"/>
      <c r="T68" s="9"/>
      <c r="U68" s="9"/>
      <c r="V68" s="3"/>
      <c r="W68" s="27"/>
      <c r="X68" s="3"/>
      <c r="Y68" s="19"/>
      <c r="Z68" s="19"/>
      <c r="AA68" s="19"/>
      <c r="AB68" s="3"/>
      <c r="AC68" s="3"/>
      <c r="AD68" s="3"/>
      <c r="AE68" s="9"/>
      <c r="AF68" s="9"/>
    </row>
    <row r="69" spans="1:32" s="37" customFormat="1" x14ac:dyDescent="0.25">
      <c r="A69" s="9" t="s">
        <v>22</v>
      </c>
      <c r="B69" s="9" t="s">
        <v>24</v>
      </c>
      <c r="C69" s="9" t="s">
        <v>20</v>
      </c>
      <c r="D69" s="9" t="s">
        <v>11</v>
      </c>
      <c r="E69" s="9">
        <v>2012</v>
      </c>
      <c r="F69" s="44">
        <f t="shared" si="12"/>
        <v>109.12832369942197</v>
      </c>
      <c r="G69" s="51">
        <f t="shared" si="0"/>
        <v>94.861924686192481</v>
      </c>
      <c r="H69" s="39">
        <v>109.11112124376569</v>
      </c>
      <c r="I69" s="39">
        <v>89.86744784626967</v>
      </c>
      <c r="J69" s="39">
        <v>130.36610439346831</v>
      </c>
      <c r="K69" s="51">
        <v>109</v>
      </c>
      <c r="L69" s="52">
        <v>0.87029288702928875</v>
      </c>
      <c r="M69" s="44">
        <v>120</v>
      </c>
      <c r="N69" s="46">
        <v>0.9094026974951831</v>
      </c>
      <c r="O69" s="9"/>
      <c r="P69" s="9"/>
      <c r="Q69" s="9"/>
      <c r="R69" s="9"/>
      <c r="S69" s="9"/>
      <c r="T69" s="9"/>
      <c r="U69" s="9"/>
      <c r="V69" s="3"/>
      <c r="W69" s="27"/>
      <c r="X69" s="3"/>
      <c r="Y69" s="19"/>
      <c r="Z69" s="19"/>
      <c r="AA69" s="19"/>
      <c r="AB69" s="3"/>
      <c r="AC69" s="3"/>
      <c r="AD69" s="3"/>
      <c r="AE69" s="9"/>
      <c r="AF69" s="9"/>
    </row>
    <row r="70" spans="1:32" s="37" customFormat="1" x14ac:dyDescent="0.25">
      <c r="A70" s="9" t="s">
        <v>22</v>
      </c>
      <c r="B70" s="9" t="s">
        <v>26</v>
      </c>
      <c r="C70" s="9" t="s">
        <v>31</v>
      </c>
      <c r="D70" s="9" t="s">
        <v>12</v>
      </c>
      <c r="E70" s="9">
        <v>2012</v>
      </c>
      <c r="F70" s="44">
        <f t="shared" si="12"/>
        <v>9.449262403660887</v>
      </c>
      <c r="G70" s="51">
        <f t="shared" si="0"/>
        <v>7.644072524407254</v>
      </c>
      <c r="H70" s="39">
        <v>9.4350649513133362</v>
      </c>
      <c r="I70" s="39">
        <v>4.4008293868396056</v>
      </c>
      <c r="J70" s="39">
        <v>16.247578433994796</v>
      </c>
      <c r="K70" s="51">
        <v>8.783333333333335</v>
      </c>
      <c r="L70" s="52">
        <v>0.87029288702928875</v>
      </c>
      <c r="M70" s="44">
        <v>10.390625</v>
      </c>
      <c r="N70" s="46">
        <v>0.9094026974951831</v>
      </c>
      <c r="O70" s="9"/>
      <c r="P70" s="9"/>
      <c r="Q70" s="9"/>
      <c r="R70" s="9"/>
      <c r="S70" s="9"/>
      <c r="T70" s="9"/>
      <c r="U70" s="9"/>
      <c r="V70" s="3"/>
      <c r="W70" s="27"/>
      <c r="X70" s="3"/>
      <c r="Y70" s="19"/>
      <c r="Z70" s="19"/>
      <c r="AA70" s="19"/>
      <c r="AB70" s="3"/>
      <c r="AC70" s="3"/>
      <c r="AD70" s="3"/>
      <c r="AE70" s="9"/>
      <c r="AF70" s="9"/>
    </row>
    <row r="71" spans="1:32" s="37" customFormat="1" x14ac:dyDescent="0.25">
      <c r="A71" s="9" t="s">
        <v>22</v>
      </c>
      <c r="B71" s="9" t="s">
        <v>26</v>
      </c>
      <c r="C71" s="9" t="s">
        <v>19</v>
      </c>
      <c r="D71" s="9" t="s">
        <v>12</v>
      </c>
      <c r="E71" s="9">
        <v>2012</v>
      </c>
      <c r="F71" s="44">
        <f t="shared" si="12"/>
        <v>12.930569605009635</v>
      </c>
      <c r="G71" s="51">
        <f t="shared" si="0"/>
        <v>11.690934449093447</v>
      </c>
      <c r="H71" s="39">
        <v>12.886943019338929</v>
      </c>
      <c r="I71" s="39">
        <v>6.8374631833577828</v>
      </c>
      <c r="J71" s="39">
        <v>20.72222617140115</v>
      </c>
      <c r="K71" s="51">
        <v>13.433333333333335</v>
      </c>
      <c r="L71" s="52">
        <v>0.87029288702928875</v>
      </c>
      <c r="M71" s="44">
        <v>14.21875</v>
      </c>
      <c r="N71" s="46">
        <v>0.9094026974951831</v>
      </c>
      <c r="O71" s="9"/>
      <c r="P71" s="9"/>
      <c r="Q71" s="9"/>
      <c r="R71" s="9"/>
      <c r="S71" s="9"/>
      <c r="T71" s="9"/>
      <c r="U71" s="9"/>
      <c r="V71" s="3"/>
      <c r="W71" s="27"/>
      <c r="X71" s="3"/>
      <c r="Y71" s="19"/>
      <c r="Z71" s="19"/>
      <c r="AA71" s="19"/>
      <c r="AB71" s="3"/>
      <c r="AC71" s="3"/>
      <c r="AD71" s="3"/>
      <c r="AE71" s="9"/>
      <c r="AF71" s="9"/>
    </row>
    <row r="72" spans="1:32" s="37" customFormat="1" x14ac:dyDescent="0.25">
      <c r="A72" s="9" t="s">
        <v>22</v>
      </c>
      <c r="B72" s="9" t="s">
        <v>26</v>
      </c>
      <c r="C72" s="9" t="s">
        <v>20</v>
      </c>
      <c r="D72" s="9" t="s">
        <v>12</v>
      </c>
      <c r="E72" s="9">
        <v>2012</v>
      </c>
      <c r="F72" s="44">
        <f t="shared" si="12"/>
        <v>9.449262403660887</v>
      </c>
      <c r="G72" s="51">
        <f t="shared" si="0"/>
        <v>7.644072524407254</v>
      </c>
      <c r="H72" s="39">
        <v>9.4117666307163788</v>
      </c>
      <c r="I72" s="39">
        <v>4.4403227665824048</v>
      </c>
      <c r="J72" s="39">
        <v>16.154947097565923</v>
      </c>
      <c r="K72" s="51">
        <v>8.783333333333335</v>
      </c>
      <c r="L72" s="52">
        <v>0.87029288702928875</v>
      </c>
      <c r="M72" s="44">
        <v>10.390625</v>
      </c>
      <c r="N72" s="46">
        <v>0.9094026974951831</v>
      </c>
      <c r="O72" s="9"/>
      <c r="P72" s="9"/>
      <c r="Q72" s="9"/>
      <c r="R72" s="9"/>
      <c r="S72" s="9"/>
      <c r="T72" s="9"/>
      <c r="U72" s="9"/>
      <c r="V72" s="3"/>
      <c r="W72" s="27"/>
      <c r="X72" s="3"/>
      <c r="Y72" s="19"/>
      <c r="Z72" s="19"/>
      <c r="AA72" s="19"/>
      <c r="AB72" s="3"/>
      <c r="AC72" s="3"/>
      <c r="AD72" s="3"/>
      <c r="AE72" s="9"/>
      <c r="AF72" s="9"/>
    </row>
    <row r="73" spans="1:32" s="37" customFormat="1" x14ac:dyDescent="0.25">
      <c r="A73" s="9" t="s">
        <v>22</v>
      </c>
      <c r="B73" s="9" t="s">
        <v>26</v>
      </c>
      <c r="C73" s="9" t="s">
        <v>31</v>
      </c>
      <c r="D73" s="9" t="s">
        <v>15</v>
      </c>
      <c r="E73" s="9">
        <v>2012</v>
      </c>
      <c r="F73" s="44">
        <f t="shared" si="12"/>
        <v>7.829388848747592</v>
      </c>
      <c r="G73" s="51">
        <f t="shared" si="0"/>
        <v>7.1509065550906561</v>
      </c>
      <c r="H73" s="39">
        <v>7.8253965148087854</v>
      </c>
      <c r="I73" s="39">
        <v>3.3607155800069681</v>
      </c>
      <c r="J73" s="39">
        <v>14.142113020677984</v>
      </c>
      <c r="K73" s="51">
        <v>8.2166666666666668</v>
      </c>
      <c r="L73" s="52">
        <v>0.87029288702928875</v>
      </c>
      <c r="M73" s="44">
        <v>8.609375</v>
      </c>
      <c r="N73" s="46">
        <v>0.9094026974951831</v>
      </c>
      <c r="O73" s="9"/>
      <c r="P73" s="9"/>
      <c r="Q73" s="9"/>
      <c r="R73" s="9"/>
      <c r="S73" s="9"/>
      <c r="T73" s="9"/>
      <c r="U73" s="9"/>
      <c r="V73" s="3"/>
      <c r="W73" s="27"/>
      <c r="X73" s="3"/>
      <c r="Y73" s="19"/>
      <c r="Z73" s="19"/>
      <c r="AA73" s="19"/>
      <c r="AB73" s="3"/>
      <c r="AC73" s="3"/>
      <c r="AD73" s="3"/>
      <c r="AE73" s="9"/>
      <c r="AF73" s="9"/>
    </row>
    <row r="74" spans="1:32" s="37" customFormat="1" x14ac:dyDescent="0.25">
      <c r="A74" s="9" t="s">
        <v>22</v>
      </c>
      <c r="B74" s="9" t="s">
        <v>26</v>
      </c>
      <c r="C74" s="9" t="s">
        <v>19</v>
      </c>
      <c r="D74" s="9" t="s">
        <v>15</v>
      </c>
      <c r="E74" s="9">
        <v>2012</v>
      </c>
      <c r="F74" s="44">
        <f t="shared" si="12"/>
        <v>10.713900529865127</v>
      </c>
      <c r="G74" s="51">
        <f t="shared" si="0"/>
        <v>10.936680613668061</v>
      </c>
      <c r="H74" s="39">
        <v>10.719822651424803</v>
      </c>
      <c r="I74" s="39">
        <v>5.2621117813840543</v>
      </c>
      <c r="J74" s="39">
        <v>18.082076041039098</v>
      </c>
      <c r="K74" s="51">
        <v>12.566666666666666</v>
      </c>
      <c r="L74" s="52">
        <v>0.87029288702928875</v>
      </c>
      <c r="M74" s="44">
        <v>11.78125</v>
      </c>
      <c r="N74" s="46">
        <v>0.9094026974951831</v>
      </c>
      <c r="O74" s="9"/>
      <c r="P74" s="9"/>
      <c r="Q74" s="9"/>
      <c r="R74" s="9"/>
      <c r="S74" s="9"/>
      <c r="T74" s="9"/>
      <c r="U74" s="9"/>
      <c r="V74" s="3"/>
      <c r="W74" s="27"/>
      <c r="X74" s="3"/>
      <c r="Y74" s="19"/>
      <c r="Z74" s="19"/>
      <c r="AA74" s="19"/>
      <c r="AB74" s="3"/>
      <c r="AC74" s="3"/>
      <c r="AD74" s="3"/>
      <c r="AE74" s="9"/>
      <c r="AF74" s="9"/>
    </row>
    <row r="75" spans="1:32" s="37" customFormat="1" x14ac:dyDescent="0.25">
      <c r="A75" s="9" t="s">
        <v>22</v>
      </c>
      <c r="B75" s="9" t="s">
        <v>26</v>
      </c>
      <c r="C75" s="9" t="s">
        <v>20</v>
      </c>
      <c r="D75" s="9" t="s">
        <v>15</v>
      </c>
      <c r="E75" s="9">
        <v>2012</v>
      </c>
      <c r="F75" s="44">
        <f t="shared" si="12"/>
        <v>7.829388848747592</v>
      </c>
      <c r="G75" s="51">
        <f t="shared" si="0"/>
        <v>7.1509065550906561</v>
      </c>
      <c r="H75" s="39">
        <v>7.8257333909795941</v>
      </c>
      <c r="I75" s="39">
        <v>3.324163360896756</v>
      </c>
      <c r="J75" s="39">
        <v>14.275106530678251</v>
      </c>
      <c r="K75" s="51">
        <v>8.2166666666666668</v>
      </c>
      <c r="L75" s="52">
        <v>0.87029288702928875</v>
      </c>
      <c r="M75" s="44">
        <v>8.609375</v>
      </c>
      <c r="N75" s="46">
        <v>0.9094026974951831</v>
      </c>
      <c r="O75" s="9"/>
      <c r="P75" s="9"/>
      <c r="Q75" s="9"/>
      <c r="R75" s="9"/>
      <c r="S75" s="9"/>
      <c r="T75" s="9"/>
      <c r="U75" s="9"/>
      <c r="V75" s="3"/>
      <c r="W75" s="27"/>
      <c r="X75" s="3"/>
      <c r="Y75" s="19"/>
      <c r="Z75" s="19"/>
      <c r="AA75" s="19"/>
      <c r="AB75" s="3"/>
      <c r="AC75" s="3"/>
      <c r="AD75" s="3"/>
      <c r="AE75" s="9"/>
      <c r="AF75" s="9"/>
    </row>
    <row r="76" spans="1:32" s="37" customFormat="1" x14ac:dyDescent="0.25">
      <c r="A76" s="9" t="s">
        <v>22</v>
      </c>
      <c r="B76" s="9" t="s">
        <v>27</v>
      </c>
      <c r="C76" s="9" t="s">
        <v>31</v>
      </c>
      <c r="D76" s="9" t="s">
        <v>11</v>
      </c>
      <c r="E76" s="9">
        <v>2012</v>
      </c>
      <c r="F76" s="44">
        <f t="shared" si="12"/>
        <v>25.463275529865125</v>
      </c>
      <c r="G76" s="51">
        <f t="shared" si="0"/>
        <v>20.01673640167364</v>
      </c>
      <c r="H76" s="39">
        <v>25.478429043352381</v>
      </c>
      <c r="I76" s="39">
        <v>16.587083123330405</v>
      </c>
      <c r="J76" s="39">
        <v>36.156419994680718</v>
      </c>
      <c r="K76" s="51">
        <v>23</v>
      </c>
      <c r="L76" s="52">
        <v>0.87029288702928875</v>
      </c>
      <c r="M76" s="44">
        <v>28</v>
      </c>
      <c r="N76" s="46">
        <v>0.9094026974951831</v>
      </c>
      <c r="O76" s="9"/>
      <c r="P76" s="9"/>
      <c r="Q76" s="9"/>
      <c r="R76" s="9"/>
      <c r="S76" s="9"/>
      <c r="T76" s="9"/>
      <c r="U76" s="9"/>
      <c r="V76" s="3"/>
      <c r="W76" s="27"/>
      <c r="X76" s="3"/>
      <c r="Y76" s="19"/>
      <c r="Z76" s="19"/>
      <c r="AA76" s="19"/>
      <c r="AB76" s="3"/>
      <c r="AC76" s="3"/>
      <c r="AD76" s="3"/>
      <c r="AE76" s="9"/>
      <c r="AF76" s="9"/>
    </row>
    <row r="77" spans="1:32" s="37" customFormat="1" x14ac:dyDescent="0.25">
      <c r="A77" s="9" t="s">
        <v>22</v>
      </c>
      <c r="B77" s="9" t="s">
        <v>27</v>
      </c>
      <c r="C77" s="9" t="s">
        <v>19</v>
      </c>
      <c r="D77" s="9" t="s">
        <v>11</v>
      </c>
      <c r="E77" s="9">
        <v>2012</v>
      </c>
      <c r="F77" s="44">
        <f t="shared" si="12"/>
        <v>18.188053949903662</v>
      </c>
      <c r="G77" s="51">
        <f t="shared" si="0"/>
        <v>16.535564853556487</v>
      </c>
      <c r="H77" s="39">
        <v>18.200031875817729</v>
      </c>
      <c r="I77" s="39">
        <v>10.921503510298106</v>
      </c>
      <c r="J77" s="39">
        <v>27.308264319764483</v>
      </c>
      <c r="K77" s="51">
        <v>19</v>
      </c>
      <c r="L77" s="52">
        <v>0.87029288702928875</v>
      </c>
      <c r="M77" s="44">
        <v>20</v>
      </c>
      <c r="N77" s="46">
        <v>0.9094026974951831</v>
      </c>
      <c r="O77" s="9"/>
      <c r="P77" s="9"/>
      <c r="Q77" s="9"/>
      <c r="R77" s="9"/>
      <c r="S77" s="9"/>
      <c r="T77" s="9"/>
      <c r="U77" s="9"/>
      <c r="V77" s="3"/>
      <c r="W77" s="27"/>
      <c r="X77" s="3"/>
      <c r="Y77" s="19"/>
      <c r="Z77" s="19"/>
      <c r="AA77" s="19"/>
      <c r="AB77" s="3"/>
      <c r="AC77" s="3"/>
      <c r="AD77" s="3"/>
      <c r="AE77" s="9"/>
      <c r="AF77" s="9"/>
    </row>
    <row r="78" spans="1:32" s="37" customFormat="1" x14ac:dyDescent="0.25">
      <c r="A78" s="9" t="s">
        <v>22</v>
      </c>
      <c r="B78" s="9" t="s">
        <v>27</v>
      </c>
      <c r="C78" s="9" t="s">
        <v>20</v>
      </c>
      <c r="D78" s="9" t="s">
        <v>11</v>
      </c>
      <c r="E78" s="9">
        <v>2012</v>
      </c>
      <c r="F78" s="44">
        <f t="shared" si="12"/>
        <v>16.369248554913295</v>
      </c>
      <c r="G78" s="51">
        <f t="shared" si="0"/>
        <v>15.665271966527197</v>
      </c>
      <c r="H78" s="39">
        <v>16.415808846595525</v>
      </c>
      <c r="I78" s="39">
        <v>9.4694354761102471</v>
      </c>
      <c r="J78" s="39">
        <v>25.34421596079159</v>
      </c>
      <c r="K78" s="51">
        <v>18</v>
      </c>
      <c r="L78" s="52">
        <v>0.87029288702928875</v>
      </c>
      <c r="M78" s="44">
        <v>18</v>
      </c>
      <c r="N78" s="46">
        <v>0.9094026974951831</v>
      </c>
      <c r="O78" s="9"/>
      <c r="P78" s="9"/>
      <c r="Q78" s="9"/>
      <c r="R78" s="9"/>
      <c r="S78" s="9"/>
      <c r="T78" s="9"/>
      <c r="U78" s="9"/>
      <c r="V78" s="3"/>
      <c r="W78" s="27"/>
      <c r="X78" s="3"/>
      <c r="Y78" s="19"/>
      <c r="Z78" s="19"/>
      <c r="AA78" s="19"/>
      <c r="AB78" s="3"/>
      <c r="AC78" s="3"/>
      <c r="AD78" s="3"/>
      <c r="AE78" s="9"/>
      <c r="AF78" s="9"/>
    </row>
    <row r="79" spans="1:32" s="37" customFormat="1" x14ac:dyDescent="0.25">
      <c r="A79" s="9" t="s">
        <v>22</v>
      </c>
      <c r="B79" s="9" t="s">
        <v>28</v>
      </c>
      <c r="C79" s="9" t="s">
        <v>31</v>
      </c>
      <c r="D79" s="9" t="s">
        <v>12</v>
      </c>
      <c r="E79" s="9">
        <v>2012</v>
      </c>
      <c r="F79" s="44">
        <f t="shared" si="12"/>
        <v>1.4881135049921177</v>
      </c>
      <c r="G79" s="51">
        <f t="shared" si="0"/>
        <v>1.5016818442858317</v>
      </c>
      <c r="H79" s="39">
        <v>1.4909230529339619</v>
      </c>
      <c r="I79" s="39">
        <v>9.8955275069153553E-2</v>
      </c>
      <c r="J79" s="39">
        <v>4.6325776831722321</v>
      </c>
      <c r="K79" s="51">
        <v>1.7254901960784315</v>
      </c>
      <c r="L79" s="52">
        <v>0.87029288702928875</v>
      </c>
      <c r="M79" s="44">
        <v>1.6363636363636362</v>
      </c>
      <c r="N79" s="46">
        <v>0.9094026974951831</v>
      </c>
      <c r="O79" s="9"/>
      <c r="P79" s="9"/>
      <c r="Q79" s="9"/>
      <c r="R79" s="9"/>
      <c r="S79" s="9"/>
      <c r="T79" s="9"/>
      <c r="U79" s="9"/>
      <c r="V79" s="3"/>
      <c r="W79" s="27"/>
      <c r="X79" s="3"/>
      <c r="Y79" s="19"/>
      <c r="Z79" s="19"/>
      <c r="AA79" s="19"/>
      <c r="AB79" s="3"/>
      <c r="AC79" s="3"/>
      <c r="AD79" s="3"/>
      <c r="AE79" s="9"/>
      <c r="AF79" s="9"/>
    </row>
    <row r="80" spans="1:32" s="37" customFormat="1" x14ac:dyDescent="0.25">
      <c r="A80" s="9" t="s">
        <v>22</v>
      </c>
      <c r="B80" s="9" t="s">
        <v>28</v>
      </c>
      <c r="C80" s="9" t="s">
        <v>19</v>
      </c>
      <c r="D80" s="9" t="s">
        <v>12</v>
      </c>
      <c r="E80" s="9">
        <v>2012</v>
      </c>
      <c r="F80" s="44">
        <f t="shared" si="12"/>
        <v>4.4643405149763531</v>
      </c>
      <c r="G80" s="51">
        <f t="shared" si="0"/>
        <v>4.8804659939289534</v>
      </c>
      <c r="H80" s="39">
        <v>4.4578393436562225</v>
      </c>
      <c r="I80" s="39">
        <v>1.3036987212285922</v>
      </c>
      <c r="J80" s="39">
        <v>9.3516936849429229</v>
      </c>
      <c r="K80" s="51">
        <v>5.6078431372549025</v>
      </c>
      <c r="L80" s="52">
        <v>0.87029288702928875</v>
      </c>
      <c r="M80" s="44">
        <v>4.9090909090909092</v>
      </c>
      <c r="N80" s="46">
        <v>0.9094026974951831</v>
      </c>
      <c r="O80" s="9"/>
      <c r="P80" s="9"/>
      <c r="Q80" s="9"/>
      <c r="R80" s="9"/>
      <c r="S80" s="9"/>
      <c r="T80" s="9"/>
      <c r="U80" s="9"/>
      <c r="V80" s="3"/>
      <c r="W80" s="27"/>
      <c r="X80" s="3"/>
      <c r="Y80" s="19"/>
      <c r="Z80" s="19"/>
      <c r="AA80" s="19"/>
      <c r="AB80" s="3"/>
      <c r="AC80" s="3"/>
      <c r="AD80" s="3"/>
      <c r="AE80" s="9"/>
      <c r="AF80" s="9"/>
    </row>
    <row r="81" spans="1:32" s="37" customFormat="1" x14ac:dyDescent="0.25">
      <c r="A81" s="9" t="s">
        <v>22</v>
      </c>
      <c r="B81" s="9" t="s">
        <v>28</v>
      </c>
      <c r="C81" s="9" t="s">
        <v>20</v>
      </c>
      <c r="D81" s="9" t="s">
        <v>12</v>
      </c>
      <c r="E81" s="9">
        <v>2012</v>
      </c>
      <c r="F81" s="44">
        <f t="shared" si="12"/>
        <v>2.678604308985812</v>
      </c>
      <c r="G81" s="51">
        <f t="shared" si="0"/>
        <v>3.1910739191073922</v>
      </c>
      <c r="H81" s="39">
        <v>2.6551312587261076</v>
      </c>
      <c r="I81" s="39">
        <v>0.46759333588446811</v>
      </c>
      <c r="J81" s="39">
        <v>6.6669363388353693</v>
      </c>
      <c r="K81" s="51">
        <v>3.666666666666667</v>
      </c>
      <c r="L81" s="52">
        <v>0.87029288702928875</v>
      </c>
      <c r="M81" s="44">
        <v>2.9454545454545453</v>
      </c>
      <c r="N81" s="46">
        <v>0.9094026974951831</v>
      </c>
      <c r="O81" s="9"/>
      <c r="P81" s="9"/>
      <c r="Q81" s="9"/>
      <c r="R81" s="9"/>
      <c r="S81" s="9"/>
      <c r="T81" s="9"/>
      <c r="U81" s="9"/>
      <c r="V81" s="3"/>
      <c r="W81" s="27"/>
      <c r="X81" s="3"/>
      <c r="Y81" s="19"/>
      <c r="Z81" s="19"/>
      <c r="AA81" s="19"/>
      <c r="AB81" s="3"/>
      <c r="AC81" s="3"/>
      <c r="AD81" s="3"/>
      <c r="AE81" s="9"/>
      <c r="AF81" s="9"/>
    </row>
    <row r="82" spans="1:32" s="37" customFormat="1" x14ac:dyDescent="0.25">
      <c r="A82" s="9" t="s">
        <v>22</v>
      </c>
      <c r="B82" s="9" t="s">
        <v>28</v>
      </c>
      <c r="C82" s="9" t="s">
        <v>31</v>
      </c>
      <c r="D82" s="9" t="s">
        <v>15</v>
      </c>
      <c r="E82" s="9">
        <v>2012</v>
      </c>
      <c r="F82" s="44">
        <f t="shared" si="12"/>
        <v>7.6059134699597131</v>
      </c>
      <c r="G82" s="51">
        <f t="shared" si="0"/>
        <v>5.4606612519484781</v>
      </c>
      <c r="H82" s="39">
        <v>7.598053949812428</v>
      </c>
      <c r="I82" s="39">
        <v>3.1555574480862822</v>
      </c>
      <c r="J82" s="39">
        <v>13.839512377762249</v>
      </c>
      <c r="K82" s="51">
        <v>6.2745098039215685</v>
      </c>
      <c r="L82" s="52">
        <v>0.87029288702928875</v>
      </c>
      <c r="M82" s="44">
        <v>8.3636363636363633</v>
      </c>
      <c r="N82" s="46">
        <v>0.9094026974951831</v>
      </c>
      <c r="O82" s="9"/>
      <c r="P82" s="9"/>
      <c r="Q82" s="9"/>
      <c r="R82" s="9"/>
      <c r="S82" s="9"/>
      <c r="T82" s="9"/>
      <c r="U82" s="9"/>
      <c r="V82" s="3"/>
      <c r="W82" s="27"/>
      <c r="X82" s="3"/>
      <c r="Y82" s="19"/>
      <c r="Z82" s="19"/>
      <c r="AA82" s="19"/>
      <c r="AB82" s="3"/>
      <c r="AC82" s="3"/>
      <c r="AD82" s="3"/>
      <c r="AE82" s="9"/>
      <c r="AF82" s="9"/>
    </row>
    <row r="83" spans="1:32" s="37" customFormat="1" x14ac:dyDescent="0.25">
      <c r="A83" s="9" t="s">
        <v>22</v>
      </c>
      <c r="B83" s="9" t="s">
        <v>28</v>
      </c>
      <c r="C83" s="9" t="s">
        <v>19</v>
      </c>
      <c r="D83" s="9" t="s">
        <v>15</v>
      </c>
      <c r="E83" s="9">
        <v>2012</v>
      </c>
      <c r="F83" s="44">
        <f t="shared" si="12"/>
        <v>22.817740409879139</v>
      </c>
      <c r="G83" s="51">
        <f t="shared" si="0"/>
        <v>17.747149068832552</v>
      </c>
      <c r="H83" s="39">
        <v>22.84263698915078</v>
      </c>
      <c r="I83" s="39">
        <v>14.442099234117485</v>
      </c>
      <c r="J83" s="39">
        <v>33.114123638927978</v>
      </c>
      <c r="K83" s="51">
        <v>20.392156862745097</v>
      </c>
      <c r="L83" s="52">
        <v>0.87029288702928875</v>
      </c>
      <c r="M83" s="44">
        <v>25.09090909090909</v>
      </c>
      <c r="N83" s="46">
        <v>0.9094026974951831</v>
      </c>
      <c r="O83" s="9"/>
      <c r="P83" s="9"/>
      <c r="Q83" s="9"/>
      <c r="R83" s="9"/>
      <c r="S83" s="9"/>
      <c r="T83" s="9"/>
      <c r="U83" s="9"/>
      <c r="V83" s="3"/>
      <c r="W83" s="27"/>
      <c r="X83" s="3"/>
      <c r="Y83" s="19"/>
      <c r="Z83" s="19"/>
      <c r="AA83" s="19"/>
      <c r="AB83" s="3"/>
      <c r="AC83" s="3"/>
      <c r="AD83" s="3"/>
      <c r="AE83" s="9"/>
      <c r="AF83" s="9"/>
    </row>
    <row r="84" spans="1:32" s="37" customFormat="1" ht="15.75" thickBot="1" x14ac:dyDescent="0.3">
      <c r="A84" s="6" t="s">
        <v>22</v>
      </c>
      <c r="B84" s="6" t="s">
        <v>28</v>
      </c>
      <c r="C84" s="6" t="s">
        <v>20</v>
      </c>
      <c r="D84" s="6" t="s">
        <v>15</v>
      </c>
      <c r="E84" s="6">
        <v>2012</v>
      </c>
      <c r="F84" s="45">
        <f t="shared" si="12"/>
        <v>13.690644245927482</v>
      </c>
      <c r="G84" s="55">
        <f t="shared" si="0"/>
        <v>11.603905160390518</v>
      </c>
      <c r="H84" s="68">
        <v>13.715784262373136</v>
      </c>
      <c r="I84" s="68">
        <v>7.408995259908397</v>
      </c>
      <c r="J84" s="68">
        <v>21.961271505487147</v>
      </c>
      <c r="K84" s="55">
        <v>13.333333333333334</v>
      </c>
      <c r="L84" s="56">
        <v>0.87029288702928875</v>
      </c>
      <c r="M84" s="45">
        <v>15.054545454545453</v>
      </c>
      <c r="N84" s="48">
        <v>0.9094026974951831</v>
      </c>
      <c r="O84" s="6"/>
      <c r="P84" s="6"/>
      <c r="Q84" s="6"/>
      <c r="R84" s="6"/>
      <c r="S84" s="6"/>
      <c r="T84" s="6"/>
      <c r="U84" s="6"/>
      <c r="V84" s="12"/>
      <c r="W84" s="41"/>
      <c r="X84" s="12"/>
      <c r="Y84" s="18"/>
      <c r="Z84" s="18"/>
      <c r="AA84" s="18"/>
      <c r="AB84" s="12"/>
      <c r="AC84" s="12"/>
      <c r="AD84" s="12"/>
      <c r="AE84" s="6"/>
      <c r="AF84" s="9"/>
    </row>
    <row r="85" spans="1:32" x14ac:dyDescent="0.25">
      <c r="A85" s="9" t="s">
        <v>71</v>
      </c>
      <c r="B85" s="9" t="s">
        <v>11</v>
      </c>
      <c r="C85" s="9" t="s">
        <v>11</v>
      </c>
      <c r="D85" s="9" t="s">
        <v>11</v>
      </c>
      <c r="E85" s="9">
        <v>2013</v>
      </c>
      <c r="F85" s="9"/>
      <c r="G85" s="44">
        <f>SUM(G86:G88,G90:G95,G97:G105)</f>
        <v>46412.442002070282</v>
      </c>
      <c r="H85" s="38">
        <v>46414.830600000001</v>
      </c>
      <c r="I85" s="38">
        <v>45992</v>
      </c>
      <c r="J85" s="38">
        <v>46836</v>
      </c>
      <c r="K85" s="24">
        <f>SUM(K86:K89,K96,K100:K105)</f>
        <v>49270</v>
      </c>
      <c r="L85" s="9">
        <v>0.94200207026730809</v>
      </c>
      <c r="M85" s="9"/>
      <c r="N85" s="9"/>
      <c r="O85" s="9"/>
      <c r="P85" s="9"/>
      <c r="Q85" s="9"/>
      <c r="R85" s="9"/>
      <c r="S85" s="9"/>
      <c r="T85" s="9"/>
      <c r="U85" s="9"/>
      <c r="V85" s="3">
        <f>SUM(V86:V105)</f>
        <v>46396</v>
      </c>
      <c r="W85" s="27">
        <v>48613</v>
      </c>
      <c r="X85" s="3"/>
      <c r="Y85" s="19"/>
      <c r="Z85" s="19"/>
      <c r="AA85" s="19"/>
      <c r="AB85" s="3"/>
      <c r="AC85" s="3"/>
      <c r="AD85" s="3"/>
      <c r="AE85" s="9"/>
      <c r="AF85" s="9"/>
    </row>
    <row r="86" spans="1:32" x14ac:dyDescent="0.25">
      <c r="A86" s="9" t="s">
        <v>71</v>
      </c>
      <c r="B86" s="9" t="s">
        <v>24</v>
      </c>
      <c r="C86" s="9" t="s">
        <v>31</v>
      </c>
      <c r="D86" s="9" t="s">
        <v>11</v>
      </c>
      <c r="E86" s="9">
        <v>2013</v>
      </c>
      <c r="F86" s="9"/>
      <c r="G86" s="44">
        <f t="shared" si="0"/>
        <v>14627.40814711076</v>
      </c>
      <c r="H86" s="38">
        <v>14629.295620008083</v>
      </c>
      <c r="I86" s="38">
        <v>14390.414348095439</v>
      </c>
      <c r="J86" s="38">
        <v>14868.813475934772</v>
      </c>
      <c r="K86" s="24">
        <v>15528</v>
      </c>
      <c r="L86" s="9">
        <v>0.94200207026730809</v>
      </c>
      <c r="M86" s="9"/>
      <c r="N86" s="9"/>
      <c r="O86" s="9"/>
      <c r="P86" s="9"/>
      <c r="Q86" s="9"/>
      <c r="R86" s="9"/>
      <c r="S86" s="9"/>
      <c r="T86" s="9"/>
      <c r="U86" s="9"/>
      <c r="V86" s="1">
        <f>13138+1484</f>
        <v>14622</v>
      </c>
      <c r="W86" s="25">
        <f>$W$85*AA86</f>
        <v>15320.701913958099</v>
      </c>
      <c r="X86" s="2"/>
      <c r="Y86" s="16">
        <f>V86/SUM($V$86:$V$88)</f>
        <v>0.40762733127038553</v>
      </c>
      <c r="Z86" s="16"/>
      <c r="AA86" s="19">
        <f t="shared" ref="AA86:AA105" si="13">V86/$V$85</f>
        <v>0.31515647900681093</v>
      </c>
      <c r="AF86" s="9"/>
    </row>
    <row r="87" spans="1:32" x14ac:dyDescent="0.25">
      <c r="A87" s="9" t="s">
        <v>71</v>
      </c>
      <c r="B87" s="9" t="s">
        <v>24</v>
      </c>
      <c r="C87" s="9" t="s">
        <v>19</v>
      </c>
      <c r="D87" s="9" t="s">
        <v>11</v>
      </c>
      <c r="E87" s="9">
        <v>2013</v>
      </c>
      <c r="F87" s="9"/>
      <c r="G87" s="44">
        <f t="shared" si="0"/>
        <v>6180.4755830238082</v>
      </c>
      <c r="H87" s="38">
        <v>6181.4062223304782</v>
      </c>
      <c r="I87" s="38">
        <v>6026.2955755369685</v>
      </c>
      <c r="J87" s="38">
        <v>6336.342488983405</v>
      </c>
      <c r="K87" s="24">
        <v>6561</v>
      </c>
      <c r="L87" s="9">
        <v>0.94200207026730809</v>
      </c>
      <c r="M87" s="9"/>
      <c r="N87" s="9"/>
      <c r="O87" s="9"/>
      <c r="P87" s="9"/>
      <c r="Q87" s="9"/>
      <c r="R87" s="9"/>
      <c r="S87" s="9"/>
      <c r="T87" s="9"/>
      <c r="U87" s="9"/>
      <c r="V87" s="1">
        <v>6235</v>
      </c>
      <c r="W87" s="25">
        <f t="shared" ref="W87:W105" si="14">$W$85*AA87</f>
        <v>6532.9350590568156</v>
      </c>
      <c r="X87" s="2"/>
      <c r="Y87" s="16">
        <f t="shared" ref="Y87:Y88" si="15">V87/SUM($V$86:$V$88)</f>
        <v>0.17381728973265312</v>
      </c>
      <c r="Z87" s="16"/>
      <c r="AA87" s="19">
        <f t="shared" si="13"/>
        <v>0.13438658505043538</v>
      </c>
      <c r="AF87" s="9"/>
    </row>
    <row r="88" spans="1:32" x14ac:dyDescent="0.25">
      <c r="A88" s="9" t="s">
        <v>71</v>
      </c>
      <c r="B88" s="9" t="s">
        <v>24</v>
      </c>
      <c r="C88" s="9" t="s">
        <v>20</v>
      </c>
      <c r="D88" s="9" t="s">
        <v>11</v>
      </c>
      <c r="E88" s="9">
        <v>2013</v>
      </c>
      <c r="F88" s="9"/>
      <c r="G88" s="44">
        <f t="shared" si="0"/>
        <v>14787.548499056202</v>
      </c>
      <c r="H88" s="38">
        <v>14786.68646597885</v>
      </c>
      <c r="I88" s="38">
        <v>14548.464813727262</v>
      </c>
      <c r="J88" s="38">
        <v>15020.927623896756</v>
      </c>
      <c r="K88" s="24">
        <v>15698</v>
      </c>
      <c r="L88" s="9">
        <v>0.94200207026730809</v>
      </c>
      <c r="M88" s="9"/>
      <c r="N88" s="9"/>
      <c r="O88" s="9"/>
      <c r="P88" s="9"/>
      <c r="Q88" s="9"/>
      <c r="R88" s="9"/>
      <c r="S88" s="9"/>
      <c r="T88" s="9"/>
      <c r="U88" s="9"/>
      <c r="V88" s="1">
        <v>15014</v>
      </c>
      <c r="W88" s="25">
        <f t="shared" si="14"/>
        <v>15731.433356323821</v>
      </c>
      <c r="X88" s="2"/>
      <c r="Y88" s="16">
        <f t="shared" si="15"/>
        <v>0.41855537899696132</v>
      </c>
      <c r="Z88" s="16"/>
      <c r="AA88" s="19">
        <f t="shared" si="13"/>
        <v>0.32360548323131305</v>
      </c>
      <c r="AF88" s="9"/>
    </row>
    <row r="89" spans="1:32" x14ac:dyDescent="0.25">
      <c r="A89" s="9" t="s">
        <v>71</v>
      </c>
      <c r="B89" s="9" t="s">
        <v>26</v>
      </c>
      <c r="C89" s="9" t="s">
        <v>11</v>
      </c>
      <c r="D89" s="9" t="s">
        <v>11</v>
      </c>
      <c r="E89" s="9">
        <v>2013</v>
      </c>
      <c r="F89" s="9"/>
      <c r="G89" s="44">
        <f t="shared" si="0"/>
        <v>2546.2315959325338</v>
      </c>
      <c r="H89" s="38"/>
      <c r="I89" s="38"/>
      <c r="J89" s="38"/>
      <c r="K89" s="24">
        <v>2703</v>
      </c>
      <c r="L89" s="9">
        <v>0.94200207026730809</v>
      </c>
      <c r="M89" s="9"/>
      <c r="N89" s="9"/>
      <c r="O89" s="9"/>
      <c r="P89" s="9"/>
      <c r="Q89" s="9"/>
      <c r="R89" s="9"/>
      <c r="S89" s="9"/>
      <c r="T89" s="9"/>
      <c r="U89" s="9"/>
      <c r="V89" s="1">
        <v>2493</v>
      </c>
      <c r="W89" s="25">
        <f t="shared" si="14"/>
        <v>2612.1262393309767</v>
      </c>
      <c r="X89" s="2"/>
      <c r="Y89" s="16"/>
      <c r="Z89" s="16"/>
      <c r="AA89" s="19">
        <f t="shared" si="13"/>
        <v>5.3733080437968789E-2</v>
      </c>
      <c r="AF89" s="9"/>
    </row>
    <row r="90" spans="1:32" x14ac:dyDescent="0.25">
      <c r="A90" s="9" t="s">
        <v>71</v>
      </c>
      <c r="B90" s="9" t="s">
        <v>26</v>
      </c>
      <c r="C90" s="9" t="s">
        <v>31</v>
      </c>
      <c r="D90" s="9" t="s">
        <v>12</v>
      </c>
      <c r="E90" s="9">
        <v>2013</v>
      </c>
      <c r="F90" s="9"/>
      <c r="G90" s="44">
        <f t="shared" si="0"/>
        <v>419.86900936172412</v>
      </c>
      <c r="H90" s="38">
        <v>419.67975401913253</v>
      </c>
      <c r="I90" s="38">
        <v>380.8463993982183</v>
      </c>
      <c r="J90" s="38">
        <v>461.0150834664056</v>
      </c>
      <c r="K90" s="24">
        <v>445.719837157661</v>
      </c>
      <c r="L90" s="9">
        <v>0.94200207026730809</v>
      </c>
      <c r="M90" s="9"/>
      <c r="N90" s="9"/>
      <c r="O90" s="9"/>
      <c r="P90" s="9"/>
      <c r="Q90" s="9"/>
      <c r="R90" s="9"/>
      <c r="S90" s="9"/>
      <c r="T90" s="9"/>
      <c r="U90" s="9"/>
      <c r="V90" s="1"/>
      <c r="W90" s="25"/>
      <c r="X90" s="2"/>
      <c r="Y90" s="16"/>
      <c r="Z90" s="16"/>
      <c r="AA90" s="19"/>
      <c r="AF90" s="9"/>
    </row>
    <row r="91" spans="1:32" x14ac:dyDescent="0.25">
      <c r="A91" s="9" t="s">
        <v>71</v>
      </c>
      <c r="B91" s="9" t="s">
        <v>26</v>
      </c>
      <c r="C91" s="9" t="s">
        <v>19</v>
      </c>
      <c r="D91" s="9" t="s">
        <v>12</v>
      </c>
      <c r="E91" s="9">
        <v>2013</v>
      </c>
      <c r="F91" s="9"/>
      <c r="G91" s="44">
        <f t="shared" si="0"/>
        <v>499.07980890838718</v>
      </c>
      <c r="H91" s="38">
        <v>499.10386907226547</v>
      </c>
      <c r="I91" s="38">
        <v>456.6013483638759</v>
      </c>
      <c r="J91" s="38">
        <v>543.80641663337553</v>
      </c>
      <c r="K91" s="24">
        <v>529.80754996299038</v>
      </c>
      <c r="L91" s="9">
        <v>0.94200207026730809</v>
      </c>
      <c r="M91" s="9"/>
      <c r="N91" s="9"/>
      <c r="O91" s="9"/>
      <c r="P91" s="9"/>
      <c r="Q91" s="9"/>
      <c r="R91" s="9"/>
      <c r="S91" s="9"/>
      <c r="T91" s="9"/>
      <c r="U91" s="9"/>
      <c r="V91" s="1"/>
      <c r="W91" s="25"/>
      <c r="X91" s="2"/>
      <c r="Y91" s="16"/>
      <c r="Z91" s="16"/>
      <c r="AA91" s="19"/>
      <c r="AF91" s="9"/>
    </row>
    <row r="92" spans="1:32" x14ac:dyDescent="0.25">
      <c r="A92" s="9" t="s">
        <v>71</v>
      </c>
      <c r="B92" s="9" t="s">
        <v>26</v>
      </c>
      <c r="C92" s="9" t="s">
        <v>20</v>
      </c>
      <c r="D92" s="9" t="s">
        <v>12</v>
      </c>
      <c r="E92" s="9">
        <v>2013</v>
      </c>
      <c r="F92" s="9"/>
      <c r="G92" s="44">
        <f t="shared" si="0"/>
        <v>480.44197372093709</v>
      </c>
      <c r="H92" s="38">
        <v>480.77716911645547</v>
      </c>
      <c r="I92" s="38">
        <v>438.63903505730485</v>
      </c>
      <c r="J92" s="38">
        <v>524.13785399546271</v>
      </c>
      <c r="K92" s="24">
        <v>510.02220577350113</v>
      </c>
      <c r="L92" s="9">
        <v>0.94200207026730809</v>
      </c>
      <c r="M92" s="9"/>
      <c r="N92" s="9"/>
      <c r="O92" s="9"/>
      <c r="P92" s="9"/>
      <c r="Q92" s="9"/>
      <c r="R92" s="9"/>
      <c r="S92" s="9"/>
      <c r="T92" s="9"/>
      <c r="U92" s="9"/>
      <c r="V92" s="1"/>
      <c r="W92" s="25"/>
      <c r="X92" s="2"/>
      <c r="Y92" s="16"/>
      <c r="Z92" s="16"/>
      <c r="AA92" s="19"/>
      <c r="AF92" s="9"/>
    </row>
    <row r="93" spans="1:32" x14ac:dyDescent="0.25">
      <c r="A93" s="9" t="s">
        <v>71</v>
      </c>
      <c r="B93" s="9" t="s">
        <v>26</v>
      </c>
      <c r="C93" s="9" t="s">
        <v>31</v>
      </c>
      <c r="D93" s="9" t="s">
        <v>15</v>
      </c>
      <c r="E93" s="9">
        <v>2013</v>
      </c>
      <c r="F93" s="9"/>
      <c r="G93" s="44">
        <f t="shared" si="0"/>
        <v>344.09466962506275</v>
      </c>
      <c r="H93" s="38">
        <v>344.34883616146442</v>
      </c>
      <c r="I93" s="38">
        <v>309.70794083725741</v>
      </c>
      <c r="J93" s="38">
        <v>381.46086047567798</v>
      </c>
      <c r="K93" s="24">
        <v>365.280162842339</v>
      </c>
      <c r="L93" s="9">
        <v>0.94200207026730809</v>
      </c>
      <c r="M93" s="9"/>
      <c r="N93" s="9"/>
      <c r="O93" s="9"/>
      <c r="P93" s="9"/>
      <c r="Q93" s="9"/>
      <c r="R93" s="9"/>
      <c r="S93" s="9"/>
      <c r="T93" s="9"/>
      <c r="U93" s="9"/>
      <c r="V93" s="1"/>
      <c r="W93" s="25"/>
      <c r="X93" s="2"/>
      <c r="Y93" s="16"/>
      <c r="Z93" s="16"/>
      <c r="AA93" s="19"/>
      <c r="AF93" s="9"/>
    </row>
    <row r="94" spans="1:32" x14ac:dyDescent="0.25">
      <c r="A94" s="9" t="s">
        <v>71</v>
      </c>
      <c r="B94" s="9" t="s">
        <v>26</v>
      </c>
      <c r="C94" s="9" t="s">
        <v>19</v>
      </c>
      <c r="D94" s="9" t="s">
        <v>15</v>
      </c>
      <c r="E94" s="9">
        <v>2013</v>
      </c>
      <c r="F94" s="9"/>
      <c r="G94" s="44">
        <f t="shared" si="0"/>
        <v>409.01018682929777</v>
      </c>
      <c r="H94" s="38">
        <v>408.99145209067262</v>
      </c>
      <c r="I94" s="38">
        <v>369.79270533743767</v>
      </c>
      <c r="J94" s="38">
        <v>448.87832444573542</v>
      </c>
      <c r="K94" s="24">
        <v>434.19245003700962</v>
      </c>
      <c r="L94" s="9">
        <v>0.94200207026730809</v>
      </c>
      <c r="M94" s="9"/>
      <c r="N94" s="9"/>
      <c r="O94" s="9"/>
      <c r="P94" s="9"/>
      <c r="Q94" s="9"/>
      <c r="R94" s="9"/>
      <c r="S94" s="9"/>
      <c r="T94" s="9"/>
      <c r="U94" s="9"/>
      <c r="V94" s="1"/>
      <c r="W94" s="25"/>
      <c r="X94" s="2"/>
      <c r="Y94" s="16"/>
      <c r="Z94" s="16"/>
      <c r="AA94" s="19"/>
      <c r="AF94" s="9"/>
    </row>
    <row r="95" spans="1:32" x14ac:dyDescent="0.25">
      <c r="A95" s="9" t="s">
        <v>71</v>
      </c>
      <c r="B95" s="9" t="s">
        <v>26</v>
      </c>
      <c r="C95" s="9" t="s">
        <v>20</v>
      </c>
      <c r="D95" s="9" t="s">
        <v>15</v>
      </c>
      <c r="E95" s="9">
        <v>2013</v>
      </c>
      <c r="F95" s="9"/>
      <c r="G95" s="44">
        <f t="shared" si="0"/>
        <v>393.7359474871248</v>
      </c>
      <c r="H95" s="38">
        <v>393.65858669902497</v>
      </c>
      <c r="I95" s="38">
        <v>355.33023809030402</v>
      </c>
      <c r="J95" s="38">
        <v>433.34644066825615</v>
      </c>
      <c r="K95" s="24">
        <v>417.97779422649887</v>
      </c>
      <c r="L95" s="9">
        <v>0.94200207026730809</v>
      </c>
      <c r="M95" s="9"/>
      <c r="N95" s="9"/>
      <c r="O95" s="9"/>
      <c r="P95" s="9"/>
      <c r="Q95" s="9"/>
      <c r="R95" s="9"/>
      <c r="S95" s="9"/>
      <c r="T95" s="9"/>
      <c r="U95" s="9"/>
      <c r="V95" s="1"/>
      <c r="W95" s="25"/>
      <c r="X95" s="2"/>
      <c r="Y95" s="16"/>
      <c r="Z95" s="16"/>
      <c r="AA95" s="19"/>
      <c r="AF95" s="9"/>
    </row>
    <row r="96" spans="1:32" x14ac:dyDescent="0.25">
      <c r="A96" s="9" t="s">
        <v>71</v>
      </c>
      <c r="B96" s="9" t="s">
        <v>27</v>
      </c>
      <c r="C96" s="9" t="s">
        <v>11</v>
      </c>
      <c r="D96" s="9" t="s">
        <v>11</v>
      </c>
      <c r="E96" s="9">
        <v>2013</v>
      </c>
      <c r="F96" s="9"/>
      <c r="G96" s="44">
        <f t="shared" si="0"/>
        <v>3072.8107532119589</v>
      </c>
      <c r="H96" s="38"/>
      <c r="I96" s="38"/>
      <c r="J96" s="38"/>
      <c r="K96" s="24">
        <v>3262</v>
      </c>
      <c r="L96" s="9">
        <v>0.94200207026730809</v>
      </c>
      <c r="M96" s="9"/>
      <c r="N96" s="9"/>
      <c r="O96" s="9"/>
      <c r="P96" s="9"/>
      <c r="Q96" s="9"/>
      <c r="R96" s="9"/>
      <c r="S96" s="9"/>
      <c r="T96" s="9"/>
      <c r="U96" s="9"/>
      <c r="V96" s="1">
        <v>2946</v>
      </c>
      <c r="W96" s="25">
        <f t="shared" si="14"/>
        <v>3086.7725234934046</v>
      </c>
      <c r="X96" s="2"/>
      <c r="Y96" s="16"/>
      <c r="Z96" s="16"/>
      <c r="AA96" s="19">
        <f t="shared" si="13"/>
        <v>6.3496853176998019E-2</v>
      </c>
      <c r="AF96" s="9"/>
    </row>
    <row r="97" spans="1:32" x14ac:dyDescent="0.25">
      <c r="A97" s="9" t="s">
        <v>71</v>
      </c>
      <c r="B97" s="9" t="s">
        <v>27</v>
      </c>
      <c r="C97" s="9" t="s">
        <v>31</v>
      </c>
      <c r="D97" s="9" t="s">
        <v>11</v>
      </c>
      <c r="E97" s="9">
        <v>2013</v>
      </c>
      <c r="F97" s="9"/>
      <c r="G97" s="44">
        <f t="shared" si="0"/>
        <v>1314.0928880228948</v>
      </c>
      <c r="H97" s="38">
        <v>1314.2673910085023</v>
      </c>
      <c r="I97" s="38">
        <v>1245.6594774958069</v>
      </c>
      <c r="J97" s="38">
        <v>1385.10777083415</v>
      </c>
      <c r="K97" s="24">
        <v>1395</v>
      </c>
      <c r="L97" s="9">
        <v>0.94200207026730809</v>
      </c>
      <c r="M97" s="9"/>
      <c r="N97" s="9"/>
      <c r="O97" s="9"/>
      <c r="P97" s="9"/>
      <c r="Q97" s="9"/>
      <c r="R97" s="9"/>
      <c r="S97" s="9"/>
      <c r="T97" s="9"/>
      <c r="U97" s="9"/>
      <c r="V97" s="1"/>
      <c r="W97" s="25"/>
      <c r="X97" s="2"/>
      <c r="Y97" s="16"/>
      <c r="Z97" s="16"/>
      <c r="AA97" s="19"/>
      <c r="AF97" s="9"/>
    </row>
    <row r="98" spans="1:32" x14ac:dyDescent="0.25">
      <c r="A98" s="9" t="s">
        <v>71</v>
      </c>
      <c r="B98" s="9" t="s">
        <v>27</v>
      </c>
      <c r="C98" s="9" t="s">
        <v>19</v>
      </c>
      <c r="D98" s="9" t="s">
        <v>11</v>
      </c>
      <c r="E98" s="9">
        <v>2013</v>
      </c>
      <c r="F98" s="9"/>
      <c r="G98" s="44">
        <f t="shared" si="0"/>
        <v>683.89350301406569</v>
      </c>
      <c r="H98" s="38">
        <v>683.45615251261574</v>
      </c>
      <c r="I98" s="38">
        <v>632.50428523019582</v>
      </c>
      <c r="J98" s="38">
        <v>735.53139340816563</v>
      </c>
      <c r="K98" s="24">
        <v>726</v>
      </c>
      <c r="L98" s="9">
        <v>0.94200207026730809</v>
      </c>
      <c r="M98" s="9"/>
      <c r="N98" s="9"/>
      <c r="O98" s="9"/>
      <c r="P98" s="9"/>
      <c r="Q98" s="9"/>
      <c r="R98" s="9"/>
      <c r="S98" s="9"/>
      <c r="T98" s="9"/>
      <c r="U98" s="9"/>
      <c r="V98" s="1"/>
      <c r="W98" s="25"/>
      <c r="X98" s="2"/>
      <c r="Y98" s="16"/>
      <c r="Z98" s="16"/>
      <c r="AA98" s="19"/>
      <c r="AF98" s="9"/>
    </row>
    <row r="99" spans="1:32" x14ac:dyDescent="0.25">
      <c r="A99" s="9" t="s">
        <v>71</v>
      </c>
      <c r="B99" s="9" t="s">
        <v>27</v>
      </c>
      <c r="C99" s="9" t="s">
        <v>20</v>
      </c>
      <c r="D99" s="9" t="s">
        <v>11</v>
      </c>
      <c r="E99" s="9">
        <v>2013</v>
      </c>
      <c r="F99" s="9"/>
      <c r="G99" s="44">
        <f t="shared" si="0"/>
        <v>1074.8243621749984</v>
      </c>
      <c r="H99" s="38">
        <v>1074.2831122607474</v>
      </c>
      <c r="I99" s="38">
        <v>1011.863118466735</v>
      </c>
      <c r="J99" s="38">
        <v>1139.4774080539801</v>
      </c>
      <c r="K99" s="24">
        <v>1141</v>
      </c>
      <c r="L99" s="9">
        <v>0.94200207026730809</v>
      </c>
      <c r="M99" s="9"/>
      <c r="N99" s="9"/>
      <c r="O99" s="9"/>
      <c r="P99" s="9"/>
      <c r="Q99" s="9"/>
      <c r="R99" s="9"/>
      <c r="S99" s="9"/>
      <c r="T99" s="9"/>
      <c r="U99" s="9"/>
      <c r="V99" s="1"/>
      <c r="W99" s="25"/>
      <c r="X99" s="2"/>
      <c r="Y99" s="16"/>
      <c r="Z99" s="16"/>
      <c r="AA99" s="19"/>
      <c r="AF99" s="9"/>
    </row>
    <row r="100" spans="1:32" x14ac:dyDescent="0.25">
      <c r="A100" s="9" t="s">
        <v>71</v>
      </c>
      <c r="B100" s="9" t="s">
        <v>28</v>
      </c>
      <c r="C100" s="9" t="s">
        <v>31</v>
      </c>
      <c r="D100" s="9" t="s">
        <v>12</v>
      </c>
      <c r="E100" s="9">
        <v>2013</v>
      </c>
      <c r="F100" s="9"/>
      <c r="G100" s="44">
        <f t="shared" si="0"/>
        <v>199.10693848964945</v>
      </c>
      <c r="H100" s="38">
        <v>199.13082410473788</v>
      </c>
      <c r="I100" s="38">
        <v>172.33779559485254</v>
      </c>
      <c r="J100" s="38">
        <v>228.07479572800415</v>
      </c>
      <c r="K100" s="24">
        <v>211.36571221457049</v>
      </c>
      <c r="L100" s="9">
        <v>0.94200207026730809</v>
      </c>
      <c r="M100" s="9"/>
      <c r="N100" s="9"/>
      <c r="O100" s="9"/>
      <c r="P100" s="9"/>
      <c r="Q100" s="9"/>
      <c r="R100" s="9"/>
      <c r="S100" s="9"/>
      <c r="T100" s="9"/>
      <c r="U100" s="9"/>
      <c r="V100" s="2">
        <f>14772-13138-344-1153</f>
        <v>137</v>
      </c>
      <c r="W100" s="25">
        <f t="shared" si="14"/>
        <v>143.54644796965258</v>
      </c>
      <c r="X100" s="2"/>
      <c r="Y100" s="16">
        <f>V100/SUM($V$100:$V$102)</f>
        <v>0.12791783380018673</v>
      </c>
      <c r="Z100" s="16"/>
      <c r="AA100" s="19">
        <f t="shared" si="13"/>
        <v>2.952840762134667E-3</v>
      </c>
      <c r="AE100" t="s">
        <v>39</v>
      </c>
      <c r="AF100" s="9"/>
    </row>
    <row r="101" spans="1:32" x14ac:dyDescent="0.25">
      <c r="A101" s="9" t="s">
        <v>71</v>
      </c>
      <c r="B101" s="9" t="s">
        <v>28</v>
      </c>
      <c r="C101" s="9" t="s">
        <v>19</v>
      </c>
      <c r="D101" s="9" t="s">
        <v>12</v>
      </c>
      <c r="E101" s="9">
        <v>2013</v>
      </c>
      <c r="F101" s="9"/>
      <c r="G101" s="44">
        <f t="shared" si="0"/>
        <v>366.02892005476724</v>
      </c>
      <c r="H101" s="38">
        <v>366.08866178115869</v>
      </c>
      <c r="I101" s="38">
        <v>330.21964414752665</v>
      </c>
      <c r="J101" s="38">
        <v>403.86331833151996</v>
      </c>
      <c r="K101" s="24">
        <v>388.56487857919535</v>
      </c>
      <c r="L101" s="9">
        <v>0.94200207026730809</v>
      </c>
      <c r="M101" s="9"/>
      <c r="N101" s="9"/>
      <c r="O101" s="9"/>
      <c r="P101" s="9"/>
      <c r="Q101" s="9"/>
      <c r="R101" s="9"/>
      <c r="S101" s="9"/>
      <c r="T101" s="9"/>
      <c r="U101" s="9"/>
      <c r="V101" s="2">
        <f>7651-6235-432-659</f>
        <v>325</v>
      </c>
      <c r="W101" s="25">
        <f t="shared" si="14"/>
        <v>340.52989481851881</v>
      </c>
      <c r="X101" s="2"/>
      <c r="Y101" s="16">
        <f t="shared" ref="Y101:Y102" si="16">V101/SUM($V$100:$V$102)</f>
        <v>0.30345471521942108</v>
      </c>
      <c r="Z101" s="16"/>
      <c r="AA101" s="19">
        <f t="shared" si="13"/>
        <v>7.0049142167428226E-3</v>
      </c>
      <c r="AE101" t="s">
        <v>39</v>
      </c>
      <c r="AF101" s="9"/>
    </row>
    <row r="102" spans="1:32" x14ac:dyDescent="0.25">
      <c r="A102" s="9" t="s">
        <v>71</v>
      </c>
      <c r="B102" s="9" t="s">
        <v>28</v>
      </c>
      <c r="C102" s="9" t="s">
        <v>20</v>
      </c>
      <c r="D102" s="9" t="s">
        <v>12</v>
      </c>
      <c r="E102" s="9">
        <v>2013</v>
      </c>
      <c r="F102" s="9"/>
      <c r="G102" s="44">
        <f t="shared" si="0"/>
        <v>537.94856573860113</v>
      </c>
      <c r="H102" s="38">
        <v>537.98529555292919</v>
      </c>
      <c r="I102" s="38">
        <v>493.485526153823</v>
      </c>
      <c r="J102" s="38">
        <v>585.14114845001257</v>
      </c>
      <c r="K102" s="24">
        <v>571.06940920623413</v>
      </c>
      <c r="L102" s="9">
        <v>0.94200207026730809</v>
      </c>
      <c r="M102" s="9"/>
      <c r="N102" s="9"/>
      <c r="O102" s="9"/>
      <c r="P102" s="9"/>
      <c r="Q102" s="9"/>
      <c r="R102" s="9"/>
      <c r="S102" s="9"/>
      <c r="T102" s="9"/>
      <c r="U102" s="9"/>
      <c r="V102" s="2">
        <f>17141-15014-542-976</f>
        <v>609</v>
      </c>
      <c r="W102" s="25">
        <f t="shared" si="14"/>
        <v>638.10063367531677</v>
      </c>
      <c r="X102" s="2"/>
      <c r="Y102" s="16">
        <f t="shared" si="16"/>
        <v>0.56862745098039214</v>
      </c>
      <c r="Z102" s="16"/>
      <c r="AA102" s="19">
        <f t="shared" si="13"/>
        <v>1.3126131563065781E-2</v>
      </c>
      <c r="AE102" t="s">
        <v>39</v>
      </c>
      <c r="AF102" s="9"/>
    </row>
    <row r="103" spans="1:32" x14ac:dyDescent="0.25">
      <c r="A103" s="9" t="s">
        <v>71</v>
      </c>
      <c r="B103" s="9" t="s">
        <v>28</v>
      </c>
      <c r="C103" s="9" t="s">
        <v>31</v>
      </c>
      <c r="D103" s="9" t="s">
        <v>15</v>
      </c>
      <c r="E103" s="9">
        <v>2013</v>
      </c>
      <c r="F103" s="9"/>
      <c r="G103" s="44">
        <f t="shared" si="0"/>
        <v>739.12712349658943</v>
      </c>
      <c r="H103" s="38">
        <v>739.64930394003454</v>
      </c>
      <c r="I103" s="38">
        <v>687.70855562081442</v>
      </c>
      <c r="J103" s="38">
        <v>794.69283018066676</v>
      </c>
      <c r="K103" s="24">
        <v>784.63428778542959</v>
      </c>
      <c r="L103" s="9">
        <v>0.94200207026730809</v>
      </c>
      <c r="M103" s="9"/>
      <c r="N103" s="9"/>
      <c r="O103" s="9"/>
      <c r="P103" s="9"/>
      <c r="Q103" s="9"/>
      <c r="R103" s="9"/>
      <c r="S103" s="9"/>
      <c r="T103" s="9"/>
      <c r="U103" s="9"/>
      <c r="V103" s="2">
        <f>798-298</f>
        <v>500</v>
      </c>
      <c r="W103" s="25">
        <f t="shared" si="14"/>
        <v>523.89214587464437</v>
      </c>
      <c r="X103" s="2"/>
      <c r="Y103" s="16">
        <f>V103/SUM($V$103:$V$105)</f>
        <v>0.12453300124533001</v>
      </c>
      <c r="Z103" s="16"/>
      <c r="AA103" s="19">
        <f t="shared" si="13"/>
        <v>1.0776791102681265E-2</v>
      </c>
      <c r="AE103" t="s">
        <v>40</v>
      </c>
      <c r="AF103" s="9"/>
    </row>
    <row r="104" spans="1:32" x14ac:dyDescent="0.25">
      <c r="A104" s="9" t="s">
        <v>71</v>
      </c>
      <c r="B104" s="9" t="s">
        <v>28</v>
      </c>
      <c r="C104" s="9" t="s">
        <v>19</v>
      </c>
      <c r="D104" s="9" t="s">
        <v>15</v>
      </c>
      <c r="E104" s="9">
        <v>2013</v>
      </c>
      <c r="F104" s="9"/>
      <c r="G104" s="44">
        <f t="shared" si="0"/>
        <v>1358.7768706046741</v>
      </c>
      <c r="H104" s="38">
        <v>1358.7121051246074</v>
      </c>
      <c r="I104" s="38">
        <v>1287.542051491648</v>
      </c>
      <c r="J104" s="38">
        <v>1432.3692748763815</v>
      </c>
      <c r="K104" s="24">
        <v>1442.4351214208048</v>
      </c>
      <c r="L104" s="9">
        <v>0.94200207026730809</v>
      </c>
      <c r="M104" s="9"/>
      <c r="N104" s="9"/>
      <c r="O104" s="9"/>
      <c r="P104" s="9"/>
      <c r="Q104" s="9"/>
      <c r="R104" s="9"/>
      <c r="S104" s="9"/>
      <c r="T104" s="9"/>
      <c r="U104" s="9"/>
      <c r="V104" s="2">
        <f>1896-448</f>
        <v>1448</v>
      </c>
      <c r="W104" s="25">
        <f t="shared" si="14"/>
        <v>1517.1916544529702</v>
      </c>
      <c r="X104" s="2"/>
      <c r="Y104" s="16">
        <f t="shared" ref="Y104:Y105" si="17">V104/SUM($V$103:$V$105)</f>
        <v>0.3606475716064757</v>
      </c>
      <c r="Z104" s="16"/>
      <c r="AA104" s="19">
        <f t="shared" si="13"/>
        <v>3.1209587033364947E-2</v>
      </c>
      <c r="AE104" t="s">
        <v>40</v>
      </c>
      <c r="AF104" s="9"/>
    </row>
    <row r="105" spans="1:32" x14ac:dyDescent="0.25">
      <c r="A105" s="9" t="s">
        <v>71</v>
      </c>
      <c r="B105" s="9" t="s">
        <v>28</v>
      </c>
      <c r="C105" s="9" t="s">
        <v>20</v>
      </c>
      <c r="D105" s="9" t="s">
        <v>15</v>
      </c>
      <c r="E105" s="9">
        <v>2013</v>
      </c>
      <c r="F105" s="9"/>
      <c r="G105" s="44">
        <f t="shared" si="0"/>
        <v>1996.9790053507252</v>
      </c>
      <c r="H105" s="38">
        <v>1997.3097782382408</v>
      </c>
      <c r="I105" s="38">
        <v>1910.7665998708121</v>
      </c>
      <c r="J105" s="38">
        <v>2088.5861297630463</v>
      </c>
      <c r="K105" s="24">
        <v>2119.930590793766</v>
      </c>
      <c r="L105" s="9">
        <v>0.94200207026730809</v>
      </c>
      <c r="M105" s="9"/>
      <c r="N105" s="9"/>
      <c r="O105" s="9"/>
      <c r="P105" s="9"/>
      <c r="Q105" s="9"/>
      <c r="R105" s="9"/>
      <c r="S105" s="9"/>
      <c r="T105" s="9"/>
      <c r="U105" s="9"/>
      <c r="V105" s="2">
        <f>2398-331</f>
        <v>2067</v>
      </c>
      <c r="W105" s="25">
        <f t="shared" si="14"/>
        <v>2165.7701310457796</v>
      </c>
      <c r="X105" s="2"/>
      <c r="Y105" s="16">
        <f t="shared" si="17"/>
        <v>0.51481942714819429</v>
      </c>
      <c r="Z105" s="16"/>
      <c r="AA105" s="19">
        <f t="shared" si="13"/>
        <v>4.455125441848435E-2</v>
      </c>
      <c r="AE105" t="s">
        <v>40</v>
      </c>
      <c r="AF105" s="9"/>
    </row>
    <row r="106" spans="1:32" x14ac:dyDescent="0.25">
      <c r="A106" s="9" t="s">
        <v>21</v>
      </c>
      <c r="B106" s="9" t="s">
        <v>11</v>
      </c>
      <c r="C106" s="9" t="s">
        <v>11</v>
      </c>
      <c r="D106" s="9" t="s">
        <v>11</v>
      </c>
      <c r="E106" s="9">
        <v>2013</v>
      </c>
      <c r="F106" s="9"/>
      <c r="G106" s="44">
        <f t="shared" si="0"/>
        <v>1748</v>
      </c>
      <c r="H106" s="38">
        <v>1748.5833</v>
      </c>
      <c r="I106" s="38">
        <v>1666</v>
      </c>
      <c r="J106" s="38">
        <v>1831</v>
      </c>
      <c r="K106" s="3">
        <v>1780</v>
      </c>
      <c r="L106" s="9">
        <v>0.98202247191011238</v>
      </c>
      <c r="M106" s="9"/>
      <c r="N106" s="9"/>
      <c r="O106" s="9"/>
      <c r="P106" s="9"/>
      <c r="Q106" s="9"/>
      <c r="R106" s="9"/>
      <c r="S106" s="9"/>
      <c r="T106" s="9"/>
      <c r="U106" s="9"/>
      <c r="V106" s="2">
        <v>1756</v>
      </c>
      <c r="W106" s="2"/>
      <c r="X106" s="2"/>
      <c r="Y106" s="17"/>
      <c r="Z106" s="17"/>
      <c r="AA106" s="19"/>
      <c r="AB106" s="2"/>
      <c r="AC106" s="2"/>
      <c r="AD106" s="2"/>
      <c r="AE106" t="s">
        <v>41</v>
      </c>
      <c r="AF106" s="9"/>
    </row>
    <row r="107" spans="1:32" x14ac:dyDescent="0.25">
      <c r="A107" s="9" t="s">
        <v>21</v>
      </c>
      <c r="B107" s="9" t="s">
        <v>11</v>
      </c>
      <c r="C107" s="9" t="s">
        <v>19</v>
      </c>
      <c r="D107" s="9" t="s">
        <v>11</v>
      </c>
      <c r="E107" s="9">
        <v>2013</v>
      </c>
      <c r="F107" s="9"/>
      <c r="G107" s="44">
        <f t="shared" ref="G107:G265" si="18">K107*L107</f>
        <v>377.09662921348314</v>
      </c>
      <c r="H107" s="38"/>
      <c r="I107" s="38"/>
      <c r="J107" s="38"/>
      <c r="K107" s="3">
        <v>384</v>
      </c>
      <c r="L107" s="9">
        <v>0.98202247191011238</v>
      </c>
      <c r="M107" s="9"/>
      <c r="N107" s="9"/>
      <c r="O107" s="9"/>
      <c r="P107" s="9"/>
      <c r="Q107" s="9"/>
      <c r="R107" s="9"/>
      <c r="S107" s="9"/>
      <c r="T107" s="9"/>
      <c r="U107" s="9"/>
      <c r="V107" s="2">
        <v>401</v>
      </c>
      <c r="W107" s="2"/>
      <c r="X107" s="2"/>
      <c r="Y107" s="17"/>
      <c r="Z107" s="17"/>
      <c r="AA107" s="19"/>
      <c r="AB107" s="2"/>
      <c r="AC107" s="2"/>
      <c r="AD107" s="2"/>
      <c r="AF107" s="9"/>
    </row>
    <row r="108" spans="1:32" x14ac:dyDescent="0.25">
      <c r="A108" s="9" t="s">
        <v>21</v>
      </c>
      <c r="B108" s="9" t="s">
        <v>24</v>
      </c>
      <c r="C108" s="9" t="s">
        <v>11</v>
      </c>
      <c r="D108" s="9" t="s">
        <v>11</v>
      </c>
      <c r="E108" s="9">
        <v>2013</v>
      </c>
      <c r="F108" s="9"/>
      <c r="G108" s="44">
        <f t="shared" si="18"/>
        <v>1435.7168539325844</v>
      </c>
      <c r="H108" s="38"/>
      <c r="I108" s="38"/>
      <c r="J108" s="38"/>
      <c r="K108" s="3">
        <v>1462</v>
      </c>
      <c r="L108" s="9">
        <v>0.98202247191011238</v>
      </c>
      <c r="M108" s="9"/>
      <c r="N108" s="9"/>
      <c r="O108" s="9"/>
      <c r="P108" s="9"/>
      <c r="Q108" s="9"/>
      <c r="R108" s="9"/>
      <c r="S108" s="9"/>
      <c r="T108" s="9"/>
      <c r="U108" s="9"/>
      <c r="V108" s="2">
        <v>1442</v>
      </c>
      <c r="W108" s="2"/>
      <c r="X108" s="2"/>
      <c r="Y108" s="17"/>
      <c r="Z108" s="17"/>
      <c r="AA108" s="19"/>
      <c r="AB108" s="2"/>
      <c r="AC108" s="2"/>
      <c r="AD108" s="2"/>
      <c r="AF108" s="9"/>
    </row>
    <row r="109" spans="1:32" x14ac:dyDescent="0.25">
      <c r="A109" s="9" t="s">
        <v>21</v>
      </c>
      <c r="B109" s="9" t="s">
        <v>24</v>
      </c>
      <c r="C109" s="11" t="s">
        <v>31</v>
      </c>
      <c r="D109" s="9" t="s">
        <v>11</v>
      </c>
      <c r="E109" s="9">
        <v>2013</v>
      </c>
      <c r="F109" s="9"/>
      <c r="G109" s="44">
        <f t="shared" si="18"/>
        <v>459.58651685393261</v>
      </c>
      <c r="H109" s="38">
        <v>459.82411261136281</v>
      </c>
      <c r="I109" s="38">
        <v>418.47342113991289</v>
      </c>
      <c r="J109" s="38">
        <v>502.82718383011371</v>
      </c>
      <c r="K109" s="3">
        <v>468</v>
      </c>
      <c r="L109" s="9">
        <v>0.98202247191011238</v>
      </c>
      <c r="M109" s="9"/>
      <c r="N109" s="9"/>
      <c r="O109" s="9"/>
      <c r="P109" s="9"/>
      <c r="Q109" s="9"/>
      <c r="R109" s="9"/>
      <c r="S109" s="9"/>
      <c r="T109" s="9"/>
      <c r="U109" s="9"/>
      <c r="V109" s="2"/>
      <c r="W109" s="2"/>
      <c r="X109" s="2"/>
      <c r="Y109" s="17"/>
      <c r="Z109" s="17"/>
      <c r="AA109" s="19"/>
      <c r="AB109" s="2"/>
      <c r="AC109" s="2"/>
      <c r="AD109" s="2"/>
      <c r="AF109" s="9"/>
    </row>
    <row r="110" spans="1:32" x14ac:dyDescent="0.25">
      <c r="A110" s="9" t="s">
        <v>21</v>
      </c>
      <c r="B110" s="9" t="s">
        <v>24</v>
      </c>
      <c r="C110" s="11" t="s">
        <v>19</v>
      </c>
      <c r="D110" s="9" t="s">
        <v>11</v>
      </c>
      <c r="E110" s="9">
        <v>2013</v>
      </c>
      <c r="F110" s="9"/>
      <c r="G110" s="44">
        <f t="shared" si="18"/>
        <v>272.02022471910112</v>
      </c>
      <c r="H110" s="38">
        <v>271.95981965437187</v>
      </c>
      <c r="I110" s="38">
        <v>239.82189729743604</v>
      </c>
      <c r="J110" s="38">
        <v>305.60362349491044</v>
      </c>
      <c r="K110" s="3">
        <v>277</v>
      </c>
      <c r="L110" s="9">
        <v>0.98202247191011238</v>
      </c>
      <c r="M110" s="9"/>
      <c r="N110" s="9"/>
      <c r="O110" s="9"/>
      <c r="P110" s="9"/>
      <c r="Q110" s="9"/>
      <c r="R110" s="9"/>
      <c r="S110" s="9"/>
      <c r="T110" s="9"/>
      <c r="U110" s="9"/>
      <c r="V110" s="2"/>
      <c r="W110" s="2"/>
      <c r="X110" s="2"/>
      <c r="Y110" s="17"/>
      <c r="Z110" s="17"/>
      <c r="AA110" s="19"/>
      <c r="AB110" s="2"/>
      <c r="AC110" s="2"/>
      <c r="AD110" s="2"/>
      <c r="AF110" s="9"/>
    </row>
    <row r="111" spans="1:32" x14ac:dyDescent="0.25">
      <c r="A111" s="9" t="s">
        <v>21</v>
      </c>
      <c r="B111" s="9" t="s">
        <v>24</v>
      </c>
      <c r="C111" s="11" t="s">
        <v>20</v>
      </c>
      <c r="D111" s="9" t="s">
        <v>11</v>
      </c>
      <c r="E111" s="9">
        <v>2013</v>
      </c>
      <c r="F111" s="9"/>
      <c r="G111" s="44">
        <f t="shared" si="18"/>
        <v>704.11011235955061</v>
      </c>
      <c r="H111" s="38">
        <v>704.57926670624863</v>
      </c>
      <c r="I111" s="38">
        <v>653.2408178163364</v>
      </c>
      <c r="J111" s="38">
        <v>757.43585342263827</v>
      </c>
      <c r="K111" s="3">
        <v>717</v>
      </c>
      <c r="L111" s="9">
        <v>0.98202247191011238</v>
      </c>
      <c r="M111" s="9"/>
      <c r="N111" s="9"/>
      <c r="O111" s="9"/>
      <c r="P111" s="9"/>
      <c r="Q111" s="9"/>
      <c r="R111" s="9"/>
      <c r="S111" s="9"/>
      <c r="T111" s="9"/>
      <c r="U111" s="9"/>
      <c r="V111" s="2"/>
      <c r="W111" s="2"/>
      <c r="X111" s="2"/>
      <c r="Y111" s="17"/>
      <c r="Z111" s="17"/>
      <c r="AA111" s="19"/>
      <c r="AB111" s="2"/>
      <c r="AC111" s="2"/>
      <c r="AD111" s="2"/>
      <c r="AF111" s="9"/>
    </row>
    <row r="112" spans="1:32" x14ac:dyDescent="0.25">
      <c r="A112" s="9" t="s">
        <v>21</v>
      </c>
      <c r="B112" s="9" t="s">
        <v>26</v>
      </c>
      <c r="C112" s="11" t="s">
        <v>31</v>
      </c>
      <c r="D112" s="9" t="s">
        <v>12</v>
      </c>
      <c r="E112" s="9">
        <v>2013</v>
      </c>
      <c r="F112" s="9"/>
      <c r="G112" s="44">
        <f t="shared" si="18"/>
        <v>14.707499346746797</v>
      </c>
      <c r="H112" s="38">
        <v>14.686154313227624</v>
      </c>
      <c r="I112" s="38">
        <v>8.2173224512416319</v>
      </c>
      <c r="J112" s="38">
        <v>22.887226628240725</v>
      </c>
      <c r="K112" s="3">
        <v>14.97674418604651</v>
      </c>
      <c r="L112" s="9">
        <v>0.98202247191011238</v>
      </c>
      <c r="M112" s="9"/>
      <c r="N112" s="9"/>
      <c r="O112" s="9"/>
      <c r="P112" s="9"/>
      <c r="Q112" s="9"/>
      <c r="R112" s="9"/>
      <c r="S112" s="9"/>
      <c r="T112" s="9"/>
      <c r="U112" s="9"/>
      <c r="V112" s="2"/>
      <c r="W112" s="2"/>
      <c r="X112" s="2"/>
      <c r="Y112" s="17"/>
      <c r="Z112" s="17"/>
      <c r="AA112" s="19"/>
      <c r="AB112" s="2"/>
      <c r="AC112" s="2"/>
      <c r="AD112" s="2"/>
      <c r="AF112" s="9"/>
    </row>
    <row r="113" spans="1:32" x14ac:dyDescent="0.25">
      <c r="A113" s="9" t="s">
        <v>21</v>
      </c>
      <c r="B113" s="9" t="s">
        <v>26</v>
      </c>
      <c r="C113" s="11" t="s">
        <v>19</v>
      </c>
      <c r="D113" s="9" t="s">
        <v>12</v>
      </c>
      <c r="E113" s="9">
        <v>2013</v>
      </c>
      <c r="F113" s="9"/>
      <c r="G113" s="44">
        <f t="shared" si="18"/>
        <v>16.283302848183954</v>
      </c>
      <c r="H113" s="38">
        <v>16.358635768862573</v>
      </c>
      <c r="I113" s="38">
        <v>9.4164934774451527</v>
      </c>
      <c r="J113" s="38">
        <v>25.356147845809172</v>
      </c>
      <c r="K113" s="3">
        <v>16.581395348837209</v>
      </c>
      <c r="L113" s="9">
        <v>0.98202247191011238</v>
      </c>
      <c r="M113" s="9"/>
      <c r="N113" s="9"/>
      <c r="O113" s="9"/>
      <c r="P113" s="9"/>
      <c r="Q113" s="9"/>
      <c r="R113" s="9"/>
      <c r="S113" s="9"/>
      <c r="T113" s="9"/>
      <c r="U113" s="9"/>
      <c r="V113" s="2"/>
      <c r="W113" s="2"/>
      <c r="X113" s="2"/>
      <c r="Y113" s="17"/>
      <c r="Z113" s="17"/>
      <c r="AA113" s="19"/>
      <c r="AB113" s="2"/>
      <c r="AC113" s="2"/>
      <c r="AD113" s="2"/>
      <c r="AF113" s="9"/>
    </row>
    <row r="114" spans="1:32" x14ac:dyDescent="0.25">
      <c r="A114" s="9" t="s">
        <v>21</v>
      </c>
      <c r="B114" s="9" t="s">
        <v>26</v>
      </c>
      <c r="C114" s="11" t="s">
        <v>20</v>
      </c>
      <c r="D114" s="9" t="s">
        <v>12</v>
      </c>
      <c r="E114" s="9">
        <v>2013</v>
      </c>
      <c r="F114" s="9"/>
      <c r="G114" s="44">
        <f t="shared" si="18"/>
        <v>14.182231512934413</v>
      </c>
      <c r="H114" s="38">
        <v>14.142879943161873</v>
      </c>
      <c r="I114" s="38">
        <v>7.862467515822396</v>
      </c>
      <c r="J114" s="38">
        <v>22.372553016042026</v>
      </c>
      <c r="K114" s="3">
        <v>14.441860465116278</v>
      </c>
      <c r="L114" s="9">
        <v>0.98202247191011238</v>
      </c>
      <c r="M114" s="9"/>
      <c r="N114" s="9"/>
      <c r="O114" s="9"/>
      <c r="P114" s="9"/>
      <c r="Q114" s="9"/>
      <c r="R114" s="9"/>
      <c r="S114" s="9"/>
      <c r="T114" s="9"/>
      <c r="U114" s="9"/>
      <c r="V114" s="2"/>
      <c r="W114" s="2"/>
      <c r="X114" s="2"/>
      <c r="Y114" s="17"/>
      <c r="Z114" s="17"/>
      <c r="AA114" s="19"/>
      <c r="AB114" s="2"/>
      <c r="AC114" s="2"/>
      <c r="AD114" s="2"/>
      <c r="AF114" s="9"/>
    </row>
    <row r="115" spans="1:32" x14ac:dyDescent="0.25">
      <c r="A115" s="9" t="s">
        <v>21</v>
      </c>
      <c r="B115" s="9" t="s">
        <v>26</v>
      </c>
      <c r="C115" s="11" t="s">
        <v>31</v>
      </c>
      <c r="D115" s="9" t="s">
        <v>15</v>
      </c>
      <c r="E115" s="9">
        <v>2013</v>
      </c>
      <c r="F115" s="9"/>
      <c r="G115" s="44">
        <f t="shared" si="18"/>
        <v>12.789129866736348</v>
      </c>
      <c r="H115" s="38">
        <v>12.808577417640326</v>
      </c>
      <c r="I115" s="38">
        <v>6.8553568795306692</v>
      </c>
      <c r="J115" s="38">
        <v>20.715414053642224</v>
      </c>
      <c r="K115" s="3">
        <v>13.023255813953488</v>
      </c>
      <c r="L115" s="9">
        <v>0.98202247191011238</v>
      </c>
      <c r="M115" s="9"/>
      <c r="N115" s="9"/>
      <c r="O115" s="9"/>
      <c r="P115" s="9"/>
      <c r="Q115" s="9"/>
      <c r="R115" s="9"/>
      <c r="S115" s="9"/>
      <c r="T115" s="9"/>
      <c r="U115" s="9"/>
      <c r="V115" s="2"/>
      <c r="W115" s="2"/>
      <c r="X115" s="2"/>
      <c r="Y115" s="17"/>
      <c r="Z115" s="17"/>
      <c r="AA115" s="19"/>
      <c r="AB115" s="2"/>
      <c r="AC115" s="2"/>
      <c r="AD115" s="2"/>
      <c r="AF115" s="9"/>
    </row>
    <row r="116" spans="1:32" x14ac:dyDescent="0.25">
      <c r="A116" s="9" t="s">
        <v>21</v>
      </c>
      <c r="B116" s="9" t="s">
        <v>26</v>
      </c>
      <c r="C116" s="11" t="s">
        <v>19</v>
      </c>
      <c r="D116" s="9" t="s">
        <v>15</v>
      </c>
      <c r="E116" s="9">
        <v>2013</v>
      </c>
      <c r="F116" s="9"/>
      <c r="G116" s="44">
        <f t="shared" si="18"/>
        <v>14.159393781029527</v>
      </c>
      <c r="H116" s="38">
        <v>14.160655809563091</v>
      </c>
      <c r="I116" s="38">
        <v>7.773546209492026</v>
      </c>
      <c r="J116" s="38">
        <v>22.635150945587061</v>
      </c>
      <c r="K116" s="3">
        <v>14.41860465116279</v>
      </c>
      <c r="L116" s="9">
        <v>0.98202247191011238</v>
      </c>
      <c r="M116" s="9"/>
      <c r="N116" s="9"/>
      <c r="O116" s="9"/>
      <c r="P116" s="9"/>
      <c r="Q116" s="9"/>
      <c r="R116" s="9"/>
      <c r="S116" s="9"/>
      <c r="T116" s="9"/>
      <c r="U116" s="9"/>
      <c r="V116" s="2"/>
      <c r="W116" s="2"/>
      <c r="X116" s="2"/>
      <c r="Y116" s="17"/>
      <c r="Z116" s="17"/>
      <c r="AA116" s="19"/>
      <c r="AB116" s="2"/>
      <c r="AC116" s="2"/>
      <c r="AD116" s="2"/>
      <c r="AF116" s="9"/>
    </row>
    <row r="117" spans="1:32" x14ac:dyDescent="0.25">
      <c r="A117" s="9" t="s">
        <v>21</v>
      </c>
      <c r="B117" s="9" t="s">
        <v>26</v>
      </c>
      <c r="C117" s="11" t="s">
        <v>20</v>
      </c>
      <c r="D117" s="9" t="s">
        <v>15</v>
      </c>
      <c r="E117" s="9">
        <v>2013</v>
      </c>
      <c r="F117" s="9"/>
      <c r="G117" s="44">
        <f t="shared" si="18"/>
        <v>12.33237522863862</v>
      </c>
      <c r="H117" s="38">
        <v>12.337065503080822</v>
      </c>
      <c r="I117" s="38">
        <v>6.4963901809979872</v>
      </c>
      <c r="J117" s="38">
        <v>20.088699072321329</v>
      </c>
      <c r="K117" s="3">
        <v>12.55813953488372</v>
      </c>
      <c r="L117" s="9">
        <v>0.98202247191011238</v>
      </c>
      <c r="M117" s="9"/>
      <c r="N117" s="9"/>
      <c r="O117" s="9"/>
      <c r="P117" s="9"/>
      <c r="Q117" s="9"/>
      <c r="R117" s="9"/>
      <c r="S117" s="9"/>
      <c r="T117" s="9"/>
      <c r="U117" s="9"/>
      <c r="V117" s="2"/>
      <c r="W117" s="2"/>
      <c r="X117" s="2"/>
      <c r="Y117" s="17"/>
      <c r="Z117" s="17"/>
      <c r="AA117" s="19"/>
      <c r="AB117" s="2"/>
      <c r="AC117" s="2"/>
      <c r="AD117" s="2"/>
      <c r="AF117" s="9"/>
    </row>
    <row r="118" spans="1:32" x14ac:dyDescent="0.25">
      <c r="A118" s="9" t="s">
        <v>21</v>
      </c>
      <c r="B118" s="9" t="s">
        <v>27</v>
      </c>
      <c r="C118" s="11" t="s">
        <v>31</v>
      </c>
      <c r="D118" s="9" t="s">
        <v>11</v>
      </c>
      <c r="E118" s="9">
        <v>2013</v>
      </c>
      <c r="F118" s="9"/>
      <c r="G118" s="44">
        <f t="shared" si="18"/>
        <v>17.676404494382023</v>
      </c>
      <c r="H118" s="38">
        <v>17.702192971160805</v>
      </c>
      <c r="I118" s="38">
        <v>10.622781788086622</v>
      </c>
      <c r="J118" s="38">
        <v>27.042676528924812</v>
      </c>
      <c r="K118" s="3">
        <v>18</v>
      </c>
      <c r="L118" s="9">
        <v>0.98202247191011238</v>
      </c>
      <c r="M118" s="9"/>
      <c r="N118" s="9"/>
      <c r="O118" s="9"/>
      <c r="P118" s="9"/>
      <c r="Q118" s="9"/>
      <c r="R118" s="9"/>
      <c r="S118" s="9"/>
      <c r="T118" s="9"/>
      <c r="U118" s="9"/>
      <c r="V118" s="2"/>
      <c r="W118" s="2"/>
      <c r="X118" s="2"/>
      <c r="Y118" s="17"/>
      <c r="Z118" s="17"/>
      <c r="AA118" s="19"/>
      <c r="AB118" s="2"/>
      <c r="AC118" s="2"/>
      <c r="AD118" s="2"/>
      <c r="AF118" s="9"/>
    </row>
    <row r="119" spans="1:32" x14ac:dyDescent="0.25">
      <c r="A119" s="9" t="s">
        <v>21</v>
      </c>
      <c r="B119" s="9" t="s">
        <v>27</v>
      </c>
      <c r="C119" s="11" t="s">
        <v>19</v>
      </c>
      <c r="D119" s="9" t="s">
        <v>11</v>
      </c>
      <c r="E119" s="9">
        <v>2013</v>
      </c>
      <c r="F119" s="9"/>
      <c r="G119" s="44">
        <f t="shared" si="18"/>
        <v>7.8561797752808991</v>
      </c>
      <c r="H119" s="38">
        <v>7.8386570398963213</v>
      </c>
      <c r="I119" s="38">
        <v>3.3599875459787447</v>
      </c>
      <c r="J119" s="38">
        <v>14.170969127501397</v>
      </c>
      <c r="K119" s="3">
        <v>8</v>
      </c>
      <c r="L119" s="9">
        <v>0.98202247191011238</v>
      </c>
      <c r="M119" s="9"/>
      <c r="N119" s="9"/>
      <c r="O119" s="9"/>
      <c r="P119" s="9"/>
      <c r="Q119" s="9"/>
      <c r="R119" s="9"/>
      <c r="S119" s="9"/>
      <c r="T119" s="9"/>
      <c r="U119" s="9"/>
      <c r="V119" s="2"/>
      <c r="W119" s="2"/>
      <c r="X119" s="2"/>
      <c r="Y119" s="17"/>
      <c r="Z119" s="17"/>
      <c r="AA119" s="19"/>
      <c r="AB119" s="2"/>
      <c r="AC119" s="2"/>
      <c r="AD119" s="2"/>
      <c r="AF119" s="9"/>
    </row>
    <row r="120" spans="1:32" x14ac:dyDescent="0.25">
      <c r="A120" s="9" t="s">
        <v>21</v>
      </c>
      <c r="B120" s="9" t="s">
        <v>27</v>
      </c>
      <c r="C120" s="11" t="s">
        <v>20</v>
      </c>
      <c r="D120" s="9" t="s">
        <v>11</v>
      </c>
      <c r="E120" s="9">
        <v>2013</v>
      </c>
      <c r="F120" s="9"/>
      <c r="G120" s="44">
        <f t="shared" si="18"/>
        <v>23.568539325842696</v>
      </c>
      <c r="H120" s="38">
        <v>23.522573064354223</v>
      </c>
      <c r="I120" s="38">
        <v>15.006935623125091</v>
      </c>
      <c r="J120" s="38">
        <v>33.78778502019253</v>
      </c>
      <c r="K120" s="3">
        <v>24</v>
      </c>
      <c r="L120" s="9">
        <v>0.98202247191011238</v>
      </c>
      <c r="M120" s="9"/>
      <c r="N120" s="9"/>
      <c r="O120" s="9"/>
      <c r="P120" s="9"/>
      <c r="Q120" s="9"/>
      <c r="R120" s="9"/>
      <c r="S120" s="9"/>
      <c r="T120" s="9"/>
      <c r="U120" s="9"/>
      <c r="V120" s="2"/>
      <c r="W120" s="2"/>
      <c r="X120" s="2"/>
      <c r="Y120" s="17"/>
      <c r="Z120" s="17"/>
      <c r="AA120" s="19"/>
      <c r="AB120" s="2"/>
      <c r="AC120" s="2"/>
      <c r="AD120" s="2"/>
      <c r="AF120" s="9"/>
    </row>
    <row r="121" spans="1:32" x14ac:dyDescent="0.25">
      <c r="A121" s="9" t="s">
        <v>21</v>
      </c>
      <c r="B121" s="9" t="s">
        <v>28</v>
      </c>
      <c r="C121" s="11" t="s">
        <v>31</v>
      </c>
      <c r="D121" s="9" t="s">
        <v>12</v>
      </c>
      <c r="E121" s="9">
        <v>2013</v>
      </c>
      <c r="F121" s="9"/>
      <c r="G121" s="44">
        <f t="shared" si="18"/>
        <v>2.6654895666131617</v>
      </c>
      <c r="H121" s="38">
        <v>2.6474856804356737</v>
      </c>
      <c r="I121" s="38">
        <v>0.48299256793447787</v>
      </c>
      <c r="J121" s="38">
        <v>6.5873127200333066</v>
      </c>
      <c r="K121" s="3">
        <v>2.714285714285714</v>
      </c>
      <c r="L121" s="9">
        <v>0.98202247191011238</v>
      </c>
      <c r="M121" s="9"/>
      <c r="N121" s="9"/>
      <c r="O121" s="9"/>
      <c r="P121" s="9"/>
      <c r="Q121" s="9"/>
      <c r="R121" s="9"/>
      <c r="S121" s="9"/>
      <c r="T121" s="9"/>
      <c r="U121" s="9"/>
      <c r="V121" s="2"/>
      <c r="W121" s="2"/>
      <c r="X121" s="2"/>
      <c r="Y121" s="17"/>
      <c r="Z121" s="17"/>
      <c r="AA121" s="19"/>
      <c r="AB121" s="2"/>
      <c r="AC121" s="2"/>
      <c r="AD121" s="2"/>
      <c r="AF121" s="9"/>
    </row>
    <row r="122" spans="1:32" x14ac:dyDescent="0.25">
      <c r="A122" s="9" t="s">
        <v>21</v>
      </c>
      <c r="B122" s="9" t="s">
        <v>28</v>
      </c>
      <c r="C122" s="11" t="s">
        <v>19</v>
      </c>
      <c r="D122" s="9" t="s">
        <v>12</v>
      </c>
      <c r="E122" s="9">
        <v>2013</v>
      </c>
      <c r="F122" s="9"/>
      <c r="G122" s="44">
        <f t="shared" si="18"/>
        <v>4.7698234349919737</v>
      </c>
      <c r="H122" s="38">
        <v>4.7490478408660683</v>
      </c>
      <c r="I122" s="38">
        <v>1.5118560462064883</v>
      </c>
      <c r="J122" s="38">
        <v>9.8206159017175576</v>
      </c>
      <c r="K122" s="3">
        <v>4.8571428571428568</v>
      </c>
      <c r="L122" s="9">
        <v>0.98202247191011238</v>
      </c>
      <c r="M122" s="9"/>
      <c r="N122" s="9"/>
      <c r="O122" s="9"/>
      <c r="P122" s="9"/>
      <c r="Q122" s="9"/>
      <c r="R122" s="9"/>
      <c r="S122" s="9"/>
      <c r="T122" s="9"/>
      <c r="U122" s="9"/>
      <c r="V122" s="2"/>
      <c r="W122" s="2"/>
      <c r="X122" s="2"/>
      <c r="Y122" s="17"/>
      <c r="Z122" s="17"/>
      <c r="AA122" s="19"/>
      <c r="AB122" s="2"/>
      <c r="AC122" s="2"/>
      <c r="AD122" s="2"/>
      <c r="AF122" s="9"/>
    </row>
    <row r="123" spans="1:32" x14ac:dyDescent="0.25">
      <c r="A123" s="9" t="s">
        <v>21</v>
      </c>
      <c r="B123" s="9" t="s">
        <v>28</v>
      </c>
      <c r="C123" s="11" t="s">
        <v>20</v>
      </c>
      <c r="D123" s="9" t="s">
        <v>12</v>
      </c>
      <c r="E123" s="9">
        <v>2013</v>
      </c>
      <c r="F123" s="9"/>
      <c r="G123" s="44">
        <f t="shared" si="18"/>
        <v>5.3309791332263234</v>
      </c>
      <c r="H123" s="38">
        <v>5.3544910719240653</v>
      </c>
      <c r="I123" s="38">
        <v>1.8392637222043231</v>
      </c>
      <c r="J123" s="38">
        <v>10.636590622555449</v>
      </c>
      <c r="K123" s="3">
        <v>5.4285714285714279</v>
      </c>
      <c r="L123" s="9">
        <v>0.98202247191011238</v>
      </c>
      <c r="M123" s="9"/>
      <c r="N123" s="9"/>
      <c r="O123" s="9"/>
      <c r="P123" s="9"/>
      <c r="Q123" s="9"/>
      <c r="R123" s="9"/>
      <c r="S123" s="9"/>
      <c r="T123" s="9"/>
      <c r="U123" s="9"/>
      <c r="V123" s="2"/>
      <c r="W123" s="2"/>
      <c r="X123" s="2"/>
      <c r="Y123" s="17"/>
      <c r="Z123" s="17"/>
      <c r="AA123" s="19"/>
      <c r="AB123" s="2"/>
      <c r="AC123" s="2"/>
      <c r="AD123" s="2"/>
      <c r="AF123" s="9"/>
    </row>
    <row r="124" spans="1:32" x14ac:dyDescent="0.25">
      <c r="A124" s="9" t="s">
        <v>21</v>
      </c>
      <c r="B124" s="9" t="s">
        <v>28</v>
      </c>
      <c r="C124" s="11" t="s">
        <v>31</v>
      </c>
      <c r="D124" s="9" t="s">
        <v>15</v>
      </c>
      <c r="E124" s="9">
        <v>2013</v>
      </c>
      <c r="F124" s="9"/>
      <c r="G124" s="44">
        <f t="shared" si="18"/>
        <v>34.651364365971105</v>
      </c>
      <c r="H124" s="38">
        <v>34.577681192125645</v>
      </c>
      <c r="I124" s="38">
        <v>24.167368108592079</v>
      </c>
      <c r="J124" s="38">
        <v>46.610019427343275</v>
      </c>
      <c r="K124" s="3">
        <v>35.285714285714285</v>
      </c>
      <c r="L124" s="9">
        <v>0.98202247191011238</v>
      </c>
      <c r="M124" s="9"/>
      <c r="N124" s="9"/>
      <c r="O124" s="9"/>
      <c r="P124" s="9"/>
      <c r="Q124" s="9"/>
      <c r="R124" s="9"/>
      <c r="S124" s="9"/>
      <c r="T124" s="9"/>
      <c r="U124" s="9"/>
      <c r="V124" s="2"/>
      <c r="W124" s="2"/>
      <c r="X124" s="2"/>
      <c r="Y124" s="17"/>
      <c r="Z124" s="17"/>
      <c r="AA124" s="19"/>
      <c r="AB124" s="2"/>
      <c r="AC124" s="2"/>
      <c r="AD124" s="2"/>
      <c r="AF124" s="9"/>
    </row>
    <row r="125" spans="1:32" x14ac:dyDescent="0.25">
      <c r="A125" s="9" t="s">
        <v>21</v>
      </c>
      <c r="B125" s="9" t="s">
        <v>28</v>
      </c>
      <c r="C125" s="11" t="s">
        <v>19</v>
      </c>
      <c r="D125" s="9" t="s">
        <v>15</v>
      </c>
      <c r="E125" s="9">
        <v>2013</v>
      </c>
      <c r="F125" s="9"/>
      <c r="G125" s="44">
        <f t="shared" si="18"/>
        <v>62.007704654895669</v>
      </c>
      <c r="H125" s="38">
        <v>62.018583642377145</v>
      </c>
      <c r="I125" s="38">
        <v>47.618577081976078</v>
      </c>
      <c r="J125" s="38">
        <v>78.743343649157339</v>
      </c>
      <c r="K125" s="3">
        <v>63.142857142857146</v>
      </c>
      <c r="L125" s="9">
        <v>0.98202247191011238</v>
      </c>
      <c r="M125" s="9"/>
      <c r="N125" s="9"/>
      <c r="O125" s="9"/>
      <c r="P125" s="9"/>
      <c r="Q125" s="9"/>
      <c r="R125" s="9"/>
      <c r="S125" s="9"/>
      <c r="T125" s="9"/>
      <c r="U125" s="9"/>
      <c r="V125" s="2"/>
      <c r="W125" s="2"/>
      <c r="X125" s="2"/>
      <c r="Y125" s="17"/>
      <c r="Z125" s="17"/>
      <c r="AA125" s="19"/>
      <c r="AB125" s="2"/>
      <c r="AC125" s="2"/>
      <c r="AD125" s="2"/>
      <c r="AF125" s="9"/>
    </row>
    <row r="126" spans="1:32" x14ac:dyDescent="0.25">
      <c r="A126" s="9" t="s">
        <v>21</v>
      </c>
      <c r="B126" s="9" t="s">
        <v>28</v>
      </c>
      <c r="C126" s="11" t="s">
        <v>20</v>
      </c>
      <c r="D126" s="9" t="s">
        <v>15</v>
      </c>
      <c r="E126" s="9">
        <v>2013</v>
      </c>
      <c r="F126" s="9"/>
      <c r="G126" s="44">
        <f t="shared" si="18"/>
        <v>69.30272873194221</v>
      </c>
      <c r="H126" s="38">
        <v>69.315419769340508</v>
      </c>
      <c r="I126" s="38">
        <v>54.138879387966277</v>
      </c>
      <c r="J126" s="38">
        <v>86.368351404570063</v>
      </c>
      <c r="K126" s="3">
        <v>70.571428571428569</v>
      </c>
      <c r="L126" s="9">
        <v>0.98202247191011238</v>
      </c>
      <c r="M126" s="9"/>
      <c r="N126" s="9"/>
      <c r="O126" s="9"/>
      <c r="P126" s="9"/>
      <c r="Q126" s="9"/>
      <c r="R126" s="9"/>
      <c r="S126" s="9"/>
      <c r="T126" s="9"/>
      <c r="U126" s="9"/>
      <c r="V126" s="2"/>
      <c r="W126" s="2"/>
      <c r="X126" s="2"/>
      <c r="Y126" s="17"/>
      <c r="Z126" s="17"/>
      <c r="AA126" s="19"/>
      <c r="AB126" s="2"/>
      <c r="AC126" s="2"/>
      <c r="AD126" s="2"/>
      <c r="AF126" s="9"/>
    </row>
    <row r="127" spans="1:32" x14ac:dyDescent="0.25">
      <c r="A127" s="9" t="s">
        <v>22</v>
      </c>
      <c r="B127" s="9" t="s">
        <v>11</v>
      </c>
      <c r="C127" s="9" t="s">
        <v>11</v>
      </c>
      <c r="D127" s="9" t="s">
        <v>11</v>
      </c>
      <c r="E127" s="9">
        <v>2013</v>
      </c>
      <c r="F127" s="44">
        <f>M127*N127</f>
        <v>529.27236994219652</v>
      </c>
      <c r="G127" s="51">
        <f t="shared" si="18"/>
        <v>432.5</v>
      </c>
      <c r="H127" s="39">
        <v>529.60109999999997</v>
      </c>
      <c r="I127" s="39">
        <v>483</v>
      </c>
      <c r="J127" s="39">
        <v>576</v>
      </c>
      <c r="K127" s="51">
        <v>494</v>
      </c>
      <c r="L127" s="52">
        <v>0.87550607287449389</v>
      </c>
      <c r="M127" s="44">
        <v>582</v>
      </c>
      <c r="N127" s="49">
        <v>0.9094026974951831</v>
      </c>
      <c r="O127" s="9"/>
      <c r="P127" s="9"/>
      <c r="Q127" s="9"/>
      <c r="R127" s="9"/>
      <c r="S127" s="9"/>
      <c r="T127" s="9"/>
      <c r="U127" s="9"/>
      <c r="V127" s="1">
        <v>534</v>
      </c>
      <c r="W127" s="1"/>
      <c r="X127" s="2"/>
      <c r="Y127" s="17"/>
      <c r="Z127" s="17"/>
      <c r="AA127" s="17"/>
      <c r="AB127" s="2"/>
      <c r="AC127" s="2"/>
      <c r="AD127" s="2"/>
      <c r="AF127" s="9"/>
    </row>
    <row r="128" spans="1:32" x14ac:dyDescent="0.25">
      <c r="A128" s="9" t="s">
        <v>22</v>
      </c>
      <c r="B128" s="9" t="s">
        <v>11</v>
      </c>
      <c r="C128" s="9" t="s">
        <v>19</v>
      </c>
      <c r="D128" s="9" t="s">
        <v>11</v>
      </c>
      <c r="E128" s="9">
        <v>2013</v>
      </c>
      <c r="F128" s="44">
        <f t="shared" ref="F128:F147" si="19">M128*N128</f>
        <v>154.59845857418114</v>
      </c>
      <c r="G128" s="51">
        <f t="shared" si="18"/>
        <v>126.07287449392712</v>
      </c>
      <c r="H128" s="39"/>
      <c r="I128" s="39"/>
      <c r="J128" s="39"/>
      <c r="K128" s="51">
        <v>144</v>
      </c>
      <c r="L128" s="52">
        <v>0.87550607287449389</v>
      </c>
      <c r="M128" s="44">
        <v>170</v>
      </c>
      <c r="N128" s="49">
        <v>0.9094026974951831</v>
      </c>
      <c r="O128" s="9"/>
      <c r="P128" s="9"/>
      <c r="Q128" s="9"/>
      <c r="R128" s="9"/>
      <c r="S128" s="9"/>
      <c r="T128" s="9"/>
      <c r="U128" s="9"/>
      <c r="V128" s="38">
        <v>134</v>
      </c>
      <c r="W128" s="38"/>
      <c r="X128" s="3"/>
      <c r="Y128" s="19">
        <f>V128/V127</f>
        <v>0.25093632958801498</v>
      </c>
      <c r="Z128" s="19"/>
      <c r="AA128" s="19"/>
      <c r="AB128" s="3"/>
      <c r="AC128" s="3"/>
      <c r="AD128" s="3"/>
      <c r="AE128" s="9"/>
      <c r="AF128" s="9"/>
    </row>
    <row r="129" spans="1:32" x14ac:dyDescent="0.25">
      <c r="A129" s="9" t="s">
        <v>22</v>
      </c>
      <c r="B129" s="9" t="s">
        <v>24</v>
      </c>
      <c r="C129" s="9" t="s">
        <v>11</v>
      </c>
      <c r="D129" s="9" t="s">
        <v>11</v>
      </c>
      <c r="E129" s="9">
        <v>2013</v>
      </c>
      <c r="F129" s="44">
        <f t="shared" si="19"/>
        <v>345.5730250481696</v>
      </c>
      <c r="G129" s="51">
        <f t="shared" si="18"/>
        <v>284.53947368421052</v>
      </c>
      <c r="H129" s="39"/>
      <c r="I129" s="39"/>
      <c r="J129" s="39"/>
      <c r="K129" s="51">
        <v>325</v>
      </c>
      <c r="L129" s="52">
        <v>0.87550607287449389</v>
      </c>
      <c r="M129" s="44">
        <v>380</v>
      </c>
      <c r="N129" s="49">
        <v>0.9094026974951831</v>
      </c>
      <c r="O129" s="9"/>
      <c r="P129" s="9"/>
      <c r="Q129" s="9"/>
      <c r="R129" s="9"/>
      <c r="S129" s="9"/>
      <c r="T129" s="9"/>
      <c r="U129" s="9"/>
      <c r="V129" s="38">
        <v>328</v>
      </c>
      <c r="W129" s="38"/>
      <c r="X129" s="3"/>
      <c r="Y129" s="19">
        <f>V129/V127</f>
        <v>0.61423220973782766</v>
      </c>
      <c r="Z129" s="19"/>
      <c r="AA129" s="19"/>
      <c r="AB129" s="3"/>
      <c r="AC129" s="3"/>
      <c r="AD129" s="3"/>
      <c r="AE129" s="9"/>
      <c r="AF129" s="9"/>
    </row>
    <row r="130" spans="1:32" s="37" customFormat="1" x14ac:dyDescent="0.25">
      <c r="A130" s="9" t="s">
        <v>22</v>
      </c>
      <c r="B130" s="9" t="s">
        <v>24</v>
      </c>
      <c r="C130" s="9" t="s">
        <v>31</v>
      </c>
      <c r="D130" s="9" t="s">
        <v>11</v>
      </c>
      <c r="E130" s="9">
        <v>2013</v>
      </c>
      <c r="F130" s="44">
        <f t="shared" si="19"/>
        <v>151.87025048169556</v>
      </c>
      <c r="G130" s="51">
        <f t="shared" si="18"/>
        <v>118.19331983805668</v>
      </c>
      <c r="H130" s="39">
        <v>151.92495895858806</v>
      </c>
      <c r="I130" s="39">
        <v>129.02690805438635</v>
      </c>
      <c r="J130" s="39">
        <v>177.31940788327955</v>
      </c>
      <c r="K130" s="51">
        <v>135</v>
      </c>
      <c r="L130" s="52">
        <v>0.87550607287449389</v>
      </c>
      <c r="M130" s="44">
        <v>167</v>
      </c>
      <c r="N130" s="49">
        <v>0.9094026974951831</v>
      </c>
      <c r="O130" s="9"/>
      <c r="P130" s="9"/>
      <c r="Q130" s="9"/>
      <c r="R130" s="9"/>
      <c r="S130" s="9"/>
      <c r="T130" s="9"/>
      <c r="U130" s="9"/>
      <c r="V130" s="3"/>
      <c r="W130" s="3"/>
      <c r="X130" s="3"/>
      <c r="Y130" s="19"/>
      <c r="Z130" s="19"/>
      <c r="AA130" s="19"/>
      <c r="AB130" s="3"/>
      <c r="AC130" s="3"/>
      <c r="AD130" s="3"/>
      <c r="AE130" s="9"/>
      <c r="AF130" s="9"/>
    </row>
    <row r="131" spans="1:32" s="37" customFormat="1" x14ac:dyDescent="0.25">
      <c r="A131" s="9" t="s">
        <v>22</v>
      </c>
      <c r="B131" s="9" t="s">
        <v>24</v>
      </c>
      <c r="C131" s="9" t="s">
        <v>19</v>
      </c>
      <c r="D131" s="9" t="s">
        <v>11</v>
      </c>
      <c r="E131" s="9">
        <v>2013</v>
      </c>
      <c r="F131" s="44">
        <f t="shared" si="19"/>
        <v>80.936840077071295</v>
      </c>
      <c r="G131" s="51">
        <f t="shared" si="18"/>
        <v>67.413967611336034</v>
      </c>
      <c r="H131" s="39">
        <v>80.972024065940218</v>
      </c>
      <c r="I131" s="39">
        <v>63.989298971167436</v>
      </c>
      <c r="J131" s="39">
        <v>99.639218903209667</v>
      </c>
      <c r="K131" s="51">
        <v>77</v>
      </c>
      <c r="L131" s="52">
        <v>0.87550607287449389</v>
      </c>
      <c r="M131" s="44">
        <v>89</v>
      </c>
      <c r="N131" s="49">
        <v>0.9094026974951831</v>
      </c>
      <c r="O131" s="9"/>
      <c r="P131" s="9"/>
      <c r="Q131" s="9"/>
      <c r="R131" s="9"/>
      <c r="S131" s="9"/>
      <c r="T131" s="9"/>
      <c r="U131" s="9"/>
      <c r="V131" s="3"/>
      <c r="W131" s="3"/>
      <c r="X131" s="3"/>
      <c r="Y131" s="19"/>
      <c r="Z131" s="19"/>
      <c r="AA131" s="19"/>
      <c r="AB131" s="3"/>
      <c r="AC131" s="3"/>
      <c r="AD131" s="3"/>
      <c r="AE131" s="9"/>
      <c r="AF131" s="9"/>
    </row>
    <row r="132" spans="1:32" s="37" customFormat="1" x14ac:dyDescent="0.25">
      <c r="A132" s="9" t="s">
        <v>22</v>
      </c>
      <c r="B132" s="9" t="s">
        <v>24</v>
      </c>
      <c r="C132" s="9" t="s">
        <v>20</v>
      </c>
      <c r="D132" s="9" t="s">
        <v>11</v>
      </c>
      <c r="E132" s="9">
        <v>2013</v>
      </c>
      <c r="F132" s="44">
        <f t="shared" si="19"/>
        <v>112.76593448940271</v>
      </c>
      <c r="G132" s="51">
        <f t="shared" si="18"/>
        <v>98.932186234817806</v>
      </c>
      <c r="H132" s="39">
        <v>112.92936696334178</v>
      </c>
      <c r="I132" s="39">
        <v>92.542979824029516</v>
      </c>
      <c r="J132" s="39">
        <v>134.15807014603348</v>
      </c>
      <c r="K132" s="51">
        <v>113</v>
      </c>
      <c r="L132" s="52">
        <v>0.87550607287449389</v>
      </c>
      <c r="M132" s="44">
        <v>124</v>
      </c>
      <c r="N132" s="49">
        <v>0.9094026974951831</v>
      </c>
      <c r="O132" s="9"/>
      <c r="P132" s="9"/>
      <c r="Q132" s="9"/>
      <c r="R132" s="9"/>
      <c r="S132" s="9"/>
      <c r="T132" s="9"/>
      <c r="U132" s="9"/>
      <c r="V132" s="3"/>
      <c r="W132" s="3"/>
      <c r="X132" s="3"/>
      <c r="Y132" s="19"/>
      <c r="Z132" s="19"/>
      <c r="AA132" s="19"/>
      <c r="AB132" s="3"/>
      <c r="AC132" s="3"/>
      <c r="AD132" s="3"/>
      <c r="AE132" s="9"/>
      <c r="AF132" s="9"/>
    </row>
    <row r="133" spans="1:32" s="37" customFormat="1" x14ac:dyDescent="0.25">
      <c r="A133" s="9" t="s">
        <v>22</v>
      </c>
      <c r="B133" s="11" t="s">
        <v>26</v>
      </c>
      <c r="C133" s="9" t="s">
        <v>31</v>
      </c>
      <c r="D133" s="9" t="s">
        <v>12</v>
      </c>
      <c r="E133" s="9">
        <v>2013</v>
      </c>
      <c r="F133" s="44">
        <f t="shared" si="19"/>
        <v>12.349913175860511</v>
      </c>
      <c r="G133" s="51">
        <f t="shared" si="18"/>
        <v>10.976494047978729</v>
      </c>
      <c r="H133" s="39">
        <v>12.379965789437559</v>
      </c>
      <c r="I133" s="39">
        <v>6.4469732496071268</v>
      </c>
      <c r="J133" s="39">
        <v>20.233446189272875</v>
      </c>
      <c r="K133" s="51">
        <v>12.53731343283582</v>
      </c>
      <c r="L133" s="52">
        <v>0.87550607287449389</v>
      </c>
      <c r="M133" s="44">
        <v>13.580246913580247</v>
      </c>
      <c r="N133" s="49">
        <v>0.9094026974951831</v>
      </c>
      <c r="O133" s="9"/>
      <c r="P133" s="9"/>
      <c r="Q133" s="9"/>
      <c r="R133" s="9"/>
      <c r="S133" s="9"/>
      <c r="T133" s="9"/>
      <c r="U133" s="9"/>
      <c r="V133" s="3"/>
      <c r="W133" s="3"/>
      <c r="X133" s="3"/>
      <c r="Y133" s="19"/>
      <c r="Z133" s="19"/>
      <c r="AA133" s="19"/>
      <c r="AB133" s="3"/>
      <c r="AC133" s="3"/>
      <c r="AD133" s="3"/>
      <c r="AE133" s="9"/>
      <c r="AF133" s="9"/>
    </row>
    <row r="134" spans="1:32" s="37" customFormat="1" x14ac:dyDescent="0.25">
      <c r="A134" s="9" t="s">
        <v>22</v>
      </c>
      <c r="B134" s="11" t="s">
        <v>26</v>
      </c>
      <c r="C134" s="9" t="s">
        <v>19</v>
      </c>
      <c r="D134" s="9" t="s">
        <v>12</v>
      </c>
      <c r="E134" s="9">
        <v>2013</v>
      </c>
      <c r="F134" s="44">
        <f t="shared" si="19"/>
        <v>17.289878446204714</v>
      </c>
      <c r="G134" s="51">
        <f t="shared" si="18"/>
        <v>13.589945011783188</v>
      </c>
      <c r="H134" s="39">
        <v>17.323338668997067</v>
      </c>
      <c r="I134" s="39">
        <v>10.104685325604784</v>
      </c>
      <c r="J134" s="39">
        <v>26.345422660348301</v>
      </c>
      <c r="K134" s="51">
        <v>15.522388059701491</v>
      </c>
      <c r="L134" s="52">
        <v>0.87550607287449389</v>
      </c>
      <c r="M134" s="44">
        <v>19.012345679012345</v>
      </c>
      <c r="N134" s="49">
        <v>0.9094026974951831</v>
      </c>
      <c r="O134" s="9"/>
      <c r="P134" s="9"/>
      <c r="Q134" s="9"/>
      <c r="R134" s="9"/>
      <c r="S134" s="9"/>
      <c r="T134" s="9"/>
      <c r="U134" s="9"/>
      <c r="V134" s="3"/>
      <c r="W134" s="3"/>
      <c r="X134" s="3"/>
      <c r="Y134" s="19"/>
      <c r="Z134" s="19"/>
      <c r="AA134" s="19"/>
      <c r="AB134" s="3"/>
      <c r="AC134" s="3"/>
      <c r="AD134" s="3"/>
      <c r="AE134" s="9"/>
      <c r="AF134" s="9"/>
    </row>
    <row r="135" spans="1:32" s="37" customFormat="1" x14ac:dyDescent="0.25">
      <c r="A135" s="9" t="s">
        <v>22</v>
      </c>
      <c r="B135" s="11" t="s">
        <v>26</v>
      </c>
      <c r="C135" s="9" t="s">
        <v>20</v>
      </c>
      <c r="D135" s="9" t="s">
        <v>12</v>
      </c>
      <c r="E135" s="9">
        <v>2013</v>
      </c>
      <c r="F135" s="44">
        <f t="shared" si="19"/>
        <v>10.373927067722828</v>
      </c>
      <c r="G135" s="51">
        <f t="shared" si="18"/>
        <v>9.9311136624569443</v>
      </c>
      <c r="H135" s="39">
        <v>10.356620094001801</v>
      </c>
      <c r="I135" s="39">
        <v>5.0150215764069381</v>
      </c>
      <c r="J135" s="39">
        <v>17.538743923303837</v>
      </c>
      <c r="K135" s="51">
        <v>11.343283582089551</v>
      </c>
      <c r="L135" s="52">
        <v>0.87550607287449389</v>
      </c>
      <c r="M135" s="44">
        <v>11.407407407407407</v>
      </c>
      <c r="N135" s="49">
        <v>0.9094026974951831</v>
      </c>
      <c r="O135" s="9"/>
      <c r="P135" s="9"/>
      <c r="Q135" s="9"/>
      <c r="R135" s="9"/>
      <c r="S135" s="9"/>
      <c r="T135" s="9"/>
      <c r="U135" s="9"/>
      <c r="V135" s="3"/>
      <c r="W135" s="3"/>
      <c r="X135" s="3"/>
      <c r="Y135" s="19"/>
      <c r="Z135" s="19"/>
      <c r="AA135" s="19"/>
      <c r="AB135" s="3"/>
      <c r="AC135" s="3"/>
      <c r="AD135" s="3"/>
      <c r="AE135" s="9"/>
      <c r="AF135" s="9"/>
    </row>
    <row r="136" spans="1:32" s="37" customFormat="1" x14ac:dyDescent="0.25">
      <c r="A136" s="9" t="s">
        <v>22</v>
      </c>
      <c r="B136" s="11" t="s">
        <v>26</v>
      </c>
      <c r="C136" s="9" t="s">
        <v>31</v>
      </c>
      <c r="D136" s="9" t="s">
        <v>15</v>
      </c>
      <c r="E136" s="9">
        <v>2013</v>
      </c>
      <c r="F136" s="44">
        <f t="shared" si="19"/>
        <v>10.385154261519066</v>
      </c>
      <c r="G136" s="51">
        <f t="shared" si="18"/>
        <v>7.4091334823856414</v>
      </c>
      <c r="H136" s="39">
        <v>10.427998727623562</v>
      </c>
      <c r="I136" s="39">
        <v>5.1374529018445507</v>
      </c>
      <c r="J136" s="39">
        <v>17.808884753954487</v>
      </c>
      <c r="K136" s="51">
        <v>8.4626865671641784</v>
      </c>
      <c r="L136" s="52">
        <v>0.87550607287449389</v>
      </c>
      <c r="M136" s="44">
        <v>11.419753086419753</v>
      </c>
      <c r="N136" s="49">
        <v>0.9094026974951831</v>
      </c>
      <c r="O136" s="9"/>
      <c r="P136" s="9"/>
      <c r="Q136" s="9"/>
      <c r="R136" s="9"/>
      <c r="S136" s="9"/>
      <c r="T136" s="9"/>
      <c r="U136" s="9"/>
      <c r="V136" s="3"/>
      <c r="W136" s="3"/>
      <c r="X136" s="3"/>
      <c r="Y136" s="19"/>
      <c r="Z136" s="19"/>
      <c r="AA136" s="19"/>
      <c r="AB136" s="3"/>
      <c r="AC136" s="3"/>
      <c r="AD136" s="3"/>
      <c r="AE136" s="9"/>
      <c r="AF136" s="9"/>
    </row>
    <row r="137" spans="1:32" s="37" customFormat="1" x14ac:dyDescent="0.25">
      <c r="A137" s="9" t="s">
        <v>22</v>
      </c>
      <c r="B137" s="11" t="s">
        <v>26</v>
      </c>
      <c r="C137" s="9" t="s">
        <v>19</v>
      </c>
      <c r="D137" s="9" t="s">
        <v>15</v>
      </c>
      <c r="E137" s="9">
        <v>2013</v>
      </c>
      <c r="F137" s="44">
        <f t="shared" si="19"/>
        <v>14.539215966126692</v>
      </c>
      <c r="G137" s="51">
        <f t="shared" si="18"/>
        <v>9.1732128829536528</v>
      </c>
      <c r="H137" s="39">
        <v>14.517147936252586</v>
      </c>
      <c r="I137" s="39">
        <v>8.1376442450957605</v>
      </c>
      <c r="J137" s="39">
        <v>22.911991531869528</v>
      </c>
      <c r="K137" s="51">
        <v>10.477611940298507</v>
      </c>
      <c r="L137" s="52">
        <v>0.87550607287449389</v>
      </c>
      <c r="M137" s="44">
        <v>15.987654320987653</v>
      </c>
      <c r="N137" s="49">
        <v>0.9094026974951831</v>
      </c>
      <c r="O137" s="9"/>
      <c r="P137" s="9"/>
      <c r="Q137" s="9"/>
      <c r="R137" s="9"/>
      <c r="S137" s="9"/>
      <c r="T137" s="9"/>
      <c r="U137" s="9"/>
      <c r="V137" s="3"/>
      <c r="W137" s="3"/>
      <c r="X137" s="3"/>
      <c r="Y137" s="19"/>
      <c r="Z137" s="19"/>
      <c r="AA137" s="19"/>
      <c r="AB137" s="3"/>
      <c r="AC137" s="3"/>
      <c r="AD137" s="3"/>
      <c r="AE137" s="9"/>
      <c r="AF137" s="9"/>
    </row>
    <row r="138" spans="1:32" s="37" customFormat="1" x14ac:dyDescent="0.25">
      <c r="A138" s="9" t="s">
        <v>22</v>
      </c>
      <c r="B138" s="11" t="s">
        <v>26</v>
      </c>
      <c r="C138" s="9" t="s">
        <v>20</v>
      </c>
      <c r="D138" s="9" t="s">
        <v>15</v>
      </c>
      <c r="E138" s="9">
        <v>2013</v>
      </c>
      <c r="F138" s="44">
        <f t="shared" si="19"/>
        <v>8.7235295796760148</v>
      </c>
      <c r="G138" s="51">
        <f t="shared" si="18"/>
        <v>6.7035017221584381</v>
      </c>
      <c r="H138" s="39">
        <v>8.7529049026731851</v>
      </c>
      <c r="I138" s="39">
        <v>3.9075908299632101</v>
      </c>
      <c r="J138" s="39">
        <v>15.400320960433849</v>
      </c>
      <c r="K138" s="51">
        <v>7.6567164179104479</v>
      </c>
      <c r="L138" s="52">
        <v>0.87550607287449389</v>
      </c>
      <c r="M138" s="44">
        <v>9.5925925925925917</v>
      </c>
      <c r="N138" s="49">
        <v>0.9094026974951831</v>
      </c>
      <c r="O138" s="9"/>
      <c r="P138" s="9"/>
      <c r="Q138" s="9"/>
      <c r="R138" s="9"/>
      <c r="S138" s="9"/>
      <c r="T138" s="9"/>
      <c r="U138" s="9"/>
      <c r="V138" s="3"/>
      <c r="W138" s="3"/>
      <c r="X138" s="3"/>
      <c r="Y138" s="19"/>
      <c r="Z138" s="19"/>
      <c r="AA138" s="19"/>
      <c r="AB138" s="3"/>
      <c r="AC138" s="3"/>
      <c r="AD138" s="3"/>
      <c r="AE138" s="9"/>
      <c r="AF138" s="9"/>
    </row>
    <row r="139" spans="1:32" s="37" customFormat="1" x14ac:dyDescent="0.25">
      <c r="A139" s="9" t="s">
        <v>22</v>
      </c>
      <c r="B139" s="9" t="s">
        <v>27</v>
      </c>
      <c r="C139" s="9" t="s">
        <v>31</v>
      </c>
      <c r="D139" s="9" t="s">
        <v>11</v>
      </c>
      <c r="E139" s="9">
        <v>2013</v>
      </c>
      <c r="F139" s="44">
        <f t="shared" si="19"/>
        <v>30.010289017341041</v>
      </c>
      <c r="G139" s="51">
        <f t="shared" si="18"/>
        <v>22.763157894736842</v>
      </c>
      <c r="H139" s="39">
        <v>30.079508210099789</v>
      </c>
      <c r="I139" s="39">
        <v>20.298972195956011</v>
      </c>
      <c r="J139" s="39">
        <v>41.479421579234106</v>
      </c>
      <c r="K139" s="51">
        <v>26</v>
      </c>
      <c r="L139" s="52">
        <v>0.87550607287449389</v>
      </c>
      <c r="M139" s="44">
        <v>33</v>
      </c>
      <c r="N139" s="49">
        <v>0.9094026974951831</v>
      </c>
      <c r="O139" s="9"/>
      <c r="P139" s="9"/>
      <c r="Q139" s="9"/>
      <c r="R139" s="9"/>
      <c r="S139" s="9"/>
      <c r="T139" s="9"/>
      <c r="U139" s="9"/>
      <c r="V139" s="3"/>
      <c r="W139" s="3"/>
      <c r="X139" s="3"/>
      <c r="Y139" s="19"/>
      <c r="Z139" s="19"/>
      <c r="AA139" s="19"/>
      <c r="AB139" s="3"/>
      <c r="AC139" s="3"/>
      <c r="AD139" s="3"/>
      <c r="AE139" s="9"/>
      <c r="AF139" s="9"/>
    </row>
    <row r="140" spans="1:32" s="37" customFormat="1" x14ac:dyDescent="0.25">
      <c r="A140" s="9" t="s">
        <v>22</v>
      </c>
      <c r="B140" s="9" t="s">
        <v>27</v>
      </c>
      <c r="C140" s="9" t="s">
        <v>19</v>
      </c>
      <c r="D140" s="9" t="s">
        <v>11</v>
      </c>
      <c r="E140" s="9">
        <v>2013</v>
      </c>
      <c r="F140" s="44">
        <f t="shared" si="19"/>
        <v>19.097456647398847</v>
      </c>
      <c r="G140" s="51">
        <f t="shared" si="18"/>
        <v>16.634615384615383</v>
      </c>
      <c r="H140" s="39">
        <v>19.063718861952168</v>
      </c>
      <c r="I140" s="39">
        <v>11.492898154923887</v>
      </c>
      <c r="J140" s="39">
        <v>28.477302121048737</v>
      </c>
      <c r="K140" s="51">
        <v>19</v>
      </c>
      <c r="L140" s="52">
        <v>0.87550607287449389</v>
      </c>
      <c r="M140" s="44">
        <v>21</v>
      </c>
      <c r="N140" s="49">
        <v>0.9094026974951831</v>
      </c>
      <c r="O140" s="9"/>
      <c r="P140" s="9"/>
      <c r="Q140" s="9"/>
      <c r="R140" s="9"/>
      <c r="S140" s="9"/>
      <c r="T140" s="9"/>
      <c r="U140" s="9"/>
      <c r="V140" s="3"/>
      <c r="W140" s="3"/>
      <c r="X140" s="3"/>
      <c r="Y140" s="19"/>
      <c r="Z140" s="19"/>
      <c r="AA140" s="19"/>
      <c r="AB140" s="3"/>
      <c r="AC140" s="3"/>
      <c r="AD140" s="3"/>
      <c r="AE140" s="9"/>
      <c r="AF140" s="9"/>
    </row>
    <row r="141" spans="1:32" s="37" customFormat="1" x14ac:dyDescent="0.25">
      <c r="A141" s="9" t="s">
        <v>22</v>
      </c>
      <c r="B141" s="9" t="s">
        <v>27</v>
      </c>
      <c r="C141" s="9" t="s">
        <v>20</v>
      </c>
      <c r="D141" s="9" t="s">
        <v>11</v>
      </c>
      <c r="E141" s="9">
        <v>2013</v>
      </c>
      <c r="F141" s="44">
        <f t="shared" si="19"/>
        <v>15.459845857418113</v>
      </c>
      <c r="G141" s="51">
        <f t="shared" si="18"/>
        <v>14.008097165991902</v>
      </c>
      <c r="H141" s="39">
        <v>15.497202178528914</v>
      </c>
      <c r="I141" s="39">
        <v>8.7168311538845824</v>
      </c>
      <c r="J141" s="39">
        <v>24.017511330700003</v>
      </c>
      <c r="K141" s="51">
        <v>16</v>
      </c>
      <c r="L141" s="52">
        <v>0.87550607287449389</v>
      </c>
      <c r="M141" s="44">
        <v>17</v>
      </c>
      <c r="N141" s="49">
        <v>0.9094026974951831</v>
      </c>
      <c r="O141" s="9"/>
      <c r="P141" s="9"/>
      <c r="Q141" s="9"/>
      <c r="R141" s="9"/>
      <c r="S141" s="9"/>
      <c r="T141" s="9"/>
      <c r="U141" s="9"/>
      <c r="V141" s="3"/>
      <c r="W141" s="3"/>
      <c r="X141" s="3"/>
      <c r="Y141" s="19"/>
      <c r="Z141" s="19"/>
      <c r="AA141" s="19"/>
      <c r="AB141" s="3"/>
      <c r="AC141" s="3"/>
      <c r="AD141" s="3"/>
      <c r="AE141" s="9"/>
      <c r="AF141" s="9"/>
    </row>
    <row r="142" spans="1:32" s="37" customFormat="1" x14ac:dyDescent="0.25">
      <c r="A142" s="9" t="s">
        <v>22</v>
      </c>
      <c r="B142" s="9" t="s">
        <v>28</v>
      </c>
      <c r="C142" s="9" t="s">
        <v>31</v>
      </c>
      <c r="D142" s="9" t="s">
        <v>12</v>
      </c>
      <c r="E142" s="9">
        <v>2013</v>
      </c>
      <c r="F142" s="44">
        <f t="shared" si="19"/>
        <v>3.3102258188824671</v>
      </c>
      <c r="G142" s="51">
        <f t="shared" si="18"/>
        <v>2.5624567986570552</v>
      </c>
      <c r="H142" s="39">
        <v>3.2877394516660363</v>
      </c>
      <c r="I142" s="39">
        <v>0.75366507168733521</v>
      </c>
      <c r="J142" s="39">
        <v>7.7063034377878594</v>
      </c>
      <c r="K142" s="51">
        <v>2.9268292682926829</v>
      </c>
      <c r="L142" s="52">
        <v>0.87550607287449389</v>
      </c>
      <c r="M142" s="44">
        <v>3.6400000000000006</v>
      </c>
      <c r="N142" s="49">
        <v>0.9094026974951831</v>
      </c>
      <c r="O142" s="9"/>
      <c r="P142" s="9"/>
      <c r="Q142" s="9"/>
      <c r="R142" s="9"/>
      <c r="S142" s="9"/>
      <c r="T142" s="9"/>
      <c r="U142" s="9"/>
      <c r="V142" s="3"/>
      <c r="W142" s="3"/>
      <c r="X142" s="3"/>
      <c r="Y142" s="19"/>
      <c r="Z142" s="19"/>
      <c r="AA142" s="19"/>
      <c r="AB142" s="3"/>
      <c r="AC142" s="3"/>
      <c r="AD142" s="3"/>
      <c r="AE142" s="9"/>
      <c r="AF142" s="9"/>
    </row>
    <row r="143" spans="1:32" s="37" customFormat="1" x14ac:dyDescent="0.25">
      <c r="A143" s="9" t="s">
        <v>22</v>
      </c>
      <c r="B143" s="9" t="s">
        <v>28</v>
      </c>
      <c r="C143" s="9" t="s">
        <v>19</v>
      </c>
      <c r="D143" s="9" t="s">
        <v>12</v>
      </c>
      <c r="E143" s="9">
        <v>2013</v>
      </c>
      <c r="F143" s="44">
        <f t="shared" si="19"/>
        <v>6.3658188824662822</v>
      </c>
      <c r="G143" s="51">
        <f t="shared" si="18"/>
        <v>5.6374049570455211</v>
      </c>
      <c r="H143" s="39">
        <v>6.3527754665223162</v>
      </c>
      <c r="I143" s="39">
        <v>2.4630899687161705</v>
      </c>
      <c r="J143" s="39">
        <v>12.117970539566544</v>
      </c>
      <c r="K143" s="51">
        <v>6.4390243902439019</v>
      </c>
      <c r="L143" s="52">
        <v>0.87550607287449389</v>
      </c>
      <c r="M143" s="44">
        <v>7.0000000000000009</v>
      </c>
      <c r="N143" s="49">
        <v>0.9094026974951831</v>
      </c>
      <c r="O143" s="9"/>
      <c r="P143" s="9"/>
      <c r="Q143" s="9"/>
      <c r="R143" s="9"/>
      <c r="S143" s="9"/>
      <c r="T143" s="9"/>
      <c r="U143" s="9"/>
      <c r="V143" s="3"/>
      <c r="W143" s="3"/>
      <c r="X143" s="3"/>
      <c r="Y143" s="19"/>
      <c r="Z143" s="19"/>
      <c r="AA143" s="19"/>
      <c r="AB143" s="3"/>
      <c r="AC143" s="3"/>
      <c r="AD143" s="3"/>
      <c r="AE143" s="9"/>
      <c r="AF143" s="9"/>
    </row>
    <row r="144" spans="1:32" s="37" customFormat="1" x14ac:dyDescent="0.25">
      <c r="A144" s="9" t="s">
        <v>22</v>
      </c>
      <c r="B144" s="9" t="s">
        <v>28</v>
      </c>
      <c r="C144" s="9" t="s">
        <v>20</v>
      </c>
      <c r="D144" s="9" t="s">
        <v>12</v>
      </c>
      <c r="E144" s="9">
        <v>2013</v>
      </c>
      <c r="F144" s="44">
        <f t="shared" si="19"/>
        <v>3.0555930635838155</v>
      </c>
      <c r="G144" s="51">
        <f t="shared" si="18"/>
        <v>2.5624567986570552</v>
      </c>
      <c r="H144" s="39">
        <v>3.0441611075375752</v>
      </c>
      <c r="I144" s="39">
        <v>0.64290010035675538</v>
      </c>
      <c r="J144" s="39">
        <v>7.2619233166766737</v>
      </c>
      <c r="K144" s="51">
        <v>2.9268292682926829</v>
      </c>
      <c r="L144" s="52">
        <v>0.87550607287449389</v>
      </c>
      <c r="M144" s="44">
        <v>3.3600000000000003</v>
      </c>
      <c r="N144" s="49">
        <v>0.9094026974951831</v>
      </c>
      <c r="O144" s="9"/>
      <c r="P144" s="9"/>
      <c r="Q144" s="9"/>
      <c r="R144" s="9"/>
      <c r="S144" s="9"/>
      <c r="T144" s="9"/>
      <c r="U144" s="9"/>
      <c r="V144" s="3"/>
      <c r="W144" s="3"/>
      <c r="X144" s="3"/>
      <c r="Y144" s="19"/>
      <c r="Z144" s="19"/>
      <c r="AA144" s="19"/>
      <c r="AB144" s="3"/>
      <c r="AC144" s="3"/>
      <c r="AD144" s="3"/>
      <c r="AE144" s="9"/>
      <c r="AF144" s="9"/>
    </row>
    <row r="145" spans="1:32" s="37" customFormat="1" x14ac:dyDescent="0.25">
      <c r="A145" s="9" t="s">
        <v>22</v>
      </c>
      <c r="B145" s="9" t="s">
        <v>28</v>
      </c>
      <c r="C145" s="9" t="s">
        <v>31</v>
      </c>
      <c r="D145" s="9" t="s">
        <v>15</v>
      </c>
      <c r="E145" s="9">
        <v>2013</v>
      </c>
      <c r="F145" s="44">
        <f t="shared" si="19"/>
        <v>8.5120092485549126</v>
      </c>
      <c r="G145" s="51">
        <f t="shared" si="18"/>
        <v>6.1926039300878832</v>
      </c>
      <c r="H145" s="39">
        <v>8.4662591390254693</v>
      </c>
      <c r="I145" s="39">
        <v>3.7450103411758509</v>
      </c>
      <c r="J145" s="39">
        <v>15.151622626588798</v>
      </c>
      <c r="K145" s="51">
        <v>7.0731707317073162</v>
      </c>
      <c r="L145" s="52">
        <v>0.87550607287449389</v>
      </c>
      <c r="M145" s="44">
        <v>9.36</v>
      </c>
      <c r="N145" s="49">
        <v>0.9094026974951831</v>
      </c>
      <c r="O145" s="9"/>
      <c r="P145" s="9"/>
      <c r="Q145" s="9"/>
      <c r="R145" s="9"/>
      <c r="S145" s="9"/>
      <c r="T145" s="9"/>
      <c r="U145" s="9"/>
      <c r="V145" s="3"/>
      <c r="W145" s="3"/>
      <c r="X145" s="3"/>
      <c r="Y145" s="19"/>
      <c r="Z145" s="19"/>
      <c r="AA145" s="19"/>
      <c r="AB145" s="3"/>
      <c r="AC145" s="3"/>
      <c r="AD145" s="3"/>
      <c r="AE145" s="9"/>
      <c r="AF145" s="9"/>
    </row>
    <row r="146" spans="1:32" s="37" customFormat="1" x14ac:dyDescent="0.25">
      <c r="A146" s="9" t="s">
        <v>22</v>
      </c>
      <c r="B146" s="9" t="s">
        <v>28</v>
      </c>
      <c r="C146" s="9" t="s">
        <v>19</v>
      </c>
      <c r="D146" s="9" t="s">
        <v>15</v>
      </c>
      <c r="E146" s="9">
        <v>2013</v>
      </c>
      <c r="F146" s="44">
        <f t="shared" si="19"/>
        <v>16.369248554913295</v>
      </c>
      <c r="G146" s="51">
        <f t="shared" si="18"/>
        <v>13.623728646193344</v>
      </c>
      <c r="H146" s="39">
        <v>16.371243469011141</v>
      </c>
      <c r="I146" s="39">
        <v>9.2884155095332677</v>
      </c>
      <c r="J146" s="39">
        <v>25.257857747788197</v>
      </c>
      <c r="K146" s="51">
        <v>15.560975609756097</v>
      </c>
      <c r="L146" s="52">
        <v>0.87550607287449389</v>
      </c>
      <c r="M146" s="44">
        <v>18</v>
      </c>
      <c r="N146" s="49">
        <v>0.9094026974951831</v>
      </c>
      <c r="O146" s="9"/>
      <c r="P146" s="9"/>
      <c r="Q146" s="9"/>
      <c r="R146" s="9"/>
      <c r="S146" s="9"/>
      <c r="T146" s="9"/>
      <c r="U146" s="9"/>
      <c r="V146" s="3"/>
      <c r="W146" s="3"/>
      <c r="X146" s="3"/>
      <c r="Y146" s="19"/>
      <c r="Z146" s="19"/>
      <c r="AA146" s="19"/>
      <c r="AB146" s="3"/>
      <c r="AC146" s="3"/>
      <c r="AD146" s="3"/>
      <c r="AE146" s="9"/>
      <c r="AF146" s="9"/>
    </row>
    <row r="147" spans="1:32" s="37" customFormat="1" ht="15.75" thickBot="1" x14ac:dyDescent="0.3">
      <c r="A147" s="6" t="s">
        <v>22</v>
      </c>
      <c r="B147" s="6" t="s">
        <v>28</v>
      </c>
      <c r="C147" s="6" t="s">
        <v>20</v>
      </c>
      <c r="D147" s="6" t="s">
        <v>15</v>
      </c>
      <c r="E147" s="6">
        <v>2013</v>
      </c>
      <c r="F147" s="45">
        <f t="shared" si="19"/>
        <v>7.8572393063583821</v>
      </c>
      <c r="G147" s="55">
        <f t="shared" si="18"/>
        <v>6.1926039300878832</v>
      </c>
      <c r="H147" s="68">
        <v>7.8541660088007639</v>
      </c>
      <c r="I147" s="68">
        <v>3.3276055938254938</v>
      </c>
      <c r="J147" s="68">
        <v>14.231905601743323</v>
      </c>
      <c r="K147" s="55">
        <v>7.0731707317073162</v>
      </c>
      <c r="L147" s="56">
        <v>0.87550607287449389</v>
      </c>
      <c r="M147" s="45">
        <v>8.64</v>
      </c>
      <c r="N147" s="50">
        <v>0.9094026974951831</v>
      </c>
      <c r="O147" s="6"/>
      <c r="P147" s="6"/>
      <c r="Q147" s="6"/>
      <c r="R147" s="6"/>
      <c r="S147" s="6"/>
      <c r="T147" s="6"/>
      <c r="U147" s="6"/>
      <c r="V147" s="12"/>
      <c r="W147" s="12"/>
      <c r="X147" s="12"/>
      <c r="Y147" s="18"/>
      <c r="Z147" s="18"/>
      <c r="AA147" s="18"/>
      <c r="AB147" s="12"/>
      <c r="AC147" s="12"/>
      <c r="AD147" s="12"/>
      <c r="AE147" s="6"/>
      <c r="AF147" s="9"/>
    </row>
    <row r="148" spans="1:32" x14ac:dyDescent="0.25">
      <c r="A148" s="9" t="s">
        <v>71</v>
      </c>
      <c r="B148" s="9" t="s">
        <v>11</v>
      </c>
      <c r="C148" s="9" t="s">
        <v>11</v>
      </c>
      <c r="D148" s="9" t="s">
        <v>11</v>
      </c>
      <c r="E148" s="9">
        <v>2014</v>
      </c>
      <c r="F148" s="9"/>
      <c r="G148" s="44">
        <f>SUM(G150:G152,G154:G159,G161:G163,G165:G167,G169:G171)</f>
        <v>47309.936181580699</v>
      </c>
      <c r="H148" s="38">
        <v>47312.685799999999</v>
      </c>
      <c r="I148" s="38">
        <v>46886</v>
      </c>
      <c r="J148" s="38">
        <v>47743</v>
      </c>
      <c r="K148" s="24">
        <f>SUM(K149,K153,K160,K164,K168)</f>
        <v>50535</v>
      </c>
      <c r="L148" s="9">
        <v>0.93618158071793245</v>
      </c>
      <c r="M148" s="9"/>
      <c r="N148" s="9"/>
      <c r="O148" s="9"/>
      <c r="P148" s="9"/>
      <c r="Q148" s="9"/>
      <c r="R148" s="9"/>
      <c r="S148" s="9"/>
      <c r="T148" s="9"/>
      <c r="U148" s="9"/>
      <c r="V148" s="3">
        <f>V149+V153+V160+V164+V168</f>
        <v>48487</v>
      </c>
      <c r="W148" s="3">
        <v>49717</v>
      </c>
      <c r="X148" s="3"/>
      <c r="Y148" s="19"/>
      <c r="Z148" s="19"/>
      <c r="AA148" s="19"/>
      <c r="AB148" s="3"/>
      <c r="AC148" s="3"/>
      <c r="AD148" s="3"/>
      <c r="AE148" s="9"/>
      <c r="AF148" s="9"/>
    </row>
    <row r="149" spans="1:32" x14ac:dyDescent="0.25">
      <c r="A149" s="9" t="s">
        <v>71</v>
      </c>
      <c r="B149" s="9" t="s">
        <v>24</v>
      </c>
      <c r="C149" s="9" t="s">
        <v>11</v>
      </c>
      <c r="D149" s="9" t="s">
        <v>11</v>
      </c>
      <c r="E149" s="9">
        <v>2014</v>
      </c>
      <c r="F149" s="9"/>
      <c r="G149" s="44">
        <f t="shared" si="18"/>
        <v>36494.23037954644</v>
      </c>
      <c r="H149" s="38"/>
      <c r="I149" s="38"/>
      <c r="J149" s="38"/>
      <c r="K149" s="24">
        <v>38982</v>
      </c>
      <c r="L149" s="9">
        <v>0.93618158071793245</v>
      </c>
      <c r="M149" s="9"/>
      <c r="N149" s="9"/>
      <c r="O149" s="9"/>
      <c r="P149" s="9"/>
      <c r="Q149" s="9"/>
      <c r="R149" s="9"/>
      <c r="S149" s="9"/>
      <c r="T149" s="9"/>
      <c r="U149" s="9"/>
      <c r="V149" s="3">
        <v>38009</v>
      </c>
      <c r="W149" s="26">
        <f>$W$148*AA149</f>
        <v>38973.198032462307</v>
      </c>
      <c r="X149" s="3"/>
      <c r="Y149" s="19"/>
      <c r="Z149" s="19"/>
      <c r="AA149" s="19">
        <f>V149/$V$148</f>
        <v>0.78390083940025157</v>
      </c>
      <c r="AB149" s="3"/>
      <c r="AC149" s="3"/>
      <c r="AD149" s="3"/>
      <c r="AE149" s="9"/>
      <c r="AF149" s="9"/>
    </row>
    <row r="150" spans="1:32" x14ac:dyDescent="0.25">
      <c r="A150" s="9" t="s">
        <v>71</v>
      </c>
      <c r="B150" s="9" t="s">
        <v>24</v>
      </c>
      <c r="C150" s="9" t="s">
        <v>31</v>
      </c>
      <c r="D150" s="9" t="s">
        <v>11</v>
      </c>
      <c r="E150" s="9">
        <v>2014</v>
      </c>
      <c r="F150" s="9"/>
      <c r="G150" s="44">
        <f t="shared" si="18"/>
        <v>14786.051885859026</v>
      </c>
      <c r="H150" s="38">
        <v>14787.076652731399</v>
      </c>
      <c r="I150" s="38">
        <v>14549.338378380919</v>
      </c>
      <c r="J150" s="38">
        <v>15026.862097236382</v>
      </c>
      <c r="K150" s="24">
        <v>15794</v>
      </c>
      <c r="L150" s="9">
        <v>0.93618158071793245</v>
      </c>
      <c r="M150" s="9"/>
      <c r="N150" s="9"/>
      <c r="O150" s="9"/>
      <c r="P150" s="9"/>
      <c r="Q150" s="9"/>
      <c r="R150" s="9"/>
      <c r="S150" s="9"/>
      <c r="T150" s="9"/>
      <c r="U150" s="9"/>
      <c r="V150" s="14">
        <f>$V$149*Y150</f>
        <v>15581.985698396338</v>
      </c>
      <c r="W150" s="26">
        <f t="shared" ref="W150:W171" si="20">$W$148*AA150</f>
        <v>15977.263657623091</v>
      </c>
      <c r="X150" s="2">
        <f>$V$149*Z150</f>
        <v>15583.689999999999</v>
      </c>
      <c r="Y150" s="16">
        <f>(Y22+Y86)/2</f>
        <v>0.40995516057766157</v>
      </c>
      <c r="Z150" s="16">
        <v>0.41</v>
      </c>
      <c r="AA150" s="19">
        <f t="shared" ref="AA150:AA171" si="21">V150/$V$148</f>
        <v>0.32136419449329384</v>
      </c>
      <c r="AF150" s="9"/>
    </row>
    <row r="151" spans="1:32" x14ac:dyDescent="0.25">
      <c r="A151" s="9" t="s">
        <v>71</v>
      </c>
      <c r="B151" s="9" t="s">
        <v>24</v>
      </c>
      <c r="C151" s="9" t="s">
        <v>19</v>
      </c>
      <c r="D151" s="9" t="s">
        <v>11</v>
      </c>
      <c r="E151" s="9">
        <v>2014</v>
      </c>
      <c r="F151" s="9"/>
      <c r="G151" s="44">
        <f t="shared" si="18"/>
        <v>6316.4171251038906</v>
      </c>
      <c r="H151" s="38">
        <v>6318.0911185850364</v>
      </c>
      <c r="I151" s="38">
        <v>6165.9138359530161</v>
      </c>
      <c r="J151" s="38">
        <v>6474.5244999464148</v>
      </c>
      <c r="K151" s="24">
        <v>6747</v>
      </c>
      <c r="L151" s="9">
        <v>0.93618158071793245</v>
      </c>
      <c r="M151" s="9"/>
      <c r="N151" s="9"/>
      <c r="O151" s="9"/>
      <c r="P151" s="9"/>
      <c r="Q151" s="9"/>
      <c r="R151" s="9"/>
      <c r="S151" s="9"/>
      <c r="T151" s="9"/>
      <c r="U151" s="9"/>
      <c r="V151" s="14">
        <f>$V$149*Y151</f>
        <v>6635.1432914828656</v>
      </c>
      <c r="W151" s="26">
        <f t="shared" si="20"/>
        <v>6803.4611137553075</v>
      </c>
      <c r="X151" s="2">
        <f t="shared" ref="X151:X152" si="22">$V$149*Z151</f>
        <v>6841.62</v>
      </c>
      <c r="Y151" s="16">
        <f>(Y23+Y87)/2</f>
        <v>0.17456768900741576</v>
      </c>
      <c r="Z151" s="16">
        <v>0.18</v>
      </c>
      <c r="AA151" s="19">
        <f t="shared" si="21"/>
        <v>0.13684375794507528</v>
      </c>
      <c r="AF151" s="9"/>
    </row>
    <row r="152" spans="1:32" x14ac:dyDescent="0.25">
      <c r="A152" s="9" t="s">
        <v>71</v>
      </c>
      <c r="B152" s="9" t="s">
        <v>24</v>
      </c>
      <c r="C152" s="9" t="s">
        <v>20</v>
      </c>
      <c r="D152" s="9" t="s">
        <v>11</v>
      </c>
      <c r="E152" s="9">
        <v>2014</v>
      </c>
      <c r="F152" s="9"/>
      <c r="G152" s="44">
        <f t="shared" si="18"/>
        <v>15391.761368583528</v>
      </c>
      <c r="H152" s="38">
        <v>15392.001597008983</v>
      </c>
      <c r="I152" s="38">
        <v>15143.579152148626</v>
      </c>
      <c r="J152" s="38">
        <v>15636.856769782275</v>
      </c>
      <c r="K152" s="24">
        <v>16441</v>
      </c>
      <c r="L152" s="9">
        <v>0.93618158071793245</v>
      </c>
      <c r="M152" s="9"/>
      <c r="N152" s="9"/>
      <c r="O152" s="9"/>
      <c r="P152" s="9"/>
      <c r="Q152" s="9"/>
      <c r="R152" s="9"/>
      <c r="S152" s="9"/>
      <c r="T152" s="9"/>
      <c r="U152" s="9"/>
      <c r="V152" s="14">
        <f>$V$149*Y152</f>
        <v>15791.871010120798</v>
      </c>
      <c r="W152" s="26">
        <f t="shared" si="20"/>
        <v>16192.473261083915</v>
      </c>
      <c r="X152" s="2">
        <f t="shared" si="22"/>
        <v>15583.689999999999</v>
      </c>
      <c r="Y152" s="16">
        <f>(Y24+Y88)/2</f>
        <v>0.41547715041492272</v>
      </c>
      <c r="Z152" s="16">
        <v>0.41</v>
      </c>
      <c r="AA152" s="19">
        <f t="shared" si="21"/>
        <v>0.32569288696188253</v>
      </c>
      <c r="AF152" s="9"/>
    </row>
    <row r="153" spans="1:32" x14ac:dyDescent="0.25">
      <c r="A153" s="9" t="s">
        <v>71</v>
      </c>
      <c r="B153" s="9" t="s">
        <v>26</v>
      </c>
      <c r="C153" s="9" t="s">
        <v>11</v>
      </c>
      <c r="D153" s="9" t="s">
        <v>11</v>
      </c>
      <c r="E153" s="9">
        <v>2014</v>
      </c>
      <c r="F153" s="9"/>
      <c r="G153" s="44">
        <f t="shared" si="18"/>
        <v>2552.0309890370841</v>
      </c>
      <c r="H153" s="38"/>
      <c r="I153" s="38"/>
      <c r="J153" s="38"/>
      <c r="K153" s="24">
        <v>2726</v>
      </c>
      <c r="L153" s="9">
        <v>0.93618158071793245</v>
      </c>
      <c r="M153" s="9"/>
      <c r="N153" s="9"/>
      <c r="O153" s="9"/>
      <c r="P153" s="9"/>
      <c r="Q153" s="9"/>
      <c r="R153" s="9"/>
      <c r="S153" s="9"/>
      <c r="T153" s="9"/>
      <c r="U153" s="9"/>
      <c r="V153" s="2">
        <v>2471</v>
      </c>
      <c r="W153" s="26">
        <f t="shared" si="20"/>
        <v>2533.6833996741393</v>
      </c>
      <c r="X153" s="2"/>
      <c r="Y153" s="16"/>
      <c r="Z153" s="17"/>
      <c r="AA153" s="19">
        <f t="shared" si="21"/>
        <v>5.0962113556210942E-2</v>
      </c>
      <c r="AB153" s="2"/>
      <c r="AC153" s="2"/>
      <c r="AD153" s="2"/>
      <c r="AF153" s="9"/>
    </row>
    <row r="154" spans="1:32" s="37" customFormat="1" x14ac:dyDescent="0.25">
      <c r="A154" s="9" t="s">
        <v>71</v>
      </c>
      <c r="B154" s="9" t="s">
        <v>26</v>
      </c>
      <c r="C154" s="9" t="s">
        <v>31</v>
      </c>
      <c r="D154" s="9" t="s">
        <v>12</v>
      </c>
      <c r="E154" s="9">
        <v>2014</v>
      </c>
      <c r="F154" s="9"/>
      <c r="G154" s="44">
        <f t="shared" si="18"/>
        <v>415.15341516275902</v>
      </c>
      <c r="H154" s="38">
        <v>415.06323773267792</v>
      </c>
      <c r="I154" s="38">
        <v>376.03322628231632</v>
      </c>
      <c r="J154" s="38">
        <v>454.88990582443461</v>
      </c>
      <c r="K154" s="24">
        <v>443.45394495412847</v>
      </c>
      <c r="L154" s="9">
        <v>0.93618158071793245</v>
      </c>
      <c r="M154" s="9"/>
      <c r="N154" s="9"/>
      <c r="O154" s="9"/>
      <c r="P154" s="9"/>
      <c r="Q154" s="9"/>
      <c r="R154" s="9"/>
      <c r="S154" s="9"/>
      <c r="T154" s="9"/>
      <c r="U154" s="9"/>
      <c r="V154" s="2"/>
      <c r="W154" s="26"/>
      <c r="X154" s="2"/>
      <c r="Y154" s="16"/>
      <c r="Z154" s="17"/>
      <c r="AA154" s="19"/>
      <c r="AB154" s="2"/>
      <c r="AC154" s="2"/>
      <c r="AD154" s="2"/>
      <c r="AF154" s="9"/>
    </row>
    <row r="155" spans="1:32" s="37" customFormat="1" x14ac:dyDescent="0.25">
      <c r="A155" s="9" t="s">
        <v>71</v>
      </c>
      <c r="B155" s="9" t="s">
        <v>26</v>
      </c>
      <c r="C155" s="9" t="s">
        <v>19</v>
      </c>
      <c r="D155" s="9" t="s">
        <v>12</v>
      </c>
      <c r="E155" s="9">
        <v>2014</v>
      </c>
      <c r="F155" s="9"/>
      <c r="G155" s="44">
        <f t="shared" si="18"/>
        <v>495.70557034359285</v>
      </c>
      <c r="H155" s="38">
        <v>495.79660539440454</v>
      </c>
      <c r="I155" s="38">
        <v>452.79019395196366</v>
      </c>
      <c r="J155" s="38">
        <v>540.21266624500004</v>
      </c>
      <c r="K155" s="24">
        <v>529.49724770642206</v>
      </c>
      <c r="L155" s="9">
        <v>0.93618158071793245</v>
      </c>
      <c r="M155" s="9"/>
      <c r="N155" s="9"/>
      <c r="O155" s="9"/>
      <c r="P155" s="9"/>
      <c r="Q155" s="9"/>
      <c r="R155" s="9"/>
      <c r="S155" s="9"/>
      <c r="T155" s="9"/>
      <c r="U155" s="9"/>
      <c r="V155" s="2"/>
      <c r="W155" s="26"/>
      <c r="X155" s="2"/>
      <c r="Y155" s="16"/>
      <c r="Z155" s="17"/>
      <c r="AA155" s="19"/>
      <c r="AB155" s="2"/>
      <c r="AC155" s="2"/>
      <c r="AD155" s="2"/>
      <c r="AF155" s="9"/>
    </row>
    <row r="156" spans="1:32" s="37" customFormat="1" x14ac:dyDescent="0.25">
      <c r="A156" s="9" t="s">
        <v>71</v>
      </c>
      <c r="B156" s="9" t="s">
        <v>26</v>
      </c>
      <c r="C156" s="9" t="s">
        <v>20</v>
      </c>
      <c r="D156" s="9" t="s">
        <v>12</v>
      </c>
      <c r="E156" s="9">
        <v>2014</v>
      </c>
      <c r="F156" s="9"/>
      <c r="G156" s="44">
        <f t="shared" si="18"/>
        <v>496.73829028180864</v>
      </c>
      <c r="H156" s="38">
        <v>497.02325102349863</v>
      </c>
      <c r="I156" s="38">
        <v>453.91925301268418</v>
      </c>
      <c r="J156" s="38">
        <v>541.05005668002718</v>
      </c>
      <c r="K156" s="24">
        <v>530.6003669724771</v>
      </c>
      <c r="L156" s="9">
        <v>0.93618158071793245</v>
      </c>
      <c r="M156" s="9"/>
      <c r="N156" s="9"/>
      <c r="O156" s="9"/>
      <c r="P156" s="9"/>
      <c r="Q156" s="9"/>
      <c r="R156" s="9"/>
      <c r="S156" s="9"/>
      <c r="T156" s="9"/>
      <c r="U156" s="9"/>
      <c r="V156" s="2"/>
      <c r="W156" s="26"/>
      <c r="X156" s="2"/>
      <c r="Y156" s="16"/>
      <c r="Z156" s="17"/>
      <c r="AA156" s="19"/>
      <c r="AB156" s="2"/>
      <c r="AC156" s="2"/>
      <c r="AD156" s="2"/>
      <c r="AF156" s="9"/>
    </row>
    <row r="157" spans="1:32" s="37" customFormat="1" x14ac:dyDescent="0.25">
      <c r="A157" s="9" t="s">
        <v>71</v>
      </c>
      <c r="B157" s="9" t="s">
        <v>26</v>
      </c>
      <c r="C157" s="9" t="s">
        <v>31</v>
      </c>
      <c r="D157" s="9" t="s">
        <v>15</v>
      </c>
      <c r="E157" s="9">
        <v>2014</v>
      </c>
      <c r="F157" s="9"/>
      <c r="G157" s="44">
        <f t="shared" si="18"/>
        <v>337.53657573445872</v>
      </c>
      <c r="H157" s="38">
        <v>337.56999832013895</v>
      </c>
      <c r="I157" s="38">
        <v>302.63886950383528</v>
      </c>
      <c r="J157" s="38">
        <v>375.61500674499308</v>
      </c>
      <c r="K157" s="24">
        <v>360.54605504587158</v>
      </c>
      <c r="L157" s="9">
        <v>0.93618158071793245</v>
      </c>
      <c r="M157" s="9"/>
      <c r="N157" s="9"/>
      <c r="O157" s="9"/>
      <c r="P157" s="9"/>
      <c r="Q157" s="9"/>
      <c r="R157" s="9"/>
      <c r="S157" s="9"/>
      <c r="T157" s="9"/>
      <c r="U157" s="9"/>
      <c r="V157" s="2"/>
      <c r="W157" s="26"/>
      <c r="X157" s="2"/>
      <c r="Y157" s="16"/>
      <c r="Z157" s="17"/>
      <c r="AA157" s="19"/>
      <c r="AB157" s="2"/>
      <c r="AC157" s="2"/>
      <c r="AD157" s="2"/>
      <c r="AF157" s="9"/>
    </row>
    <row r="158" spans="1:32" s="37" customFormat="1" x14ac:dyDescent="0.25">
      <c r="A158" s="9" t="s">
        <v>71</v>
      </c>
      <c r="B158" s="9" t="s">
        <v>26</v>
      </c>
      <c r="C158" s="9" t="s">
        <v>19</v>
      </c>
      <c r="D158" s="9" t="s">
        <v>15</v>
      </c>
      <c r="E158" s="9">
        <v>2014</v>
      </c>
      <c r="F158" s="9"/>
      <c r="G158" s="44">
        <f t="shared" si="18"/>
        <v>403.02874714562239</v>
      </c>
      <c r="H158" s="38">
        <v>402.97818273692042</v>
      </c>
      <c r="I158" s="38">
        <v>364.80508834113567</v>
      </c>
      <c r="J158" s="38">
        <v>443.31412778168902</v>
      </c>
      <c r="K158" s="24">
        <v>430.502752293578</v>
      </c>
      <c r="L158" s="9">
        <v>0.93618158071793245</v>
      </c>
      <c r="M158" s="9"/>
      <c r="N158" s="9"/>
      <c r="O158" s="9"/>
      <c r="P158" s="9"/>
      <c r="Q158" s="9"/>
      <c r="R158" s="9"/>
      <c r="S158" s="9"/>
      <c r="T158" s="9"/>
      <c r="U158" s="9"/>
      <c r="V158" s="2"/>
      <c r="W158" s="26"/>
      <c r="X158" s="2"/>
      <c r="Y158" s="16"/>
      <c r="Z158" s="17"/>
      <c r="AA158" s="19"/>
      <c r="AB158" s="2"/>
      <c r="AC158" s="2"/>
      <c r="AD158" s="2"/>
      <c r="AF158" s="9"/>
    </row>
    <row r="159" spans="1:32" s="37" customFormat="1" x14ac:dyDescent="0.25">
      <c r="A159" s="9" t="s">
        <v>71</v>
      </c>
      <c r="B159" s="9" t="s">
        <v>26</v>
      </c>
      <c r="C159" s="9" t="s">
        <v>20</v>
      </c>
      <c r="D159" s="9" t="s">
        <v>15</v>
      </c>
      <c r="E159" s="9">
        <v>2014</v>
      </c>
      <c r="F159" s="9"/>
      <c r="G159" s="44">
        <f t="shared" si="18"/>
        <v>403.86839036884243</v>
      </c>
      <c r="H159" s="38">
        <v>404.04856278199145</v>
      </c>
      <c r="I159" s="38">
        <v>365.1737537561412</v>
      </c>
      <c r="J159" s="38">
        <v>444.24021901676844</v>
      </c>
      <c r="K159" s="24">
        <v>431.39963302752295</v>
      </c>
      <c r="L159" s="9">
        <v>0.93618158071793245</v>
      </c>
      <c r="M159" s="9"/>
      <c r="N159" s="9"/>
      <c r="O159" s="9"/>
      <c r="P159" s="9"/>
      <c r="Q159" s="9"/>
      <c r="R159" s="9"/>
      <c r="S159" s="9"/>
      <c r="T159" s="9"/>
      <c r="U159" s="9"/>
      <c r="V159" s="2"/>
      <c r="W159" s="26"/>
      <c r="X159" s="2"/>
      <c r="Y159" s="16"/>
      <c r="Z159" s="17"/>
      <c r="AA159" s="19"/>
      <c r="AB159" s="2"/>
      <c r="AC159" s="2"/>
      <c r="AD159" s="2"/>
      <c r="AF159" s="9"/>
    </row>
    <row r="160" spans="1:32" x14ac:dyDescent="0.25">
      <c r="A160" s="9" t="s">
        <v>71</v>
      </c>
      <c r="B160" s="9" t="s">
        <v>27</v>
      </c>
      <c r="C160" s="9" t="s">
        <v>11</v>
      </c>
      <c r="D160" s="9" t="s">
        <v>11</v>
      </c>
      <c r="E160" s="9">
        <v>2014</v>
      </c>
      <c r="F160" s="9"/>
      <c r="G160" s="44">
        <f t="shared" si="18"/>
        <v>2992.036331974512</v>
      </c>
      <c r="H160" s="38"/>
      <c r="I160" s="38"/>
      <c r="J160" s="38"/>
      <c r="K160" s="24">
        <v>3196</v>
      </c>
      <c r="L160" s="9">
        <v>0.93618158071793245</v>
      </c>
      <c r="M160" s="9"/>
      <c r="N160" s="9"/>
      <c r="O160" s="9"/>
      <c r="P160" s="9"/>
      <c r="Q160" s="9"/>
      <c r="R160" s="9"/>
      <c r="S160" s="9"/>
      <c r="T160" s="9"/>
      <c r="U160" s="9"/>
      <c r="V160" s="2">
        <v>2935</v>
      </c>
      <c r="W160" s="26">
        <f t="shared" si="20"/>
        <v>3009.4539773547549</v>
      </c>
      <c r="X160" s="2"/>
      <c r="Y160" s="16"/>
      <c r="Z160" s="17"/>
      <c r="AA160" s="19">
        <f t="shared" si="21"/>
        <v>6.0531688906304781E-2</v>
      </c>
      <c r="AB160" s="2"/>
      <c r="AC160" s="2"/>
      <c r="AD160" s="2"/>
      <c r="AF160" s="9"/>
    </row>
    <row r="161" spans="1:32" s="37" customFormat="1" x14ac:dyDescent="0.25">
      <c r="A161" s="9" t="s">
        <v>71</v>
      </c>
      <c r="B161" s="9" t="s">
        <v>27</v>
      </c>
      <c r="C161" s="9" t="s">
        <v>31</v>
      </c>
      <c r="D161" s="9" t="s">
        <v>11</v>
      </c>
      <c r="E161" s="9">
        <v>2014</v>
      </c>
      <c r="F161" s="9"/>
      <c r="G161" s="44">
        <f t="shared" si="18"/>
        <v>1246.993865516286</v>
      </c>
      <c r="H161" s="38">
        <v>1246.9668888709291</v>
      </c>
      <c r="I161" s="38">
        <v>1179.1704031742061</v>
      </c>
      <c r="J161" s="38">
        <v>1316.4197641538904</v>
      </c>
      <c r="K161" s="24">
        <v>1332</v>
      </c>
      <c r="L161" s="9">
        <v>0.93618158071793245</v>
      </c>
      <c r="M161" s="9"/>
      <c r="N161" s="9"/>
      <c r="O161" s="9"/>
      <c r="P161" s="9"/>
      <c r="Q161" s="9"/>
      <c r="R161" s="9"/>
      <c r="S161" s="9"/>
      <c r="T161" s="9"/>
      <c r="U161" s="9"/>
      <c r="V161" s="2"/>
      <c r="W161" s="26"/>
      <c r="X161" s="2"/>
      <c r="Y161" s="16"/>
      <c r="Z161" s="17"/>
      <c r="AA161" s="19"/>
      <c r="AB161" s="2"/>
      <c r="AC161" s="2"/>
      <c r="AD161" s="2"/>
      <c r="AF161" s="9"/>
    </row>
    <row r="162" spans="1:32" s="37" customFormat="1" x14ac:dyDescent="0.25">
      <c r="A162" s="9" t="s">
        <v>71</v>
      </c>
      <c r="B162" s="9" t="s">
        <v>27</v>
      </c>
      <c r="C162" s="9" t="s">
        <v>19</v>
      </c>
      <c r="D162" s="9" t="s">
        <v>11</v>
      </c>
      <c r="E162" s="9">
        <v>2014</v>
      </c>
      <c r="F162" s="9"/>
      <c r="G162" s="44">
        <f t="shared" si="18"/>
        <v>663.75274072901414</v>
      </c>
      <c r="H162" s="38">
        <v>663.81016032737523</v>
      </c>
      <c r="I162" s="38">
        <v>614.26943663325835</v>
      </c>
      <c r="J162" s="38">
        <v>715.55030229784472</v>
      </c>
      <c r="K162" s="24">
        <v>709</v>
      </c>
      <c r="L162" s="9">
        <v>0.93618158071793245</v>
      </c>
      <c r="M162" s="9"/>
      <c r="N162" s="9"/>
      <c r="O162" s="9"/>
      <c r="P162" s="9"/>
      <c r="Q162" s="9"/>
      <c r="R162" s="9"/>
      <c r="S162" s="9"/>
      <c r="T162" s="9"/>
      <c r="U162" s="9"/>
      <c r="V162" s="2"/>
      <c r="W162" s="26"/>
      <c r="X162" s="2"/>
      <c r="Y162" s="16"/>
      <c r="Z162" s="17"/>
      <c r="AA162" s="19"/>
      <c r="AB162" s="2"/>
      <c r="AC162" s="2"/>
      <c r="AD162" s="2"/>
      <c r="AF162" s="9"/>
    </row>
    <row r="163" spans="1:32" s="37" customFormat="1" x14ac:dyDescent="0.25">
      <c r="A163" s="9" t="s">
        <v>71</v>
      </c>
      <c r="B163" s="9" t="s">
        <v>27</v>
      </c>
      <c r="C163" s="9" t="s">
        <v>20</v>
      </c>
      <c r="D163" s="9" t="s">
        <v>11</v>
      </c>
      <c r="E163" s="9">
        <v>2014</v>
      </c>
      <c r="F163" s="9"/>
      <c r="G163" s="44">
        <f t="shared" si="18"/>
        <v>1081.289725729212</v>
      </c>
      <c r="H163" s="38">
        <v>1081.0406726357817</v>
      </c>
      <c r="I163" s="38">
        <v>1017.1499622466727</v>
      </c>
      <c r="J163" s="38">
        <v>1148.3323943551957</v>
      </c>
      <c r="K163" s="24">
        <v>1155</v>
      </c>
      <c r="L163" s="9">
        <v>0.93618158071793245</v>
      </c>
      <c r="M163" s="9"/>
      <c r="N163" s="9"/>
      <c r="O163" s="9"/>
      <c r="P163" s="9"/>
      <c r="Q163" s="9"/>
      <c r="R163" s="9"/>
      <c r="S163" s="9"/>
      <c r="T163" s="9"/>
      <c r="U163" s="9"/>
      <c r="V163" s="2"/>
      <c r="W163" s="26"/>
      <c r="X163" s="2"/>
      <c r="Y163" s="16"/>
      <c r="Z163" s="17"/>
      <c r="AA163" s="19"/>
      <c r="AB163" s="2"/>
      <c r="AC163" s="2"/>
      <c r="AD163" s="2"/>
      <c r="AF163" s="9"/>
    </row>
    <row r="164" spans="1:32" x14ac:dyDescent="0.25">
      <c r="A164" s="9" t="s">
        <v>71</v>
      </c>
      <c r="B164" s="9" t="s">
        <v>28</v>
      </c>
      <c r="C164" s="9" t="s">
        <v>11</v>
      </c>
      <c r="D164" s="9" t="s">
        <v>12</v>
      </c>
      <c r="E164" s="9">
        <v>2014</v>
      </c>
      <c r="F164" s="9"/>
      <c r="G164" s="44">
        <f t="shared" si="18"/>
        <v>1100.0133573435705</v>
      </c>
      <c r="H164" s="38"/>
      <c r="I164" s="38"/>
      <c r="J164" s="38"/>
      <c r="K164" s="24">
        <v>1175</v>
      </c>
      <c r="L164" s="9">
        <v>0.93618158071793245</v>
      </c>
      <c r="M164" s="9"/>
      <c r="N164" s="9"/>
      <c r="O164" s="9"/>
      <c r="P164" s="9"/>
      <c r="Q164" s="9"/>
      <c r="R164" s="9"/>
      <c r="S164" s="9"/>
      <c r="T164" s="9"/>
      <c r="U164" s="9"/>
      <c r="V164" s="2">
        <v>891</v>
      </c>
      <c r="W164" s="26">
        <f t="shared" si="20"/>
        <v>913.60255326169909</v>
      </c>
      <c r="X164" s="2"/>
      <c r="Y164" s="16"/>
      <c r="Z164" s="17"/>
      <c r="AA164" s="19">
        <f t="shared" si="21"/>
        <v>1.8376059562356922E-2</v>
      </c>
      <c r="AB164" s="2"/>
      <c r="AC164" s="2"/>
      <c r="AD164" s="2"/>
      <c r="AF164" s="9"/>
    </row>
    <row r="165" spans="1:32" x14ac:dyDescent="0.25">
      <c r="A165" s="9" t="s">
        <v>71</v>
      </c>
      <c r="B165" s="9" t="s">
        <v>28</v>
      </c>
      <c r="C165" s="9" t="s">
        <v>31</v>
      </c>
      <c r="D165" s="9" t="s">
        <v>12</v>
      </c>
      <c r="E165" s="9">
        <v>2014</v>
      </c>
      <c r="F165" s="9"/>
      <c r="G165" s="44">
        <f t="shared" si="18"/>
        <v>196.71700423458987</v>
      </c>
      <c r="H165" s="38">
        <v>196.6203361457604</v>
      </c>
      <c r="I165" s="38">
        <v>170.37838519157927</v>
      </c>
      <c r="J165" s="38">
        <v>225.28004474927275</v>
      </c>
      <c r="K165" s="24">
        <v>210.12697567039601</v>
      </c>
      <c r="L165" s="9">
        <v>0.93618158071793245</v>
      </c>
      <c r="M165" s="9"/>
      <c r="N165" s="9"/>
      <c r="O165" s="9"/>
      <c r="P165" s="9"/>
      <c r="Q165" s="9"/>
      <c r="R165" s="9"/>
      <c r="S165" s="9"/>
      <c r="T165" s="9"/>
      <c r="U165" s="9"/>
      <c r="V165" s="14">
        <f>$V$164*Y165</f>
        <v>115.56239495798319</v>
      </c>
      <c r="W165" s="26">
        <f t="shared" si="20"/>
        <v>118.49393837783427</v>
      </c>
      <c r="X165" s="2">
        <f>$V$164*Z165</f>
        <v>365.31</v>
      </c>
      <c r="Y165" s="20">
        <f>(Y36+Y100)/2</f>
        <v>0.1296996576408341</v>
      </c>
      <c r="Z165" s="20">
        <v>0.41</v>
      </c>
      <c r="AA165" s="19">
        <f t="shared" si="21"/>
        <v>2.3833686340252683E-3</v>
      </c>
      <c r="AB165" s="2"/>
      <c r="AC165" s="2"/>
      <c r="AD165" s="2"/>
      <c r="AF165" s="9"/>
    </row>
    <row r="166" spans="1:32" x14ac:dyDescent="0.25">
      <c r="A166" s="9" t="s">
        <v>71</v>
      </c>
      <c r="B166" s="9" t="s">
        <v>28</v>
      </c>
      <c r="C166" s="9" t="s">
        <v>19</v>
      </c>
      <c r="D166" s="9" t="s">
        <v>12</v>
      </c>
      <c r="E166" s="9">
        <v>2014</v>
      </c>
      <c r="F166" s="9"/>
      <c r="G166" s="44">
        <f t="shared" si="18"/>
        <v>360.81063239452584</v>
      </c>
      <c r="H166" s="38">
        <v>360.72296183810084</v>
      </c>
      <c r="I166" s="38">
        <v>324.65779884657763</v>
      </c>
      <c r="J166" s="38">
        <v>398.56791122064243</v>
      </c>
      <c r="K166" s="24">
        <v>385.40667732196766</v>
      </c>
      <c r="L166" s="9">
        <v>0.93618158071793245</v>
      </c>
      <c r="M166" s="9"/>
      <c r="N166" s="9"/>
      <c r="O166" s="9"/>
      <c r="P166" s="9"/>
      <c r="Q166" s="9"/>
      <c r="R166" s="9"/>
      <c r="S166" s="9"/>
      <c r="T166" s="9"/>
      <c r="U166" s="9"/>
      <c r="V166" s="14">
        <f>$V$164*Y166</f>
        <v>268.4265756302521</v>
      </c>
      <c r="W166" s="26">
        <f t="shared" si="20"/>
        <v>275.2359201561087</v>
      </c>
      <c r="X166" s="2">
        <f t="shared" ref="X166" si="23">$V$164*Z166</f>
        <v>160.38</v>
      </c>
      <c r="Y166" s="20">
        <f>(Y37+Y101)/2</f>
        <v>0.30126439464674759</v>
      </c>
      <c r="Z166" s="20">
        <v>0.18</v>
      </c>
      <c r="AA166" s="19">
        <f t="shared" si="21"/>
        <v>5.5360524600460348E-3</v>
      </c>
      <c r="AB166" s="2"/>
      <c r="AC166" s="2"/>
      <c r="AD166" s="2"/>
      <c r="AF166" s="9"/>
    </row>
    <row r="167" spans="1:32" x14ac:dyDescent="0.25">
      <c r="A167" s="9" t="s">
        <v>71</v>
      </c>
      <c r="B167" s="9" t="s">
        <v>28</v>
      </c>
      <c r="C167" s="9" t="s">
        <v>20</v>
      </c>
      <c r="D167" s="9" t="s">
        <v>12</v>
      </c>
      <c r="E167" s="9">
        <v>2014</v>
      </c>
      <c r="F167" s="9"/>
      <c r="G167" s="44">
        <f t="shared" si="18"/>
        <v>542.48572071445494</v>
      </c>
      <c r="H167" s="38">
        <v>542.27333894541346</v>
      </c>
      <c r="I167" s="38">
        <v>498.12309528315495</v>
      </c>
      <c r="J167" s="38">
        <v>588.95114843153158</v>
      </c>
      <c r="K167" s="24">
        <v>579.46634700763627</v>
      </c>
      <c r="L167" s="9">
        <v>0.93618158071793245</v>
      </c>
      <c r="M167" s="9"/>
      <c r="N167" s="9"/>
      <c r="O167" s="9"/>
      <c r="P167" s="9"/>
      <c r="Q167" s="9"/>
      <c r="R167" s="9"/>
      <c r="S167" s="9"/>
      <c r="T167" s="9"/>
      <c r="U167" s="9"/>
      <c r="V167" s="14">
        <f>$V$164*Y167</f>
        <v>507.0110294117647</v>
      </c>
      <c r="W167" s="26">
        <f t="shared" si="20"/>
        <v>519.87269472775597</v>
      </c>
      <c r="X167" s="2">
        <f>$V$164*Z167</f>
        <v>365.31</v>
      </c>
      <c r="Y167" s="20">
        <f>(Y38+Y102)/2</f>
        <v>0.56903594771241828</v>
      </c>
      <c r="Z167" s="20">
        <v>0.41</v>
      </c>
      <c r="AA167" s="19">
        <f t="shared" si="21"/>
        <v>1.0456638468285616E-2</v>
      </c>
      <c r="AB167" s="2"/>
      <c r="AC167" s="2"/>
      <c r="AD167" s="2"/>
      <c r="AF167" s="9"/>
    </row>
    <row r="168" spans="1:32" x14ac:dyDescent="0.25">
      <c r="A168" s="9" t="s">
        <v>71</v>
      </c>
      <c r="B168" s="9" t="s">
        <v>28</v>
      </c>
      <c r="C168" s="9" t="s">
        <v>11</v>
      </c>
      <c r="D168" s="9" t="s">
        <v>15</v>
      </c>
      <c r="E168" s="9">
        <v>2014</v>
      </c>
      <c r="F168" s="9"/>
      <c r="G168" s="44">
        <f t="shared" si="18"/>
        <v>4171.6251236791068</v>
      </c>
      <c r="H168" s="38"/>
      <c r="I168" s="38"/>
      <c r="J168" s="38"/>
      <c r="K168" s="24">
        <v>4456</v>
      </c>
      <c r="L168" s="9">
        <v>0.93618158071793245</v>
      </c>
      <c r="M168" s="9"/>
      <c r="N168" s="9"/>
      <c r="O168" s="9"/>
      <c r="P168" s="9"/>
      <c r="Q168" s="9"/>
      <c r="R168" s="9"/>
      <c r="S168" s="9"/>
      <c r="T168" s="9"/>
      <c r="U168" s="9"/>
      <c r="V168" s="2">
        <v>4181</v>
      </c>
      <c r="W168" s="26">
        <f t="shared" si="20"/>
        <v>4287.0620372470976</v>
      </c>
      <c r="X168" s="2"/>
      <c r="Y168" s="16"/>
      <c r="Z168" s="17"/>
      <c r="AA168" s="19">
        <f t="shared" si="21"/>
        <v>8.622929857487574E-2</v>
      </c>
      <c r="AB168" s="2"/>
      <c r="AC168" s="2"/>
      <c r="AD168" s="2"/>
      <c r="AF168" s="9"/>
    </row>
    <row r="169" spans="1:32" x14ac:dyDescent="0.25">
      <c r="A169" s="9" t="s">
        <v>71</v>
      </c>
      <c r="B169" s="9" t="s">
        <v>28</v>
      </c>
      <c r="C169" s="9" t="s">
        <v>31</v>
      </c>
      <c r="D169" s="9" t="s">
        <v>15</v>
      </c>
      <c r="E169" s="9">
        <v>2014</v>
      </c>
      <c r="F169" s="9"/>
      <c r="G169" s="44">
        <f t="shared" si="18"/>
        <v>746.01784754836808</v>
      </c>
      <c r="H169" s="38">
        <v>746.28442154010418</v>
      </c>
      <c r="I169" s="38">
        <v>693.68776724864858</v>
      </c>
      <c r="J169" s="38">
        <v>801.32814836715272</v>
      </c>
      <c r="K169" s="24">
        <v>796.87302432960394</v>
      </c>
      <c r="L169" s="9">
        <v>0.93618158071793245</v>
      </c>
      <c r="M169" s="9"/>
      <c r="N169" s="9"/>
      <c r="O169" s="9"/>
      <c r="P169" s="9"/>
      <c r="Q169" s="9"/>
      <c r="R169" s="9"/>
      <c r="S169" s="9"/>
      <c r="T169" s="9"/>
      <c r="U169" s="9"/>
      <c r="V169" s="14">
        <f>$V$168*Y169</f>
        <v>517.68640615553409</v>
      </c>
      <c r="W169" s="26">
        <f t="shared" si="20"/>
        <v>530.81888041814693</v>
      </c>
      <c r="X169" s="2">
        <f>$V$168*Z169</f>
        <v>836.2</v>
      </c>
      <c r="Y169" s="20">
        <f>(Y39+Y103)/2</f>
        <v>0.12381880080256735</v>
      </c>
      <c r="Z169" s="20">
        <v>0.2</v>
      </c>
      <c r="AA169" s="19">
        <f t="shared" si="21"/>
        <v>1.0676808343587644E-2</v>
      </c>
      <c r="AB169" s="2"/>
      <c r="AC169" s="2"/>
      <c r="AD169" s="2"/>
      <c r="AF169" s="9"/>
    </row>
    <row r="170" spans="1:32" x14ac:dyDescent="0.25">
      <c r="A170" s="9" t="s">
        <v>71</v>
      </c>
      <c r="B170" s="9" t="s">
        <v>28</v>
      </c>
      <c r="C170" s="9" t="s">
        <v>19</v>
      </c>
      <c r="D170" s="9" t="s">
        <v>15</v>
      </c>
      <c r="E170" s="9">
        <v>2014</v>
      </c>
      <c r="F170" s="9"/>
      <c r="G170" s="44">
        <f t="shared" si="18"/>
        <v>1368.3167471914953</v>
      </c>
      <c r="H170" s="38">
        <v>1368.0519585181873</v>
      </c>
      <c r="I170" s="38">
        <v>1298.2282701943675</v>
      </c>
      <c r="J170" s="38">
        <v>1441.069117857232</v>
      </c>
      <c r="K170" s="24">
        <v>1461.5933226780323</v>
      </c>
      <c r="L170" s="9">
        <v>0.93618158071793245</v>
      </c>
      <c r="M170" s="9"/>
      <c r="N170" s="9"/>
      <c r="O170" s="9"/>
      <c r="P170" s="9"/>
      <c r="Q170" s="9"/>
      <c r="R170" s="9"/>
      <c r="S170" s="9"/>
      <c r="T170" s="9"/>
      <c r="U170" s="9"/>
      <c r="V170" s="14">
        <f>$V$168*Y170</f>
        <v>1515.2389399108265</v>
      </c>
      <c r="W170" s="26">
        <f t="shared" si="20"/>
        <v>1553.6769520808991</v>
      </c>
      <c r="X170" s="2">
        <f t="shared" ref="X170:X171" si="24">$V$168*Z170</f>
        <v>1463.35</v>
      </c>
      <c r="Y170" s="20">
        <f>(Y40+Y104)/2</f>
        <v>0.36241065293251051</v>
      </c>
      <c r="Z170" s="20">
        <v>0.35</v>
      </c>
      <c r="AA170" s="19">
        <f t="shared" si="21"/>
        <v>3.1250416398433116E-2</v>
      </c>
      <c r="AB170" s="2"/>
      <c r="AC170" s="2"/>
      <c r="AD170" s="2"/>
      <c r="AF170" s="9"/>
    </row>
    <row r="171" spans="1:32" x14ac:dyDescent="0.25">
      <c r="A171" s="9" t="s">
        <v>71</v>
      </c>
      <c r="B171" s="9" t="s">
        <v>28</v>
      </c>
      <c r="C171" s="9" t="s">
        <v>20</v>
      </c>
      <c r="D171" s="9" t="s">
        <v>15</v>
      </c>
      <c r="E171" s="9">
        <v>2014</v>
      </c>
      <c r="F171" s="9"/>
      <c r="G171" s="44">
        <f t="shared" si="18"/>
        <v>2057.2905289392438</v>
      </c>
      <c r="H171" s="38">
        <v>2057.265854863299</v>
      </c>
      <c r="I171" s="38">
        <v>1970.0426933014496</v>
      </c>
      <c r="J171" s="38">
        <v>2146.5021722606471</v>
      </c>
      <c r="K171" s="24">
        <v>2197.5336529923638</v>
      </c>
      <c r="L171" s="9">
        <v>0.93618158071793245</v>
      </c>
      <c r="M171" s="9"/>
      <c r="N171" s="9"/>
      <c r="O171" s="9"/>
      <c r="P171" s="9"/>
      <c r="Q171" s="9"/>
      <c r="R171" s="9"/>
      <c r="S171" s="9"/>
      <c r="T171" s="9"/>
      <c r="U171" s="9"/>
      <c r="V171" s="14">
        <f>$V$168*Y171</f>
        <v>2148.0746539336396</v>
      </c>
      <c r="W171" s="26">
        <f t="shared" si="20"/>
        <v>2202.5662047480514</v>
      </c>
      <c r="X171" s="2">
        <f t="shared" si="24"/>
        <v>1881.45</v>
      </c>
      <c r="Y171" s="20">
        <f>(Y41+Y105)/2</f>
        <v>0.51377054626492213</v>
      </c>
      <c r="Z171" s="20">
        <v>0.45</v>
      </c>
      <c r="AA171" s="19">
        <f t="shared" si="21"/>
        <v>4.4302073832854984E-2</v>
      </c>
      <c r="AB171" s="2"/>
      <c r="AC171" s="2"/>
      <c r="AD171" s="2"/>
      <c r="AF171" s="9"/>
    </row>
    <row r="172" spans="1:32" x14ac:dyDescent="0.25">
      <c r="A172" s="9" t="s">
        <v>21</v>
      </c>
      <c r="B172" s="9" t="s">
        <v>11</v>
      </c>
      <c r="C172" s="9" t="s">
        <v>11</v>
      </c>
      <c r="D172" s="9" t="s">
        <v>11</v>
      </c>
      <c r="E172" s="9">
        <v>2014</v>
      </c>
      <c r="F172" s="9"/>
      <c r="G172" s="44">
        <f t="shared" si="18"/>
        <v>2069</v>
      </c>
      <c r="H172" s="38">
        <v>2068.8427000000001</v>
      </c>
      <c r="I172" s="38">
        <v>1980</v>
      </c>
      <c r="J172" s="38">
        <v>2159.0249999999996</v>
      </c>
      <c r="K172" s="24">
        <v>2105</v>
      </c>
      <c r="L172" s="9">
        <v>0.98289786223277908</v>
      </c>
      <c r="M172" s="9"/>
      <c r="N172" s="9"/>
      <c r="O172" s="9"/>
      <c r="P172" s="9"/>
      <c r="Q172" s="9"/>
      <c r="R172" s="9"/>
      <c r="S172" s="9"/>
      <c r="T172" s="9"/>
      <c r="U172" s="9"/>
      <c r="V172" s="2">
        <v>1987</v>
      </c>
      <c r="W172" s="2"/>
      <c r="X172" s="2"/>
      <c r="Y172" s="17"/>
      <c r="Z172" s="17"/>
      <c r="AA172" s="17"/>
      <c r="AB172" s="2"/>
      <c r="AC172" s="2"/>
      <c r="AD172" s="2"/>
      <c r="AF172" s="9"/>
    </row>
    <row r="173" spans="1:32" x14ac:dyDescent="0.25">
      <c r="A173" s="9" t="s">
        <v>21</v>
      </c>
      <c r="B173" s="9" t="s">
        <v>11</v>
      </c>
      <c r="C173" s="9" t="s">
        <v>19</v>
      </c>
      <c r="D173" s="9" t="s">
        <v>11</v>
      </c>
      <c r="E173" s="9">
        <v>2014</v>
      </c>
      <c r="F173" s="9"/>
      <c r="G173" s="44">
        <f t="shared" si="18"/>
        <v>392.17624703087887</v>
      </c>
      <c r="H173" s="38"/>
      <c r="I173" s="38"/>
      <c r="J173" s="38"/>
      <c r="K173" s="24">
        <v>399</v>
      </c>
      <c r="L173" s="9">
        <v>0.98289786223277908</v>
      </c>
      <c r="M173" s="9"/>
      <c r="N173" s="9"/>
      <c r="O173" s="9"/>
      <c r="P173" s="9"/>
      <c r="Q173" s="9"/>
      <c r="R173" s="9"/>
      <c r="S173" s="9"/>
      <c r="T173" s="9"/>
      <c r="U173" s="9"/>
      <c r="V173" s="2">
        <v>373</v>
      </c>
      <c r="W173" s="2"/>
      <c r="X173" s="2"/>
      <c r="Y173" s="17"/>
      <c r="Z173" s="17"/>
      <c r="AA173" s="17"/>
      <c r="AB173" s="2"/>
      <c r="AC173" s="2"/>
      <c r="AD173" s="2"/>
      <c r="AF173" s="9"/>
    </row>
    <row r="174" spans="1:32" x14ac:dyDescent="0.25">
      <c r="A174" s="9" t="s">
        <v>21</v>
      </c>
      <c r="B174" s="9" t="s">
        <v>24</v>
      </c>
      <c r="C174" s="9" t="s">
        <v>11</v>
      </c>
      <c r="D174" s="9" t="s">
        <v>11</v>
      </c>
      <c r="E174" s="9">
        <v>2014</v>
      </c>
      <c r="F174" s="9"/>
      <c r="G174" s="44">
        <f t="shared" si="18"/>
        <v>1732.8489311163896</v>
      </c>
      <c r="H174" s="38"/>
      <c r="I174" s="38"/>
      <c r="J174" s="38"/>
      <c r="K174" s="24">
        <v>1763</v>
      </c>
      <c r="L174" s="9">
        <v>0.98289786223277908</v>
      </c>
      <c r="M174" s="9"/>
      <c r="N174" s="9"/>
      <c r="O174" s="9"/>
      <c r="P174" s="9"/>
      <c r="Q174" s="9"/>
      <c r="R174" s="9"/>
      <c r="S174" s="9"/>
      <c r="T174" s="9"/>
      <c r="U174" s="9"/>
      <c r="V174" s="2">
        <v>1673</v>
      </c>
      <c r="W174" s="2"/>
      <c r="X174" s="2"/>
      <c r="Y174" s="17"/>
      <c r="Z174" s="17"/>
      <c r="AA174" s="17"/>
      <c r="AB174" s="2"/>
      <c r="AC174" s="2"/>
      <c r="AD174" s="2"/>
      <c r="AF174" s="9"/>
    </row>
    <row r="175" spans="1:32" s="37" customFormat="1" x14ac:dyDescent="0.25">
      <c r="A175" s="9" t="s">
        <v>21</v>
      </c>
      <c r="B175" s="9" t="s">
        <v>24</v>
      </c>
      <c r="C175" s="9" t="s">
        <v>31</v>
      </c>
      <c r="D175" s="9" t="s">
        <v>11</v>
      </c>
      <c r="E175" s="9">
        <v>2014</v>
      </c>
      <c r="F175" s="9"/>
      <c r="G175" s="44">
        <f t="shared" si="18"/>
        <v>518.97007125890741</v>
      </c>
      <c r="H175" s="38">
        <v>519.19470795654479</v>
      </c>
      <c r="I175" s="38">
        <v>476.3189068106584</v>
      </c>
      <c r="J175" s="38">
        <v>563.38809806916368</v>
      </c>
      <c r="K175" s="24">
        <v>528</v>
      </c>
      <c r="L175" s="9">
        <v>0.98289786223277908</v>
      </c>
      <c r="M175" s="9"/>
      <c r="N175" s="9"/>
      <c r="O175" s="9"/>
      <c r="P175" s="9"/>
      <c r="Q175" s="9"/>
      <c r="R175" s="9"/>
      <c r="S175" s="9"/>
      <c r="T175" s="9"/>
      <c r="U175" s="9"/>
      <c r="V175" s="2"/>
      <c r="W175" s="2"/>
      <c r="X175" s="2"/>
      <c r="Y175" s="17"/>
      <c r="Z175" s="17"/>
      <c r="AA175" s="17"/>
      <c r="AB175" s="2"/>
      <c r="AC175" s="2"/>
      <c r="AD175" s="2"/>
      <c r="AF175" s="9"/>
    </row>
    <row r="176" spans="1:32" s="37" customFormat="1" x14ac:dyDescent="0.25">
      <c r="A176" s="9" t="s">
        <v>21</v>
      </c>
      <c r="B176" s="9" t="s">
        <v>24</v>
      </c>
      <c r="C176" s="9" t="s">
        <v>19</v>
      </c>
      <c r="D176" s="9" t="s">
        <v>11</v>
      </c>
      <c r="E176" s="9">
        <v>2014</v>
      </c>
      <c r="F176" s="9"/>
      <c r="G176" s="44">
        <f t="shared" si="18"/>
        <v>302.73254156769593</v>
      </c>
      <c r="H176" s="38">
        <v>302.77404353751712</v>
      </c>
      <c r="I176" s="38">
        <v>270.23050564258358</v>
      </c>
      <c r="J176" s="38">
        <v>337.38052346808763</v>
      </c>
      <c r="K176" s="24">
        <v>308</v>
      </c>
      <c r="L176" s="9">
        <v>0.98289786223277908</v>
      </c>
      <c r="M176" s="9"/>
      <c r="N176" s="9"/>
      <c r="O176" s="9"/>
      <c r="P176" s="9"/>
      <c r="Q176" s="9"/>
      <c r="R176" s="9"/>
      <c r="S176" s="9"/>
      <c r="T176" s="9"/>
      <c r="U176" s="9"/>
      <c r="V176" s="2"/>
      <c r="W176" s="2"/>
      <c r="X176" s="2"/>
      <c r="Y176" s="17"/>
      <c r="Z176" s="17"/>
      <c r="AA176" s="17"/>
      <c r="AB176" s="2"/>
      <c r="AC176" s="2"/>
      <c r="AD176" s="2"/>
      <c r="AF176" s="9"/>
    </row>
    <row r="177" spans="1:32" s="37" customFormat="1" x14ac:dyDescent="0.25">
      <c r="A177" s="9" t="s">
        <v>21</v>
      </c>
      <c r="B177" s="9" t="s">
        <v>24</v>
      </c>
      <c r="C177" s="9" t="s">
        <v>20</v>
      </c>
      <c r="D177" s="9" t="s">
        <v>11</v>
      </c>
      <c r="E177" s="9">
        <v>2014</v>
      </c>
      <c r="F177" s="9"/>
      <c r="G177" s="44">
        <f t="shared" si="18"/>
        <v>911.14631828978622</v>
      </c>
      <c r="H177" s="38">
        <v>910.76840095767409</v>
      </c>
      <c r="I177" s="38">
        <v>851.20576794082672</v>
      </c>
      <c r="J177" s="38">
        <v>969.95020725584573</v>
      </c>
      <c r="K177" s="24">
        <v>927</v>
      </c>
      <c r="L177" s="9">
        <v>0.98289786223277908</v>
      </c>
      <c r="M177" s="9"/>
      <c r="N177" s="9"/>
      <c r="O177" s="9"/>
      <c r="P177" s="9"/>
      <c r="Q177" s="9"/>
      <c r="R177" s="9"/>
      <c r="S177" s="9"/>
      <c r="T177" s="9"/>
      <c r="U177" s="9"/>
      <c r="V177" s="2"/>
      <c r="W177" s="2"/>
      <c r="X177" s="2"/>
      <c r="Y177" s="17"/>
      <c r="Z177" s="17"/>
      <c r="AA177" s="17"/>
      <c r="AB177" s="2"/>
      <c r="AC177" s="2"/>
      <c r="AD177" s="2"/>
      <c r="AF177" s="9"/>
    </row>
    <row r="178" spans="1:32" s="37" customFormat="1" x14ac:dyDescent="0.25">
      <c r="A178" s="9" t="s">
        <v>21</v>
      </c>
      <c r="B178" s="9" t="s">
        <v>26</v>
      </c>
      <c r="C178" s="9" t="s">
        <v>31</v>
      </c>
      <c r="D178" s="9" t="s">
        <v>12</v>
      </c>
      <c r="E178" s="9">
        <v>2014</v>
      </c>
      <c r="F178" s="9"/>
      <c r="G178" s="44">
        <f t="shared" si="18"/>
        <v>11.936880061814954</v>
      </c>
      <c r="H178" s="38">
        <v>11.936573153596354</v>
      </c>
      <c r="I178" s="38">
        <v>6.096937930571058</v>
      </c>
      <c r="J178" s="38">
        <v>19.770767272536542</v>
      </c>
      <c r="K178" s="24">
        <v>12.14457831325301</v>
      </c>
      <c r="L178" s="9">
        <v>0.98289786223277908</v>
      </c>
      <c r="M178" s="9"/>
      <c r="N178" s="9"/>
      <c r="O178" s="9"/>
      <c r="P178" s="9"/>
      <c r="Q178" s="9"/>
      <c r="R178" s="9"/>
      <c r="S178" s="9"/>
      <c r="T178" s="9"/>
      <c r="U178" s="9"/>
      <c r="V178" s="2"/>
      <c r="W178" s="2"/>
      <c r="X178" s="2"/>
      <c r="Y178" s="17"/>
      <c r="Z178" s="17"/>
      <c r="AA178" s="17"/>
      <c r="AB178" s="2"/>
      <c r="AC178" s="2"/>
      <c r="AD178" s="2"/>
      <c r="AF178" s="9"/>
    </row>
    <row r="179" spans="1:32" s="37" customFormat="1" x14ac:dyDescent="0.25">
      <c r="A179" s="9" t="s">
        <v>21</v>
      </c>
      <c r="B179" s="9" t="s">
        <v>26</v>
      </c>
      <c r="C179" s="9" t="s">
        <v>19</v>
      </c>
      <c r="D179" s="9" t="s">
        <v>12</v>
      </c>
      <c r="E179" s="9">
        <v>2014</v>
      </c>
      <c r="F179" s="9"/>
      <c r="G179" s="44">
        <f t="shared" si="18"/>
        <v>11.439510059239332</v>
      </c>
      <c r="H179" s="38">
        <v>11.423414499647492</v>
      </c>
      <c r="I179" s="38">
        <v>5.7812322595812171</v>
      </c>
      <c r="J179" s="38">
        <v>18.965398757427089</v>
      </c>
      <c r="K179" s="24">
        <v>11.638554216867469</v>
      </c>
      <c r="L179" s="9">
        <v>0.98289786223277908</v>
      </c>
      <c r="M179" s="9"/>
      <c r="N179" s="9"/>
      <c r="O179" s="9"/>
      <c r="P179" s="9"/>
      <c r="Q179" s="9"/>
      <c r="R179" s="9"/>
      <c r="S179" s="9"/>
      <c r="T179" s="9"/>
      <c r="U179" s="9"/>
      <c r="V179" s="2"/>
      <c r="W179" s="2"/>
      <c r="X179" s="2"/>
      <c r="Y179" s="17"/>
      <c r="Z179" s="17"/>
      <c r="AA179" s="17"/>
      <c r="AB179" s="2"/>
      <c r="AC179" s="2"/>
      <c r="AD179" s="2"/>
      <c r="AF179" s="9"/>
    </row>
    <row r="180" spans="1:32" s="37" customFormat="1" x14ac:dyDescent="0.25">
      <c r="A180" s="9" t="s">
        <v>21</v>
      </c>
      <c r="B180" s="9" t="s">
        <v>26</v>
      </c>
      <c r="C180" s="9" t="s">
        <v>20</v>
      </c>
      <c r="D180" s="9" t="s">
        <v>12</v>
      </c>
      <c r="E180" s="9">
        <v>2014</v>
      </c>
      <c r="F180" s="9"/>
      <c r="G180" s="44">
        <f t="shared" si="18"/>
        <v>17.905320092722434</v>
      </c>
      <c r="H180" s="38">
        <v>18.02533930559758</v>
      </c>
      <c r="I180" s="38">
        <v>10.865848772966215</v>
      </c>
      <c r="J180" s="38">
        <v>27.21515939994773</v>
      </c>
      <c r="K180" s="24">
        <v>18.216867469879517</v>
      </c>
      <c r="L180" s="9">
        <v>0.98289786223277908</v>
      </c>
      <c r="M180" s="9"/>
      <c r="N180" s="9"/>
      <c r="O180" s="9"/>
      <c r="P180" s="9"/>
      <c r="Q180" s="9"/>
      <c r="R180" s="9"/>
      <c r="S180" s="9"/>
      <c r="T180" s="9"/>
      <c r="U180" s="9"/>
      <c r="V180" s="2"/>
      <c r="W180" s="2"/>
      <c r="X180" s="2"/>
      <c r="Y180" s="17"/>
      <c r="Z180" s="17"/>
      <c r="AA180" s="17"/>
      <c r="AB180" s="2"/>
      <c r="AC180" s="2"/>
      <c r="AD180" s="2"/>
      <c r="AF180" s="9"/>
    </row>
    <row r="181" spans="1:32" s="37" customFormat="1" x14ac:dyDescent="0.25">
      <c r="A181" s="9" t="s">
        <v>21</v>
      </c>
      <c r="B181" s="9" t="s">
        <v>26</v>
      </c>
      <c r="C181" s="9" t="s">
        <v>31</v>
      </c>
      <c r="D181" s="9" t="s">
        <v>15</v>
      </c>
      <c r="E181" s="9">
        <v>2014</v>
      </c>
      <c r="F181" s="9"/>
      <c r="G181" s="44">
        <f t="shared" si="18"/>
        <v>11.652668631771743</v>
      </c>
      <c r="H181" s="38">
        <v>11.715010122157915</v>
      </c>
      <c r="I181" s="38">
        <v>6.0027569181118459</v>
      </c>
      <c r="J181" s="38">
        <v>19.283477127372887</v>
      </c>
      <c r="K181" s="24">
        <v>11.855421686746988</v>
      </c>
      <c r="L181" s="9">
        <v>0.98289786223277908</v>
      </c>
      <c r="M181" s="9"/>
      <c r="N181" s="9"/>
      <c r="O181" s="9"/>
      <c r="P181" s="9"/>
      <c r="Q181" s="9"/>
      <c r="R181" s="9"/>
      <c r="S181" s="9"/>
      <c r="T181" s="9"/>
      <c r="U181" s="9"/>
      <c r="V181" s="2"/>
      <c r="W181" s="2"/>
      <c r="X181" s="2"/>
      <c r="Y181" s="17"/>
      <c r="Z181" s="17"/>
      <c r="AA181" s="17"/>
      <c r="AB181" s="2"/>
      <c r="AC181" s="2"/>
      <c r="AD181" s="2"/>
      <c r="AF181" s="9"/>
    </row>
    <row r="182" spans="1:32" s="37" customFormat="1" x14ac:dyDescent="0.25">
      <c r="A182" s="9" t="s">
        <v>21</v>
      </c>
      <c r="B182" s="9" t="s">
        <v>26</v>
      </c>
      <c r="C182" s="9" t="s">
        <v>19</v>
      </c>
      <c r="D182" s="9" t="s">
        <v>15</v>
      </c>
      <c r="E182" s="9">
        <v>2014</v>
      </c>
      <c r="F182" s="9"/>
      <c r="G182" s="44">
        <f t="shared" si="18"/>
        <v>11.167140772114585</v>
      </c>
      <c r="H182" s="38">
        <v>11.148836876549405</v>
      </c>
      <c r="I182" s="38">
        <v>5.6938830925884707</v>
      </c>
      <c r="J182" s="38">
        <v>18.503902281406059</v>
      </c>
      <c r="K182" s="24">
        <v>11.361445783132529</v>
      </c>
      <c r="L182" s="9">
        <v>0.98289786223277908</v>
      </c>
      <c r="M182" s="9"/>
      <c r="N182" s="9"/>
      <c r="O182" s="9"/>
      <c r="P182" s="9"/>
      <c r="Q182" s="9"/>
      <c r="R182" s="9"/>
      <c r="S182" s="9"/>
      <c r="T182" s="9"/>
      <c r="U182" s="9"/>
      <c r="V182" s="2"/>
      <c r="W182" s="2"/>
      <c r="X182" s="2"/>
      <c r="Y182" s="17"/>
      <c r="Z182" s="17"/>
      <c r="AA182" s="17"/>
      <c r="AB182" s="2"/>
      <c r="AC182" s="2"/>
      <c r="AD182" s="2"/>
      <c r="AF182" s="9"/>
    </row>
    <row r="183" spans="1:32" s="37" customFormat="1" x14ac:dyDescent="0.25">
      <c r="A183" s="9" t="s">
        <v>21</v>
      </c>
      <c r="B183" s="9" t="s">
        <v>26</v>
      </c>
      <c r="C183" s="9" t="s">
        <v>20</v>
      </c>
      <c r="D183" s="9" t="s">
        <v>15</v>
      </c>
      <c r="E183" s="9">
        <v>2014</v>
      </c>
      <c r="F183" s="9"/>
      <c r="G183" s="44">
        <f t="shared" si="18"/>
        <v>17.479002947657616</v>
      </c>
      <c r="H183" s="38">
        <v>17.368861642843111</v>
      </c>
      <c r="I183" s="38">
        <v>10.28563871230487</v>
      </c>
      <c r="J183" s="38">
        <v>26.488881420518663</v>
      </c>
      <c r="K183" s="24">
        <v>17.783132530120483</v>
      </c>
      <c r="L183" s="9">
        <v>0.98289786223277908</v>
      </c>
      <c r="M183" s="9"/>
      <c r="N183" s="9"/>
      <c r="O183" s="9"/>
      <c r="P183" s="9"/>
      <c r="Q183" s="9"/>
      <c r="R183" s="9"/>
      <c r="S183" s="9"/>
      <c r="T183" s="9"/>
      <c r="U183" s="9"/>
      <c r="V183" s="2"/>
      <c r="W183" s="2"/>
      <c r="X183" s="2"/>
      <c r="Y183" s="17"/>
      <c r="Z183" s="17"/>
      <c r="AA183" s="17"/>
      <c r="AB183" s="2"/>
      <c r="AC183" s="2"/>
      <c r="AD183" s="2"/>
      <c r="AF183" s="9"/>
    </row>
    <row r="184" spans="1:32" s="37" customFormat="1" x14ac:dyDescent="0.25">
      <c r="A184" s="9" t="s">
        <v>21</v>
      </c>
      <c r="B184" s="9" t="s">
        <v>27</v>
      </c>
      <c r="C184" s="9" t="s">
        <v>31</v>
      </c>
      <c r="D184" s="9" t="s">
        <v>11</v>
      </c>
      <c r="E184" s="9">
        <v>2014</v>
      </c>
      <c r="F184" s="9"/>
      <c r="G184" s="44">
        <f t="shared" si="18"/>
        <v>20.64085510688836</v>
      </c>
      <c r="H184" s="38">
        <v>20.68974918334488</v>
      </c>
      <c r="I184" s="38">
        <v>12.669815475517696</v>
      </c>
      <c r="J184" s="38">
        <v>30.372034579272885</v>
      </c>
      <c r="K184" s="24">
        <v>21</v>
      </c>
      <c r="L184" s="9">
        <v>0.98289786223277908</v>
      </c>
      <c r="M184" s="9"/>
      <c r="N184" s="9"/>
      <c r="O184" s="9"/>
      <c r="P184" s="9"/>
      <c r="Q184" s="9"/>
      <c r="R184" s="9"/>
      <c r="S184" s="9"/>
      <c r="T184" s="9"/>
      <c r="U184" s="9"/>
      <c r="V184" s="2"/>
      <c r="W184" s="2"/>
      <c r="X184" s="2"/>
      <c r="Y184" s="17"/>
      <c r="Z184" s="17"/>
      <c r="AA184" s="17"/>
      <c r="AB184" s="2"/>
      <c r="AC184" s="2"/>
      <c r="AD184" s="2"/>
      <c r="AF184" s="9"/>
    </row>
    <row r="185" spans="1:32" s="37" customFormat="1" x14ac:dyDescent="0.25">
      <c r="A185" s="9" t="s">
        <v>21</v>
      </c>
      <c r="B185" s="9" t="s">
        <v>27</v>
      </c>
      <c r="C185" s="9" t="s">
        <v>19</v>
      </c>
      <c r="D185" s="9" t="s">
        <v>11</v>
      </c>
      <c r="E185" s="9">
        <v>2014</v>
      </c>
      <c r="F185" s="9"/>
      <c r="G185" s="44">
        <f t="shared" si="18"/>
        <v>7.8631828978622327</v>
      </c>
      <c r="H185" s="38">
        <v>7.9206636243626809</v>
      </c>
      <c r="I185" s="38">
        <v>3.3867507476261709</v>
      </c>
      <c r="J185" s="38">
        <v>14.391029925318351</v>
      </c>
      <c r="K185" s="24">
        <v>8</v>
      </c>
      <c r="L185" s="9">
        <v>0.98289786223277908</v>
      </c>
      <c r="M185" s="9"/>
      <c r="N185" s="9"/>
      <c r="O185" s="9"/>
      <c r="P185" s="9"/>
      <c r="Q185" s="9"/>
      <c r="R185" s="9"/>
      <c r="S185" s="9"/>
      <c r="T185" s="9"/>
      <c r="U185" s="9"/>
      <c r="V185" s="2"/>
      <c r="W185" s="2"/>
      <c r="X185" s="2"/>
      <c r="Y185" s="17"/>
      <c r="Z185" s="17"/>
      <c r="AA185" s="17"/>
      <c r="AB185" s="2"/>
      <c r="AC185" s="2"/>
      <c r="AD185" s="2"/>
      <c r="AF185" s="9"/>
    </row>
    <row r="186" spans="1:32" s="37" customFormat="1" x14ac:dyDescent="0.25">
      <c r="A186" s="9" t="s">
        <v>21</v>
      </c>
      <c r="B186" s="9" t="s">
        <v>27</v>
      </c>
      <c r="C186" s="9" t="s">
        <v>20</v>
      </c>
      <c r="D186" s="9" t="s">
        <v>11</v>
      </c>
      <c r="E186" s="9">
        <v>2014</v>
      </c>
      <c r="F186" s="9"/>
      <c r="G186" s="44">
        <f t="shared" si="18"/>
        <v>25.555344418052258</v>
      </c>
      <c r="H186" s="38">
        <v>25.520051776981507</v>
      </c>
      <c r="I186" s="38">
        <v>16.494319134356203</v>
      </c>
      <c r="J186" s="38">
        <v>36.247153744813119</v>
      </c>
      <c r="K186" s="24">
        <v>26</v>
      </c>
      <c r="L186" s="9">
        <v>0.98289786223277908</v>
      </c>
      <c r="M186" s="9"/>
      <c r="N186" s="9"/>
      <c r="O186" s="9"/>
      <c r="P186" s="9"/>
      <c r="Q186" s="9"/>
      <c r="R186" s="9"/>
      <c r="S186" s="9"/>
      <c r="T186" s="9"/>
      <c r="U186" s="9"/>
      <c r="V186" s="2"/>
      <c r="W186" s="2"/>
      <c r="X186" s="2"/>
      <c r="Y186" s="17"/>
      <c r="Z186" s="17"/>
      <c r="AA186" s="17"/>
      <c r="AB186" s="2"/>
      <c r="AC186" s="2"/>
      <c r="AD186" s="2"/>
      <c r="AF186" s="9"/>
    </row>
    <row r="187" spans="1:32" s="37" customFormat="1" x14ac:dyDescent="0.25">
      <c r="A187" s="9" t="s">
        <v>21</v>
      </c>
      <c r="B187" s="9" t="s">
        <v>28</v>
      </c>
      <c r="C187" s="9" t="s">
        <v>31</v>
      </c>
      <c r="D187" s="9" t="s">
        <v>12</v>
      </c>
      <c r="E187" s="9">
        <v>2014</v>
      </c>
      <c r="F187" s="9"/>
      <c r="G187" s="44">
        <f t="shared" si="18"/>
        <v>2.5439709375436634</v>
      </c>
      <c r="H187" s="38">
        <v>2.5393904690688975</v>
      </c>
      <c r="I187" s="38">
        <v>0.42763197225410043</v>
      </c>
      <c r="J187" s="38">
        <v>6.4339972835724417</v>
      </c>
      <c r="K187" s="24">
        <v>2.5882352941176472</v>
      </c>
      <c r="L187" s="9">
        <v>0.98289786223277908</v>
      </c>
      <c r="M187" s="9"/>
      <c r="N187" s="9"/>
      <c r="O187" s="9"/>
      <c r="P187" s="9"/>
      <c r="Q187" s="9"/>
      <c r="R187" s="9"/>
      <c r="S187" s="9"/>
      <c r="T187" s="9"/>
      <c r="U187" s="9"/>
      <c r="V187" s="2"/>
      <c r="W187" s="2"/>
      <c r="X187" s="2"/>
      <c r="Y187" s="17"/>
      <c r="Z187" s="17"/>
      <c r="AA187" s="17"/>
      <c r="AB187" s="2"/>
      <c r="AC187" s="2"/>
      <c r="AD187" s="2"/>
      <c r="AF187" s="9"/>
    </row>
    <row r="188" spans="1:32" s="37" customFormat="1" x14ac:dyDescent="0.25">
      <c r="A188" s="9" t="s">
        <v>21</v>
      </c>
      <c r="B188" s="9" t="s">
        <v>28</v>
      </c>
      <c r="C188" s="9" t="s">
        <v>19</v>
      </c>
      <c r="D188" s="9" t="s">
        <v>12</v>
      </c>
      <c r="E188" s="9">
        <v>2014</v>
      </c>
      <c r="F188" s="9"/>
      <c r="G188" s="44">
        <f t="shared" si="18"/>
        <v>4.625401704624843</v>
      </c>
      <c r="H188" s="38">
        <v>4.5914703637136114</v>
      </c>
      <c r="I188" s="38">
        <v>1.3921946703561812</v>
      </c>
      <c r="J188" s="38">
        <v>9.4658718680475129</v>
      </c>
      <c r="K188" s="24">
        <v>4.7058823529411766</v>
      </c>
      <c r="L188" s="9">
        <v>0.98289786223277908</v>
      </c>
      <c r="M188" s="9"/>
      <c r="N188" s="9"/>
      <c r="O188" s="9"/>
      <c r="P188" s="9"/>
      <c r="Q188" s="9"/>
      <c r="R188" s="9"/>
      <c r="S188" s="9"/>
      <c r="T188" s="9"/>
      <c r="U188" s="9"/>
      <c r="V188" s="2"/>
      <c r="W188" s="2"/>
      <c r="X188" s="2"/>
      <c r="Y188" s="17"/>
      <c r="Z188" s="17"/>
      <c r="AA188" s="17"/>
      <c r="AB188" s="2"/>
      <c r="AC188" s="2"/>
      <c r="AD188" s="2"/>
      <c r="AF188" s="9"/>
    </row>
    <row r="189" spans="1:32" s="37" customFormat="1" x14ac:dyDescent="0.25">
      <c r="A189" s="9" t="s">
        <v>21</v>
      </c>
      <c r="B189" s="9" t="s">
        <v>28</v>
      </c>
      <c r="C189" s="9" t="s">
        <v>20</v>
      </c>
      <c r="D189" s="9" t="s">
        <v>12</v>
      </c>
      <c r="E189" s="9">
        <v>2014</v>
      </c>
      <c r="F189" s="9"/>
      <c r="G189" s="44">
        <f t="shared" si="18"/>
        <v>8.5569931535559576</v>
      </c>
      <c r="H189" s="38">
        <v>8.5355558351055603</v>
      </c>
      <c r="I189" s="38">
        <v>3.8306681097022719</v>
      </c>
      <c r="J189" s="38">
        <v>15.349431478764256</v>
      </c>
      <c r="K189" s="24">
        <v>8.7058823529411757</v>
      </c>
      <c r="L189" s="9">
        <v>0.98289786223277908</v>
      </c>
      <c r="M189" s="9"/>
      <c r="N189" s="9"/>
      <c r="O189" s="9"/>
      <c r="P189" s="9"/>
      <c r="Q189" s="9"/>
      <c r="R189" s="9"/>
      <c r="S189" s="9"/>
      <c r="T189" s="9"/>
      <c r="U189" s="9"/>
      <c r="V189" s="2"/>
      <c r="W189" s="2"/>
      <c r="X189" s="2"/>
      <c r="Y189" s="17"/>
      <c r="Z189" s="17"/>
      <c r="AA189" s="17"/>
      <c r="AB189" s="2"/>
      <c r="AC189" s="2"/>
      <c r="AD189" s="2"/>
      <c r="AF189" s="9"/>
    </row>
    <row r="190" spans="1:32" s="37" customFormat="1" x14ac:dyDescent="0.25">
      <c r="A190" s="9" t="s">
        <v>21</v>
      </c>
      <c r="B190" s="9" t="s">
        <v>28</v>
      </c>
      <c r="C190" s="9" t="s">
        <v>31</v>
      </c>
      <c r="D190" s="9" t="s">
        <v>15</v>
      </c>
      <c r="E190" s="9">
        <v>2014</v>
      </c>
      <c r="F190" s="9"/>
      <c r="G190" s="44">
        <f t="shared" si="18"/>
        <v>29.891658516138044</v>
      </c>
      <c r="H190" s="38">
        <v>29.889158742319776</v>
      </c>
      <c r="I190" s="38">
        <v>19.976874416091274</v>
      </c>
      <c r="J190" s="38">
        <v>41.673457134229729</v>
      </c>
      <c r="K190" s="24">
        <v>30.411764705882351</v>
      </c>
      <c r="L190" s="9">
        <v>0.98289786223277908</v>
      </c>
      <c r="M190" s="9"/>
      <c r="N190" s="9"/>
      <c r="O190" s="9"/>
      <c r="P190" s="9"/>
      <c r="Q190" s="9"/>
      <c r="R190" s="9"/>
      <c r="S190" s="9"/>
      <c r="T190" s="9"/>
      <c r="U190" s="9"/>
      <c r="V190" s="2"/>
      <c r="W190" s="2"/>
      <c r="X190" s="2"/>
      <c r="Y190" s="17"/>
      <c r="Z190" s="17"/>
      <c r="AA190" s="17"/>
      <c r="AB190" s="2"/>
      <c r="AC190" s="2"/>
      <c r="AD190" s="2"/>
      <c r="AF190" s="9"/>
    </row>
    <row r="191" spans="1:32" s="37" customFormat="1" x14ac:dyDescent="0.25">
      <c r="A191" s="9" t="s">
        <v>21</v>
      </c>
      <c r="B191" s="9" t="s">
        <v>28</v>
      </c>
      <c r="C191" s="9" t="s">
        <v>19</v>
      </c>
      <c r="D191" s="9" t="s">
        <v>15</v>
      </c>
      <c r="E191" s="9">
        <v>2014</v>
      </c>
      <c r="F191" s="9"/>
      <c r="G191" s="44">
        <f t="shared" si="18"/>
        <v>54.348470029341897</v>
      </c>
      <c r="H191" s="38">
        <v>54.3450657067592</v>
      </c>
      <c r="I191" s="38">
        <v>41.063191553560941</v>
      </c>
      <c r="J191" s="38">
        <v>69.703434280804316</v>
      </c>
      <c r="K191" s="24">
        <v>55.294117647058819</v>
      </c>
      <c r="L191" s="9">
        <v>0.98289786223277908</v>
      </c>
      <c r="M191" s="9"/>
      <c r="N191" s="9"/>
      <c r="O191" s="9"/>
      <c r="P191" s="9"/>
      <c r="Q191" s="9"/>
      <c r="R191" s="9"/>
      <c r="S191" s="9"/>
      <c r="T191" s="9"/>
      <c r="U191" s="9"/>
      <c r="V191" s="2"/>
      <c r="W191" s="2"/>
      <c r="X191" s="2"/>
      <c r="Y191" s="17"/>
      <c r="Z191" s="17"/>
      <c r="AA191" s="17"/>
      <c r="AB191" s="2"/>
      <c r="AC191" s="2"/>
      <c r="AD191" s="2"/>
      <c r="AF191" s="9"/>
    </row>
    <row r="192" spans="1:32" s="37" customFormat="1" x14ac:dyDescent="0.25">
      <c r="A192" s="9" t="s">
        <v>21</v>
      </c>
      <c r="B192" s="9" t="s">
        <v>28</v>
      </c>
      <c r="C192" s="9" t="s">
        <v>20</v>
      </c>
      <c r="D192" s="9" t="s">
        <v>15</v>
      </c>
      <c r="E192" s="9">
        <v>2014</v>
      </c>
      <c r="F192" s="9"/>
      <c r="G192" s="44">
        <f t="shared" si="18"/>
        <v>100.54466955428251</v>
      </c>
      <c r="H192" s="38">
        <v>100.45640624621592</v>
      </c>
      <c r="I192" s="38">
        <v>81.943260912698747</v>
      </c>
      <c r="J192" s="38">
        <v>120.48282735020723</v>
      </c>
      <c r="K192" s="24">
        <v>102.29411764705881</v>
      </c>
      <c r="L192" s="9">
        <v>0.98289786223277908</v>
      </c>
      <c r="M192" s="9"/>
      <c r="N192" s="9"/>
      <c r="O192" s="9"/>
      <c r="P192" s="9"/>
      <c r="Q192" s="9"/>
      <c r="R192" s="9"/>
      <c r="S192" s="9"/>
      <c r="T192" s="9"/>
      <c r="U192" s="9"/>
      <c r="V192" s="2"/>
      <c r="W192" s="2"/>
      <c r="X192" s="2"/>
      <c r="Y192" s="17"/>
      <c r="Z192" s="17"/>
      <c r="AA192" s="17"/>
      <c r="AB192" s="2"/>
      <c r="AC192" s="2"/>
      <c r="AD192" s="2"/>
      <c r="AF192" s="9"/>
    </row>
    <row r="193" spans="1:32" x14ac:dyDescent="0.25">
      <c r="A193" s="9" t="s">
        <v>22</v>
      </c>
      <c r="B193" s="9" t="s">
        <v>11</v>
      </c>
      <c r="C193" s="9" t="s">
        <v>11</v>
      </c>
      <c r="D193" s="9" t="s">
        <v>11</v>
      </c>
      <c r="E193" s="9">
        <v>2014</v>
      </c>
      <c r="F193" s="44">
        <f>M193*N193</f>
        <v>499.26208092485552</v>
      </c>
      <c r="G193" s="51">
        <f t="shared" si="18"/>
        <v>0</v>
      </c>
      <c r="H193" s="39">
        <v>499.14179999999999</v>
      </c>
      <c r="I193" s="39">
        <v>456</v>
      </c>
      <c r="J193" s="39">
        <v>543</v>
      </c>
      <c r="K193" s="51"/>
      <c r="L193" s="52">
        <v>0.87550607287449389</v>
      </c>
      <c r="M193" s="44">
        <v>549</v>
      </c>
      <c r="N193" s="46">
        <v>0.9094026974951831</v>
      </c>
      <c r="O193" s="9"/>
      <c r="P193" s="9"/>
      <c r="Q193" s="9"/>
      <c r="R193" s="9"/>
      <c r="S193" s="9"/>
      <c r="T193" s="9"/>
      <c r="U193" s="9"/>
      <c r="V193" s="2">
        <v>549</v>
      </c>
      <c r="W193" s="2"/>
      <c r="X193" s="2"/>
      <c r="Y193" s="17"/>
      <c r="Z193" s="17"/>
      <c r="AA193" s="17"/>
      <c r="AB193" s="2"/>
      <c r="AC193" s="2"/>
      <c r="AD193" s="2"/>
      <c r="AE193" s="31" t="s">
        <v>59</v>
      </c>
      <c r="AF193" s="9"/>
    </row>
    <row r="194" spans="1:32" x14ac:dyDescent="0.25">
      <c r="A194" s="9" t="s">
        <v>22</v>
      </c>
      <c r="B194" s="9" t="s">
        <v>11</v>
      </c>
      <c r="C194" s="9" t="s">
        <v>19</v>
      </c>
      <c r="D194" s="9" t="s">
        <v>11</v>
      </c>
      <c r="E194" s="9">
        <v>2014</v>
      </c>
      <c r="F194" s="44">
        <f t="shared" ref="F194:F216" si="25">M194*N194</f>
        <v>146.1399181162281</v>
      </c>
      <c r="G194" s="51">
        <f t="shared" si="18"/>
        <v>0</v>
      </c>
      <c r="H194" s="39"/>
      <c r="I194" s="39"/>
      <c r="J194" s="39"/>
      <c r="K194" s="51"/>
      <c r="L194" s="52">
        <v>0.87550607287449389</v>
      </c>
      <c r="M194" s="44">
        <v>160.69879550472982</v>
      </c>
      <c r="N194" s="46">
        <v>0.9094026974951831</v>
      </c>
      <c r="O194" s="9"/>
      <c r="P194" s="9"/>
      <c r="Q194" s="9"/>
      <c r="R194" s="9"/>
      <c r="S194" s="9"/>
      <c r="T194" s="9"/>
      <c r="U194" s="9"/>
      <c r="V194" s="2">
        <v>152</v>
      </c>
      <c r="W194" s="2"/>
      <c r="X194" s="2"/>
      <c r="Y194" s="17">
        <f>V194/V193</f>
        <v>0.27686703096539161</v>
      </c>
      <c r="Z194" s="17"/>
      <c r="AA194" s="17"/>
      <c r="AB194" s="2"/>
      <c r="AC194" s="2"/>
      <c r="AD194" s="2"/>
      <c r="AE194" s="31" t="s">
        <v>60</v>
      </c>
      <c r="AF194" s="9"/>
    </row>
    <row r="195" spans="1:32" x14ac:dyDescent="0.25">
      <c r="A195" s="9" t="s">
        <v>22</v>
      </c>
      <c r="B195" s="9" t="s">
        <v>24</v>
      </c>
      <c r="C195" s="9" t="s">
        <v>11</v>
      </c>
      <c r="D195" s="9" t="s">
        <v>11</v>
      </c>
      <c r="E195" s="9">
        <v>2014</v>
      </c>
      <c r="F195" s="44">
        <f t="shared" si="25"/>
        <v>334.66019267822736</v>
      </c>
      <c r="G195" s="51">
        <f t="shared" si="18"/>
        <v>0</v>
      </c>
      <c r="H195" s="39"/>
      <c r="I195" s="39"/>
      <c r="J195" s="39"/>
      <c r="K195" s="51"/>
      <c r="L195" s="52">
        <v>0.87550607287449389</v>
      </c>
      <c r="M195" s="44">
        <v>368</v>
      </c>
      <c r="N195" s="46">
        <v>0.9094026974951831</v>
      </c>
      <c r="O195" s="9"/>
      <c r="P195" s="9"/>
      <c r="Q195" s="9"/>
      <c r="R195" s="9"/>
      <c r="S195" s="9"/>
      <c r="T195" s="9"/>
      <c r="U195" s="9"/>
      <c r="V195" s="3">
        <v>368</v>
      </c>
      <c r="W195" s="3"/>
      <c r="X195" s="3"/>
      <c r="Y195" s="19">
        <f>V195/V193</f>
        <v>0.67030965391621133</v>
      </c>
      <c r="Z195" s="19"/>
      <c r="AA195" s="19"/>
      <c r="AB195" s="3"/>
      <c r="AC195" s="3"/>
      <c r="AD195" s="3"/>
      <c r="AE195" s="9"/>
      <c r="AF195" s="9"/>
    </row>
    <row r="196" spans="1:32" s="37" customFormat="1" x14ac:dyDescent="0.25">
      <c r="A196" s="9" t="s">
        <v>22</v>
      </c>
      <c r="B196" s="9" t="s">
        <v>24</v>
      </c>
      <c r="C196" s="9" t="s">
        <v>31</v>
      </c>
      <c r="D196" s="9" t="s">
        <v>11</v>
      </c>
      <c r="E196" s="9">
        <v>2014</v>
      </c>
      <c r="F196" s="44">
        <f t="shared" si="25"/>
        <v>139.25959729883942</v>
      </c>
      <c r="G196" s="51">
        <f t="shared" si="18"/>
        <v>0</v>
      </c>
      <c r="H196" s="39">
        <v>139.22887445241832</v>
      </c>
      <c r="I196" s="39">
        <v>117.19056978464262</v>
      </c>
      <c r="J196" s="39">
        <v>163.10007385946977</v>
      </c>
      <c r="K196" s="51"/>
      <c r="L196" s="52">
        <v>0.87550607287449389</v>
      </c>
      <c r="M196" s="44">
        <v>153.13303741280913</v>
      </c>
      <c r="N196" s="46">
        <v>0.9094026974951831</v>
      </c>
      <c r="O196" s="9"/>
      <c r="P196" s="9"/>
      <c r="Q196" s="9"/>
      <c r="R196" s="9"/>
      <c r="S196" s="9"/>
      <c r="T196" s="9"/>
      <c r="U196" s="9"/>
      <c r="V196" s="3"/>
      <c r="W196" s="3"/>
      <c r="X196" s="3"/>
      <c r="Y196" s="19"/>
      <c r="Z196" s="19"/>
      <c r="AA196" s="19"/>
      <c r="AB196" s="3"/>
      <c r="AC196" s="3"/>
      <c r="AD196" s="3"/>
      <c r="AE196" s="9"/>
      <c r="AF196" s="9"/>
    </row>
    <row r="197" spans="1:32" s="37" customFormat="1" x14ac:dyDescent="0.25">
      <c r="A197" s="9" t="s">
        <v>22</v>
      </c>
      <c r="B197" s="9" t="s">
        <v>24</v>
      </c>
      <c r="C197" s="9" t="s">
        <v>19</v>
      </c>
      <c r="D197" s="9" t="s">
        <v>11</v>
      </c>
      <c r="E197" s="9">
        <v>2014</v>
      </c>
      <c r="F197" s="44">
        <f t="shared" si="25"/>
        <v>81.527000331108439</v>
      </c>
      <c r="G197" s="51">
        <f t="shared" si="18"/>
        <v>0</v>
      </c>
      <c r="H197" s="39">
        <v>81.425896986073639</v>
      </c>
      <c r="I197" s="39">
        <v>64.750455322594178</v>
      </c>
      <c r="J197" s="39">
        <v>100.28373625406945</v>
      </c>
      <c r="K197" s="51"/>
      <c r="L197" s="52">
        <v>0.87550607287449389</v>
      </c>
      <c r="M197" s="44">
        <v>89.648953709575139</v>
      </c>
      <c r="N197" s="46">
        <v>0.9094026974951831</v>
      </c>
      <c r="O197" s="9"/>
      <c r="P197" s="9"/>
      <c r="Q197" s="9"/>
      <c r="R197" s="9"/>
      <c r="S197" s="9"/>
      <c r="T197" s="9"/>
      <c r="U197" s="9"/>
      <c r="V197" s="3"/>
      <c r="W197" s="3"/>
      <c r="X197" s="3"/>
      <c r="Y197" s="19"/>
      <c r="Z197" s="19"/>
      <c r="AA197" s="19"/>
      <c r="AB197" s="3"/>
      <c r="AC197" s="3"/>
      <c r="AD197" s="3"/>
      <c r="AE197" s="9"/>
      <c r="AF197" s="9"/>
    </row>
    <row r="198" spans="1:32" s="37" customFormat="1" x14ac:dyDescent="0.25">
      <c r="A198" s="9" t="s">
        <v>22</v>
      </c>
      <c r="B198" s="9" t="s">
        <v>24</v>
      </c>
      <c r="C198" s="9" t="s">
        <v>20</v>
      </c>
      <c r="D198" s="9" t="s">
        <v>11</v>
      </c>
      <c r="E198" s="9">
        <v>2014</v>
      </c>
      <c r="F198" s="44">
        <f t="shared" si="25"/>
        <v>113.87359504827951</v>
      </c>
      <c r="G198" s="51">
        <f t="shared" si="18"/>
        <v>0</v>
      </c>
      <c r="H198" s="39">
        <v>113.79156170175587</v>
      </c>
      <c r="I198" s="39">
        <v>94.192466395549388</v>
      </c>
      <c r="J198" s="39">
        <v>135.79951473835538</v>
      </c>
      <c r="K198" s="51"/>
      <c r="L198" s="52">
        <v>0.87550607287449389</v>
      </c>
      <c r="M198" s="44">
        <v>125.21800887761572</v>
      </c>
      <c r="N198" s="46">
        <v>0.9094026974951831</v>
      </c>
      <c r="O198" s="9"/>
      <c r="P198" s="9"/>
      <c r="Q198" s="9"/>
      <c r="R198" s="9"/>
      <c r="S198" s="9"/>
      <c r="T198" s="9"/>
      <c r="U198" s="9"/>
      <c r="V198" s="3"/>
      <c r="W198" s="3"/>
      <c r="X198" s="3"/>
      <c r="Y198" s="19"/>
      <c r="Z198" s="19"/>
      <c r="AA198" s="19"/>
      <c r="AB198" s="3"/>
      <c r="AC198" s="3"/>
      <c r="AD198" s="3"/>
      <c r="AE198" s="9"/>
      <c r="AF198" s="9"/>
    </row>
    <row r="199" spans="1:32" s="37" customFormat="1" x14ac:dyDescent="0.25">
      <c r="A199" s="9" t="s">
        <v>22</v>
      </c>
      <c r="B199" s="9" t="s">
        <v>26</v>
      </c>
      <c r="C199" s="9" t="s">
        <v>11</v>
      </c>
      <c r="D199" s="9" t="s">
        <v>11</v>
      </c>
      <c r="E199" s="9">
        <v>2014</v>
      </c>
      <c r="F199" s="44">
        <f t="shared" si="25"/>
        <v>38.194913294797693</v>
      </c>
      <c r="G199" s="51">
        <f t="shared" si="18"/>
        <v>0</v>
      </c>
      <c r="H199" s="39"/>
      <c r="I199" s="39"/>
      <c r="J199" s="39"/>
      <c r="K199" s="51"/>
      <c r="L199" s="52">
        <v>0.87550607287449389</v>
      </c>
      <c r="M199" s="44">
        <v>42</v>
      </c>
      <c r="N199" s="46">
        <v>0.9094026974951831</v>
      </c>
      <c r="O199" s="9"/>
      <c r="P199" s="9"/>
      <c r="Q199" s="9"/>
      <c r="R199" s="9"/>
      <c r="S199" s="9"/>
      <c r="T199" s="9"/>
      <c r="U199" s="9"/>
      <c r="V199" s="3"/>
      <c r="W199" s="3"/>
      <c r="X199" s="3"/>
      <c r="Y199" s="19"/>
      <c r="Z199" s="19"/>
      <c r="AA199" s="19"/>
      <c r="AB199" s="3"/>
      <c r="AC199" s="3"/>
      <c r="AD199" s="3"/>
      <c r="AE199" s="9"/>
      <c r="AF199" s="9"/>
    </row>
    <row r="200" spans="1:32" s="37" customFormat="1" x14ac:dyDescent="0.25">
      <c r="A200" s="9" t="s">
        <v>22</v>
      </c>
      <c r="B200" s="9" t="s">
        <v>26</v>
      </c>
      <c r="C200" s="9" t="s">
        <v>31</v>
      </c>
      <c r="D200" s="9" t="s">
        <v>12</v>
      </c>
      <c r="E200" s="9">
        <v>2014</v>
      </c>
      <c r="F200" s="44">
        <f t="shared" si="25"/>
        <v>6.7398844681447061</v>
      </c>
      <c r="G200" s="51">
        <f t="shared" si="18"/>
        <v>0</v>
      </c>
      <c r="H200" s="39">
        <v>6.7568292635011629</v>
      </c>
      <c r="I200" s="39">
        <v>2.6878157176462278</v>
      </c>
      <c r="J200" s="39">
        <v>12.762373152014915</v>
      </c>
      <c r="K200" s="51"/>
      <c r="L200" s="52">
        <v>0.87550607287449389</v>
      </c>
      <c r="M200" s="44">
        <v>7.4113310711621301</v>
      </c>
      <c r="N200" s="46">
        <v>0.9094026974951831</v>
      </c>
      <c r="O200" s="9"/>
      <c r="P200" s="9"/>
      <c r="Q200" s="9"/>
      <c r="R200" s="9"/>
      <c r="S200" s="9"/>
      <c r="T200" s="9"/>
      <c r="U200" s="9"/>
      <c r="V200" s="3"/>
      <c r="W200" s="3"/>
      <c r="X200" s="3"/>
      <c r="Y200" s="19"/>
      <c r="Z200" s="19"/>
      <c r="AA200" s="19"/>
      <c r="AB200" s="3"/>
      <c r="AC200" s="3"/>
      <c r="AD200" s="3"/>
      <c r="AE200" s="9"/>
      <c r="AF200" s="9"/>
    </row>
    <row r="201" spans="1:32" s="37" customFormat="1" x14ac:dyDescent="0.25">
      <c r="A201" s="9" t="s">
        <v>22</v>
      </c>
      <c r="B201" s="9" t="s">
        <v>26</v>
      </c>
      <c r="C201" s="9" t="s">
        <v>19</v>
      </c>
      <c r="D201" s="9" t="s">
        <v>12</v>
      </c>
      <c r="E201" s="9">
        <v>2014</v>
      </c>
      <c r="F201" s="44">
        <f t="shared" si="25"/>
        <v>9.6422248044341252</v>
      </c>
      <c r="G201" s="51">
        <f t="shared" si="18"/>
        <v>0</v>
      </c>
      <c r="H201" s="39">
        <v>9.6305738626607962</v>
      </c>
      <c r="I201" s="39">
        <v>4.5792731263181352</v>
      </c>
      <c r="J201" s="39">
        <v>16.673513370853144</v>
      </c>
      <c r="K201" s="51"/>
      <c r="L201" s="52">
        <v>0.87550607287449389</v>
      </c>
      <c r="M201" s="44">
        <v>10.602810868048033</v>
      </c>
      <c r="N201" s="46">
        <v>0.9094026974951831</v>
      </c>
      <c r="O201" s="9"/>
      <c r="P201" s="9"/>
      <c r="Q201" s="9"/>
      <c r="R201" s="9"/>
      <c r="S201" s="9"/>
      <c r="T201" s="9"/>
      <c r="U201" s="9"/>
      <c r="V201" s="3"/>
      <c r="W201" s="3"/>
      <c r="X201" s="3"/>
      <c r="Y201" s="19"/>
      <c r="Z201" s="19"/>
      <c r="AA201" s="19"/>
      <c r="AB201" s="3"/>
      <c r="AC201" s="3"/>
      <c r="AD201" s="3"/>
      <c r="AE201" s="9"/>
      <c r="AF201" s="9"/>
    </row>
    <row r="202" spans="1:32" s="37" customFormat="1" x14ac:dyDescent="0.25">
      <c r="A202" s="9" t="s">
        <v>22</v>
      </c>
      <c r="B202" s="9" t="s">
        <v>26</v>
      </c>
      <c r="C202" s="9" t="s">
        <v>20</v>
      </c>
      <c r="D202" s="9" t="s">
        <v>12</v>
      </c>
      <c r="E202" s="9">
        <v>2014</v>
      </c>
      <c r="F202" s="44">
        <f t="shared" si="25"/>
        <v>5.0482400646906953</v>
      </c>
      <c r="G202" s="51">
        <f t="shared" si="18"/>
        <v>0</v>
      </c>
      <c r="H202" s="39">
        <v>5.0737733667227047</v>
      </c>
      <c r="I202" s="39">
        <v>1.6334474935850667</v>
      </c>
      <c r="J202" s="39">
        <v>10.445177958530914</v>
      </c>
      <c r="K202" s="51"/>
      <c r="L202" s="52">
        <v>0.87550607287449389</v>
      </c>
      <c r="M202" s="44">
        <v>5.5511602050393467</v>
      </c>
      <c r="N202" s="46">
        <v>0.9094026974951831</v>
      </c>
      <c r="O202" s="9"/>
      <c r="P202" s="9"/>
      <c r="Q202" s="9"/>
      <c r="R202" s="9"/>
      <c r="S202" s="9"/>
      <c r="T202" s="9"/>
      <c r="U202" s="9"/>
      <c r="V202" s="3"/>
      <c r="W202" s="3"/>
      <c r="X202" s="3"/>
      <c r="Y202" s="19"/>
      <c r="Z202" s="19"/>
      <c r="AA202" s="19"/>
      <c r="AB202" s="3"/>
      <c r="AC202" s="3"/>
      <c r="AD202" s="3"/>
      <c r="AE202" s="9"/>
      <c r="AF202" s="9"/>
    </row>
    <row r="203" spans="1:32" s="37" customFormat="1" x14ac:dyDescent="0.25">
      <c r="A203" s="9" t="s">
        <v>22</v>
      </c>
      <c r="B203" s="9" t="s">
        <v>26</v>
      </c>
      <c r="C203" s="9" t="s">
        <v>31</v>
      </c>
      <c r="D203" s="9" t="s">
        <v>15</v>
      </c>
      <c r="E203" s="9">
        <v>2014</v>
      </c>
      <c r="F203" s="44">
        <f t="shared" si="25"/>
        <v>5.2655784020472591</v>
      </c>
      <c r="G203" s="51">
        <f t="shared" si="18"/>
        <v>0</v>
      </c>
      <c r="H203" s="39">
        <v>5.2694303493926542</v>
      </c>
      <c r="I203" s="39">
        <v>1.7871019023244683</v>
      </c>
      <c r="J203" s="39">
        <v>10.680739307012315</v>
      </c>
      <c r="K203" s="51"/>
      <c r="L203" s="52">
        <v>0.87550607287449389</v>
      </c>
      <c r="M203" s="44">
        <v>5.7901504103193515</v>
      </c>
      <c r="N203" s="46">
        <v>0.9094026974951831</v>
      </c>
      <c r="O203" s="9"/>
      <c r="P203" s="9"/>
      <c r="Q203" s="9"/>
      <c r="R203" s="9"/>
      <c r="S203" s="9"/>
      <c r="T203" s="9"/>
      <c r="U203" s="9"/>
      <c r="V203" s="3"/>
      <c r="W203" s="3"/>
      <c r="X203" s="3"/>
      <c r="Y203" s="19"/>
      <c r="Z203" s="19"/>
      <c r="AA203" s="19"/>
      <c r="AB203" s="3"/>
      <c r="AC203" s="3"/>
      <c r="AD203" s="3"/>
      <c r="AE203" s="9"/>
      <c r="AF203" s="9"/>
    </row>
    <row r="204" spans="1:32" s="37" customFormat="1" x14ac:dyDescent="0.25">
      <c r="A204" s="9" t="s">
        <v>22</v>
      </c>
      <c r="B204" s="9" t="s">
        <v>26</v>
      </c>
      <c r="C204" s="9" t="s">
        <v>19</v>
      </c>
      <c r="D204" s="9" t="s">
        <v>15</v>
      </c>
      <c r="E204" s="9">
        <v>2014</v>
      </c>
      <c r="F204" s="44">
        <f t="shared" si="25"/>
        <v>7.5219090712527352</v>
      </c>
      <c r="G204" s="51">
        <f t="shared" si="18"/>
        <v>0</v>
      </c>
      <c r="H204" s="39">
        <v>7.5392503468079228</v>
      </c>
      <c r="I204" s="39">
        <v>3.1350664901424476</v>
      </c>
      <c r="J204" s="39">
        <v>13.971570371133824</v>
      </c>
      <c r="K204" s="51"/>
      <c r="L204" s="52">
        <v>0.87550607287449389</v>
      </c>
      <c r="M204" s="44">
        <v>8.2712632060260383</v>
      </c>
      <c r="N204" s="46">
        <v>0.9094026974951831</v>
      </c>
      <c r="O204" s="9"/>
      <c r="P204" s="9"/>
      <c r="Q204" s="9"/>
      <c r="R204" s="9"/>
      <c r="S204" s="9"/>
      <c r="T204" s="9"/>
      <c r="U204" s="9"/>
      <c r="V204" s="3"/>
      <c r="W204" s="3"/>
      <c r="X204" s="3"/>
      <c r="Y204" s="19"/>
      <c r="Z204" s="19"/>
      <c r="AA204" s="19"/>
      <c r="AB204" s="3"/>
      <c r="AC204" s="3"/>
      <c r="AD204" s="3"/>
      <c r="AE204" s="9"/>
      <c r="AF204" s="9"/>
    </row>
    <row r="205" spans="1:32" s="37" customFormat="1" x14ac:dyDescent="0.25">
      <c r="A205" s="9" t="s">
        <v>22</v>
      </c>
      <c r="B205" s="9" t="s">
        <v>26</v>
      </c>
      <c r="C205" s="9" t="s">
        <v>20</v>
      </c>
      <c r="D205" s="9" t="s">
        <v>15</v>
      </c>
      <c r="E205" s="9">
        <v>2014</v>
      </c>
      <c r="F205" s="44">
        <f t="shared" si="25"/>
        <v>3.9770764842281658</v>
      </c>
      <c r="G205" s="51">
        <f t="shared" si="18"/>
        <v>0</v>
      </c>
      <c r="H205" s="39">
        <v>3.9813584875945227</v>
      </c>
      <c r="I205" s="39">
        <v>1.1032476403646914</v>
      </c>
      <c r="J205" s="39">
        <v>8.6579621366992701</v>
      </c>
      <c r="K205" s="51"/>
      <c r="L205" s="52">
        <v>0.87550607287449389</v>
      </c>
      <c r="M205" s="44">
        <v>4.3732842394050975</v>
      </c>
      <c r="N205" s="46">
        <v>0.9094026974951831</v>
      </c>
      <c r="O205" s="9"/>
      <c r="P205" s="9"/>
      <c r="Q205" s="9"/>
      <c r="R205" s="9"/>
      <c r="S205" s="9"/>
      <c r="T205" s="9"/>
      <c r="U205" s="9"/>
      <c r="V205" s="3"/>
      <c r="W205" s="3"/>
      <c r="X205" s="3"/>
      <c r="Y205" s="19"/>
      <c r="Z205" s="19"/>
      <c r="AA205" s="19"/>
      <c r="AB205" s="3"/>
      <c r="AC205" s="3"/>
      <c r="AD205" s="3"/>
      <c r="AE205" s="9"/>
      <c r="AF205" s="9"/>
    </row>
    <row r="206" spans="1:32" s="37" customFormat="1" x14ac:dyDescent="0.25">
      <c r="A206" s="9" t="s">
        <v>22</v>
      </c>
      <c r="B206" s="9" t="s">
        <v>27</v>
      </c>
      <c r="C206" s="9" t="s">
        <v>11</v>
      </c>
      <c r="D206" s="9" t="s">
        <v>11</v>
      </c>
      <c r="E206" s="9">
        <v>2014</v>
      </c>
      <c r="F206" s="44">
        <f t="shared" si="25"/>
        <v>65.476994219653179</v>
      </c>
      <c r="G206" s="51">
        <f t="shared" si="18"/>
        <v>0</v>
      </c>
      <c r="H206" s="39"/>
      <c r="I206" s="39"/>
      <c r="J206" s="39"/>
      <c r="K206" s="51"/>
      <c r="L206" s="52">
        <v>0.87550607287449389</v>
      </c>
      <c r="M206" s="44">
        <v>72</v>
      </c>
      <c r="N206" s="46">
        <v>0.9094026974951831</v>
      </c>
      <c r="O206" s="9"/>
      <c r="P206" s="9"/>
      <c r="Q206" s="9"/>
      <c r="R206" s="9"/>
      <c r="S206" s="9"/>
      <c r="T206" s="9"/>
      <c r="U206" s="9"/>
      <c r="V206" s="3"/>
      <c r="W206" s="3"/>
      <c r="X206" s="3"/>
      <c r="Y206" s="19"/>
      <c r="Z206" s="19"/>
      <c r="AA206" s="19"/>
      <c r="AB206" s="3"/>
      <c r="AC206" s="3"/>
      <c r="AD206" s="3"/>
      <c r="AE206" s="9"/>
      <c r="AF206" s="9"/>
    </row>
    <row r="207" spans="1:32" s="37" customFormat="1" x14ac:dyDescent="0.25">
      <c r="A207" s="9" t="s">
        <v>22</v>
      </c>
      <c r="B207" s="9" t="s">
        <v>27</v>
      </c>
      <c r="C207" s="9" t="s">
        <v>31</v>
      </c>
      <c r="D207" s="9" t="s">
        <v>11</v>
      </c>
      <c r="E207" s="9">
        <v>2014</v>
      </c>
      <c r="F207" s="44">
        <f t="shared" si="25"/>
        <v>29.170598094394094</v>
      </c>
      <c r="G207" s="51">
        <f t="shared" si="18"/>
        <v>0</v>
      </c>
      <c r="H207" s="39">
        <v>29.129145191931347</v>
      </c>
      <c r="I207" s="39">
        <v>19.589754698142645</v>
      </c>
      <c r="J207" s="39">
        <v>40.593157269923076</v>
      </c>
      <c r="K207" s="51"/>
      <c r="L207" s="52">
        <v>0.87550607287449389</v>
      </c>
      <c r="M207" s="44">
        <v>32.076656661279152</v>
      </c>
      <c r="N207" s="46">
        <v>0.9094026974951831</v>
      </c>
      <c r="O207" s="9"/>
      <c r="P207" s="9"/>
      <c r="Q207" s="9"/>
      <c r="R207" s="9"/>
      <c r="S207" s="9"/>
      <c r="T207" s="9"/>
      <c r="U207" s="9"/>
      <c r="V207" s="3"/>
      <c r="W207" s="3"/>
      <c r="X207" s="3"/>
      <c r="Y207" s="19"/>
      <c r="Z207" s="19"/>
      <c r="AA207" s="19"/>
      <c r="AB207" s="3"/>
      <c r="AC207" s="3"/>
      <c r="AD207" s="3"/>
      <c r="AE207" s="9"/>
      <c r="AF207" s="9"/>
    </row>
    <row r="208" spans="1:32" s="37" customFormat="1" x14ac:dyDescent="0.25">
      <c r="A208" s="9" t="s">
        <v>22</v>
      </c>
      <c r="B208" s="9" t="s">
        <v>27</v>
      </c>
      <c r="C208" s="9" t="s">
        <v>19</v>
      </c>
      <c r="D208" s="9" t="s">
        <v>11</v>
      </c>
      <c r="E208" s="9">
        <v>2014</v>
      </c>
      <c r="F208" s="44">
        <f t="shared" si="25"/>
        <v>19.343757585787632</v>
      </c>
      <c r="G208" s="51">
        <f t="shared" si="18"/>
        <v>0</v>
      </c>
      <c r="H208" s="39">
        <v>19.351500711738964</v>
      </c>
      <c r="I208" s="39">
        <v>11.787835882740611</v>
      </c>
      <c r="J208" s="39">
        <v>28.778440726119481</v>
      </c>
      <c r="K208" s="51"/>
      <c r="L208" s="52">
        <v>0.87550607287449389</v>
      </c>
      <c r="M208" s="44">
        <v>21.270838143615791</v>
      </c>
      <c r="N208" s="46">
        <v>0.9094026974951831</v>
      </c>
      <c r="O208" s="9"/>
      <c r="P208" s="9"/>
      <c r="Q208" s="9"/>
      <c r="R208" s="9"/>
      <c r="S208" s="9"/>
      <c r="T208" s="9"/>
      <c r="U208" s="9"/>
      <c r="V208" s="3"/>
      <c r="W208" s="3"/>
      <c r="X208" s="3"/>
      <c r="Y208" s="19"/>
      <c r="Z208" s="19"/>
      <c r="AA208" s="19"/>
      <c r="AB208" s="3"/>
      <c r="AC208" s="3"/>
      <c r="AD208" s="3"/>
      <c r="AE208" s="9"/>
      <c r="AF208" s="9"/>
    </row>
    <row r="209" spans="1:32" s="37" customFormat="1" x14ac:dyDescent="0.25">
      <c r="A209" s="9" t="s">
        <v>22</v>
      </c>
      <c r="B209" s="9" t="s">
        <v>27</v>
      </c>
      <c r="C209" s="9" t="s">
        <v>20</v>
      </c>
      <c r="D209" s="9" t="s">
        <v>11</v>
      </c>
      <c r="E209" s="9">
        <v>2014</v>
      </c>
      <c r="F209" s="44">
        <f t="shared" si="25"/>
        <v>16.962638539471456</v>
      </c>
      <c r="G209" s="51">
        <f t="shared" si="18"/>
        <v>0</v>
      </c>
      <c r="H209" s="39">
        <v>16.991275138322631</v>
      </c>
      <c r="I209" s="39">
        <v>9.9053610644826584</v>
      </c>
      <c r="J209" s="39">
        <v>26.001929158026815</v>
      </c>
      <c r="K209" s="51"/>
      <c r="L209" s="52">
        <v>0.87550607287449389</v>
      </c>
      <c r="M209" s="44">
        <v>18.652505195105057</v>
      </c>
      <c r="N209" s="46">
        <v>0.9094026974951831</v>
      </c>
      <c r="O209" s="9"/>
      <c r="P209" s="9"/>
      <c r="Q209" s="9"/>
      <c r="R209" s="9"/>
      <c r="S209" s="9"/>
      <c r="T209" s="9"/>
      <c r="U209" s="9"/>
      <c r="V209" s="3"/>
      <c r="W209" s="3"/>
      <c r="X209" s="3"/>
      <c r="Y209" s="19"/>
      <c r="Z209" s="19"/>
      <c r="AA209" s="19"/>
      <c r="AB209" s="3"/>
      <c r="AC209" s="3"/>
      <c r="AD209" s="3"/>
      <c r="AE209" s="9"/>
      <c r="AF209" s="9"/>
    </row>
    <row r="210" spans="1:32" s="37" customFormat="1" x14ac:dyDescent="0.25">
      <c r="A210" s="9" t="s">
        <v>22</v>
      </c>
      <c r="B210" s="9" t="s">
        <v>28</v>
      </c>
      <c r="C210" s="9" t="s">
        <v>11</v>
      </c>
      <c r="D210" s="9" t="s">
        <v>11</v>
      </c>
      <c r="E210" s="9">
        <v>2014</v>
      </c>
      <c r="F210" s="44">
        <f t="shared" si="25"/>
        <v>60.92998073217727</v>
      </c>
      <c r="G210" s="51">
        <f t="shared" si="18"/>
        <v>0</v>
      </c>
      <c r="H210" s="39"/>
      <c r="I210" s="39"/>
      <c r="J210" s="39"/>
      <c r="K210" s="51"/>
      <c r="L210" s="52">
        <v>0.87550607287449389</v>
      </c>
      <c r="M210" s="44">
        <v>67</v>
      </c>
      <c r="N210" s="46">
        <v>0.9094026974951831</v>
      </c>
      <c r="O210" s="9"/>
      <c r="P210" s="9"/>
      <c r="Q210" s="9"/>
      <c r="R210" s="9"/>
      <c r="S210" s="9"/>
      <c r="T210" s="9"/>
      <c r="U210" s="9"/>
      <c r="V210" s="3"/>
      <c r="W210" s="3"/>
      <c r="X210" s="3"/>
      <c r="Y210" s="19"/>
      <c r="Z210" s="19"/>
      <c r="AA210" s="19"/>
      <c r="AB210" s="3"/>
      <c r="AC210" s="3"/>
      <c r="AD210" s="3"/>
      <c r="AE210" s="9"/>
      <c r="AF210" s="9"/>
    </row>
    <row r="211" spans="1:32" s="37" customFormat="1" x14ac:dyDescent="0.25">
      <c r="A211" s="9" t="s">
        <v>22</v>
      </c>
      <c r="B211" s="9" t="s">
        <v>28</v>
      </c>
      <c r="C211" s="9" t="s">
        <v>31</v>
      </c>
      <c r="D211" s="9" t="s">
        <v>12</v>
      </c>
      <c r="E211" s="9">
        <v>2014</v>
      </c>
      <c r="F211" s="44">
        <f t="shared" si="25"/>
        <v>4.3326242717499612</v>
      </c>
      <c r="G211" s="51">
        <f t="shared" si="18"/>
        <v>0</v>
      </c>
      <c r="H211" s="39">
        <v>4.3052357421824352</v>
      </c>
      <c r="I211" s="39">
        <v>1.2131730411217099</v>
      </c>
      <c r="J211" s="39">
        <v>9.3711528349765878</v>
      </c>
      <c r="K211" s="51"/>
      <c r="L211" s="52">
        <v>0.87550607287449389</v>
      </c>
      <c r="M211" s="44">
        <v>4.7642527162977872</v>
      </c>
      <c r="N211" s="46">
        <v>0.9094026974951831</v>
      </c>
      <c r="O211" s="9"/>
      <c r="P211" s="9"/>
      <c r="Q211" s="9"/>
      <c r="R211" s="9"/>
      <c r="S211" s="9"/>
      <c r="T211" s="9"/>
      <c r="U211" s="9"/>
      <c r="V211" s="3"/>
      <c r="W211" s="3"/>
      <c r="X211" s="3"/>
      <c r="Y211" s="19"/>
      <c r="Z211" s="19"/>
      <c r="AA211" s="19"/>
      <c r="AB211" s="3"/>
      <c r="AC211" s="3"/>
      <c r="AD211" s="3"/>
      <c r="AE211" s="9"/>
      <c r="AF211" s="9"/>
    </row>
    <row r="212" spans="1:32" s="37" customFormat="1" x14ac:dyDescent="0.25">
      <c r="A212" s="9" t="s">
        <v>22</v>
      </c>
      <c r="B212" s="9" t="s">
        <v>28</v>
      </c>
      <c r="C212" s="9" t="s">
        <v>19</v>
      </c>
      <c r="D212" s="9" t="s">
        <v>12</v>
      </c>
      <c r="E212" s="9">
        <v>2014</v>
      </c>
      <c r="F212" s="44">
        <f t="shared" si="25"/>
        <v>8.4946445974498257</v>
      </c>
      <c r="G212" s="51">
        <f t="shared" si="18"/>
        <v>0</v>
      </c>
      <c r="H212" s="39">
        <v>8.4965310505277376</v>
      </c>
      <c r="I212" s="39">
        <v>3.8313669701289137</v>
      </c>
      <c r="J212" s="39">
        <v>15.265641291724481</v>
      </c>
      <c r="K212" s="51"/>
      <c r="L212" s="52">
        <v>0.87550607287449389</v>
      </c>
      <c r="M212" s="44">
        <v>9.3409054325955747</v>
      </c>
      <c r="N212" s="46">
        <v>0.9094026974951831</v>
      </c>
      <c r="O212" s="9"/>
      <c r="P212" s="9"/>
      <c r="Q212" s="9"/>
      <c r="R212" s="9"/>
      <c r="S212" s="9"/>
      <c r="T212" s="9"/>
      <c r="U212" s="9"/>
      <c r="V212" s="3"/>
      <c r="W212" s="3"/>
      <c r="X212" s="3"/>
      <c r="Y212" s="19"/>
      <c r="Z212" s="19"/>
      <c r="AA212" s="19"/>
      <c r="AB212" s="3"/>
      <c r="AC212" s="3"/>
      <c r="AD212" s="3"/>
      <c r="AE212" s="9"/>
      <c r="AF212" s="9"/>
    </row>
    <row r="213" spans="1:32" s="37" customFormat="1" x14ac:dyDescent="0.25">
      <c r="A213" s="9" t="s">
        <v>22</v>
      </c>
      <c r="B213" s="9" t="s">
        <v>28</v>
      </c>
      <c r="C213" s="9" t="s">
        <v>20</v>
      </c>
      <c r="D213" s="9" t="s">
        <v>12</v>
      </c>
      <c r="E213" s="9">
        <v>2014</v>
      </c>
      <c r="F213" s="44">
        <f t="shared" si="25"/>
        <v>5.7128538393055832</v>
      </c>
      <c r="G213" s="51">
        <f t="shared" si="18"/>
        <v>0</v>
      </c>
      <c r="H213" s="39">
        <v>5.7177857003890917</v>
      </c>
      <c r="I213" s="39">
        <v>2.0564449108903164</v>
      </c>
      <c r="J213" s="39">
        <v>11.268129400385943</v>
      </c>
      <c r="K213" s="51"/>
      <c r="L213" s="52">
        <v>0.87550607287449389</v>
      </c>
      <c r="M213" s="44">
        <v>6.2819847082494968</v>
      </c>
      <c r="N213" s="46">
        <v>0.9094026974951831</v>
      </c>
      <c r="O213" s="9"/>
      <c r="P213" s="9"/>
      <c r="Q213" s="9"/>
      <c r="R213" s="9"/>
      <c r="S213" s="9"/>
      <c r="T213" s="9"/>
      <c r="U213" s="9"/>
      <c r="V213" s="3"/>
      <c r="W213" s="3"/>
      <c r="X213" s="3"/>
      <c r="Y213" s="19"/>
      <c r="Z213" s="19"/>
      <c r="AA213" s="19"/>
      <c r="AB213" s="3"/>
      <c r="AC213" s="3"/>
      <c r="AD213" s="3"/>
      <c r="AE213" s="9"/>
      <c r="AF213" s="9"/>
    </row>
    <row r="214" spans="1:32" s="37" customFormat="1" x14ac:dyDescent="0.25">
      <c r="A214" s="9" t="s">
        <v>22</v>
      </c>
      <c r="B214" s="9" t="s">
        <v>28</v>
      </c>
      <c r="C214" s="9" t="s">
        <v>31</v>
      </c>
      <c r="D214" s="9" t="s">
        <v>15</v>
      </c>
      <c r="E214" s="9">
        <v>2014</v>
      </c>
      <c r="F214" s="44">
        <f t="shared" si="25"/>
        <v>10.024538793733498</v>
      </c>
      <c r="G214" s="51">
        <f t="shared" si="18"/>
        <v>0</v>
      </c>
      <c r="H214" s="39">
        <v>10.038113831808259</v>
      </c>
      <c r="I214" s="39">
        <v>4.7964005811174317</v>
      </c>
      <c r="J214" s="39">
        <v>16.959228115665944</v>
      </c>
      <c r="K214" s="51"/>
      <c r="L214" s="52">
        <v>0.87550607287449389</v>
      </c>
      <c r="M214" s="44">
        <v>11.023212072434607</v>
      </c>
      <c r="N214" s="46">
        <v>0.9094026974951831</v>
      </c>
      <c r="O214" s="9"/>
      <c r="P214" s="9"/>
      <c r="Q214" s="9"/>
      <c r="R214" s="9"/>
      <c r="S214" s="9"/>
      <c r="T214" s="9"/>
      <c r="U214" s="9"/>
      <c r="V214" s="3"/>
      <c r="W214" s="3"/>
      <c r="X214" s="3"/>
      <c r="Y214" s="19"/>
      <c r="Z214" s="19"/>
      <c r="AA214" s="19"/>
      <c r="AB214" s="3"/>
      <c r="AC214" s="3"/>
      <c r="AD214" s="3"/>
      <c r="AE214" s="9"/>
      <c r="AF214" s="9"/>
    </row>
    <row r="215" spans="1:32" s="37" customFormat="1" x14ac:dyDescent="0.25">
      <c r="A215" s="9" t="s">
        <v>22</v>
      </c>
      <c r="B215" s="9" t="s">
        <v>28</v>
      </c>
      <c r="C215" s="9" t="s">
        <v>19</v>
      </c>
      <c r="D215" s="9" t="s">
        <v>15</v>
      </c>
      <c r="E215" s="9">
        <v>2014</v>
      </c>
      <c r="F215" s="44">
        <f t="shared" si="25"/>
        <v>19.610381726195325</v>
      </c>
      <c r="G215" s="51">
        <f t="shared" si="18"/>
        <v>0</v>
      </c>
      <c r="H215" s="39">
        <v>19.680357666091002</v>
      </c>
      <c r="I215" s="39">
        <v>11.945229984520919</v>
      </c>
      <c r="J215" s="39">
        <v>29.205680965993672</v>
      </c>
      <c r="K215" s="51"/>
      <c r="L215" s="52">
        <v>0.87550607287449389</v>
      </c>
      <c r="M215" s="44">
        <v>21.564024144869215</v>
      </c>
      <c r="N215" s="46">
        <v>0.9094026974951831</v>
      </c>
      <c r="O215" s="9"/>
      <c r="P215" s="9"/>
      <c r="Q215" s="9"/>
      <c r="R215" s="9"/>
      <c r="S215" s="9"/>
      <c r="T215" s="9"/>
      <c r="U215" s="9"/>
      <c r="V215" s="3"/>
      <c r="W215" s="3"/>
      <c r="X215" s="3"/>
      <c r="Y215" s="19"/>
      <c r="Z215" s="19"/>
      <c r="AA215" s="19"/>
      <c r="AB215" s="3"/>
      <c r="AC215" s="3"/>
      <c r="AD215" s="3"/>
      <c r="AE215" s="9"/>
      <c r="AF215" s="9"/>
    </row>
    <row r="216" spans="1:32" s="37" customFormat="1" ht="15.75" thickBot="1" x14ac:dyDescent="0.3">
      <c r="A216" s="6" t="s">
        <v>22</v>
      </c>
      <c r="B216" s="6" t="s">
        <v>28</v>
      </c>
      <c r="C216" s="6" t="s">
        <v>20</v>
      </c>
      <c r="D216" s="6" t="s">
        <v>15</v>
      </c>
      <c r="E216" s="6">
        <v>2014</v>
      </c>
      <c r="F216" s="45">
        <f t="shared" si="25"/>
        <v>12.754937503743076</v>
      </c>
      <c r="G216" s="55">
        <f t="shared" si="18"/>
        <v>0</v>
      </c>
      <c r="H216" s="68">
        <v>12.734306150080936</v>
      </c>
      <c r="I216" s="68">
        <v>6.7312958995346035</v>
      </c>
      <c r="J216" s="68">
        <v>20.462193860233359</v>
      </c>
      <c r="K216" s="55"/>
      <c r="L216" s="56">
        <v>0.87550607287449389</v>
      </c>
      <c r="M216" s="45">
        <v>14.025620925553319</v>
      </c>
      <c r="N216" s="48">
        <v>0.9094026974951831</v>
      </c>
      <c r="O216" s="6"/>
      <c r="P216" s="6"/>
      <c r="Q216" s="6"/>
      <c r="R216" s="6"/>
      <c r="S216" s="6"/>
      <c r="T216" s="6"/>
      <c r="U216" s="6"/>
      <c r="V216" s="12"/>
      <c r="W216" s="12"/>
      <c r="X216" s="12"/>
      <c r="Y216" s="18"/>
      <c r="Z216" s="18"/>
      <c r="AA216" s="18"/>
      <c r="AB216" s="12"/>
      <c r="AC216" s="12"/>
      <c r="AD216" s="12"/>
      <c r="AE216" s="6"/>
      <c r="AF216" s="9"/>
    </row>
    <row r="217" spans="1:32" x14ac:dyDescent="0.25">
      <c r="A217" s="9" t="s">
        <v>71</v>
      </c>
      <c r="B217" s="9" t="s">
        <v>11</v>
      </c>
      <c r="C217" s="9" t="s">
        <v>11</v>
      </c>
      <c r="D217" s="9" t="s">
        <v>11</v>
      </c>
      <c r="E217" s="9">
        <v>2015</v>
      </c>
      <c r="F217" s="9"/>
      <c r="G217" s="44">
        <f t="shared" si="18"/>
        <v>47425</v>
      </c>
      <c r="H217" s="38">
        <v>47421.445399999997</v>
      </c>
      <c r="I217" s="38">
        <v>46997</v>
      </c>
      <c r="J217" s="38">
        <v>47851</v>
      </c>
      <c r="K217" s="24">
        <v>50990</v>
      </c>
      <c r="L217" s="9">
        <v>0.93008433026083548</v>
      </c>
      <c r="M217" s="9"/>
      <c r="N217" s="9"/>
      <c r="O217" s="9"/>
      <c r="P217" s="9"/>
      <c r="Q217" s="9"/>
      <c r="R217" s="9"/>
      <c r="S217" s="9"/>
      <c r="T217" s="9"/>
      <c r="U217" s="9"/>
      <c r="V217" s="3">
        <v>49563</v>
      </c>
      <c r="W217" s="3">
        <v>49976</v>
      </c>
      <c r="X217" s="3"/>
      <c r="Y217" s="19"/>
      <c r="Z217" s="19"/>
      <c r="AA217" s="19"/>
      <c r="AB217" s="3"/>
      <c r="AC217" s="3"/>
      <c r="AD217" s="3"/>
      <c r="AE217" s="9"/>
      <c r="AF217" s="9"/>
    </row>
    <row r="218" spans="1:32" x14ac:dyDescent="0.25">
      <c r="A218" s="9" t="s">
        <v>71</v>
      </c>
      <c r="B218" s="9" t="s">
        <v>24</v>
      </c>
      <c r="C218" s="9" t="s">
        <v>11</v>
      </c>
      <c r="D218" s="9" t="s">
        <v>11</v>
      </c>
      <c r="E218" s="9">
        <v>2015</v>
      </c>
      <c r="F218" s="9"/>
      <c r="G218" s="44">
        <f t="shared" si="18"/>
        <v>36725.309864679351</v>
      </c>
      <c r="H218" s="38"/>
      <c r="I218" s="38"/>
      <c r="J218" s="38"/>
      <c r="K218" s="24">
        <v>39486</v>
      </c>
      <c r="L218" s="9">
        <v>0.93008433026083548</v>
      </c>
      <c r="M218" s="9"/>
      <c r="N218" s="9"/>
      <c r="O218" s="9"/>
      <c r="P218" s="9"/>
      <c r="Q218" s="9"/>
      <c r="R218" s="9"/>
      <c r="S218" s="9"/>
      <c r="T218" s="9"/>
      <c r="U218" s="9"/>
      <c r="V218" s="3">
        <v>38633</v>
      </c>
      <c r="W218" s="26">
        <f>$W$217*AA218</f>
        <v>38954.922179851907</v>
      </c>
      <c r="X218" s="3"/>
      <c r="Y218" s="19"/>
      <c r="Z218" s="19"/>
      <c r="AA218" s="19">
        <f>V218/$V$217</f>
        <v>0.77947259044044948</v>
      </c>
      <c r="AB218" s="3"/>
      <c r="AC218" s="3"/>
      <c r="AD218" s="3"/>
      <c r="AE218" s="9"/>
      <c r="AF218" s="9"/>
    </row>
    <row r="219" spans="1:32" x14ac:dyDescent="0.25">
      <c r="A219" s="9" t="s">
        <v>71</v>
      </c>
      <c r="B219" s="9" t="s">
        <v>24</v>
      </c>
      <c r="C219" s="9" t="s">
        <v>31</v>
      </c>
      <c r="D219" s="9" t="s">
        <v>11</v>
      </c>
      <c r="E219" s="9">
        <v>2015</v>
      </c>
      <c r="F219" s="9"/>
      <c r="G219" s="44">
        <f t="shared" si="18"/>
        <v>14578.141792508335</v>
      </c>
      <c r="H219" s="38">
        <v>14576.585094087934</v>
      </c>
      <c r="I219" s="38">
        <v>14337.661107376473</v>
      </c>
      <c r="J219" s="38">
        <v>14819.742768003749</v>
      </c>
      <c r="K219" s="24">
        <v>15674</v>
      </c>
      <c r="L219" s="9">
        <v>0.93008433026083548</v>
      </c>
      <c r="M219" s="9"/>
      <c r="N219" s="9"/>
      <c r="O219" s="9"/>
      <c r="P219" s="9"/>
      <c r="Q219" s="9"/>
      <c r="R219" s="9"/>
      <c r="S219" s="9"/>
      <c r="T219" s="9"/>
      <c r="U219" s="9"/>
      <c r="V219" s="15">
        <f>$V$218*Y219</f>
        <v>15837.797718596799</v>
      </c>
      <c r="W219" s="26">
        <f t="shared" ref="W219:W240" si="26">$W$217*AA219</f>
        <v>15969.771377531497</v>
      </c>
      <c r="X219" s="2">
        <f>$V$218*Z219</f>
        <v>15066.87</v>
      </c>
      <c r="Y219" s="17">
        <f>Y150</f>
        <v>0.40995516057766157</v>
      </c>
      <c r="Z219" s="17">
        <v>0.39</v>
      </c>
      <c r="AA219" s="19">
        <f t="shared" ref="AA219:AA240" si="27">V219/$V$217</f>
        <v>0.31954881097990029</v>
      </c>
      <c r="AB219" s="13"/>
      <c r="AC219" s="13"/>
      <c r="AD219" s="13"/>
      <c r="AF219" s="9"/>
    </row>
    <row r="220" spans="1:32" x14ac:dyDescent="0.25">
      <c r="A220" s="9" t="s">
        <v>71</v>
      </c>
      <c r="B220" s="9" t="s">
        <v>24</v>
      </c>
      <c r="C220" s="9" t="s">
        <v>19</v>
      </c>
      <c r="D220" s="9" t="s">
        <v>11</v>
      </c>
      <c r="E220" s="9">
        <v>2015</v>
      </c>
      <c r="F220" s="9"/>
      <c r="G220" s="44">
        <f t="shared" si="18"/>
        <v>6421.3022161208082</v>
      </c>
      <c r="H220" s="38">
        <v>6420.8015906524688</v>
      </c>
      <c r="I220" s="38">
        <v>6266.1450676933591</v>
      </c>
      <c r="J220" s="38">
        <v>6581.2610985211031</v>
      </c>
      <c r="K220" s="24">
        <v>6904</v>
      </c>
      <c r="L220" s="9">
        <v>0.93008433026083548</v>
      </c>
      <c r="M220" s="9"/>
      <c r="N220" s="9"/>
      <c r="O220" s="9"/>
      <c r="P220" s="9"/>
      <c r="Q220" s="9"/>
      <c r="R220" s="9"/>
      <c r="S220" s="9"/>
      <c r="T220" s="9"/>
      <c r="U220" s="9"/>
      <c r="V220" s="15">
        <f>$V$218*Y220</f>
        <v>6744.0735294234928</v>
      </c>
      <c r="W220" s="26">
        <f t="shared" si="26"/>
        <v>6800.2707404004695</v>
      </c>
      <c r="X220" s="2">
        <f t="shared" ref="X220:X221" si="28">$V$218*Z220</f>
        <v>7340.27</v>
      </c>
      <c r="Y220" s="17">
        <f>Y151</f>
        <v>0.17456768900741576</v>
      </c>
      <c r="Z220" s="17">
        <v>0.19</v>
      </c>
      <c r="AA220" s="19">
        <f t="shared" si="27"/>
        <v>0.13607072875781315</v>
      </c>
      <c r="AB220" s="13"/>
      <c r="AC220" s="13"/>
      <c r="AD220" s="13"/>
      <c r="AF220" s="9"/>
    </row>
    <row r="221" spans="1:32" x14ac:dyDescent="0.25">
      <c r="A221" s="9" t="s">
        <v>71</v>
      </c>
      <c r="B221" s="9" t="s">
        <v>24</v>
      </c>
      <c r="C221" s="9" t="s">
        <v>20</v>
      </c>
      <c r="D221" s="9" t="s">
        <v>11</v>
      </c>
      <c r="E221" s="9">
        <v>2015</v>
      </c>
      <c r="F221" s="9"/>
      <c r="G221" s="44">
        <f t="shared" si="18"/>
        <v>15725.865856050206</v>
      </c>
      <c r="H221" s="38">
        <v>15725.610232445168</v>
      </c>
      <c r="I221" s="38">
        <v>15479.93406446456</v>
      </c>
      <c r="J221" s="38">
        <v>15971.98346567708</v>
      </c>
      <c r="K221" s="24">
        <v>16908</v>
      </c>
      <c r="L221" s="9">
        <v>0.93008433026083548</v>
      </c>
      <c r="M221" s="9"/>
      <c r="N221" s="9"/>
      <c r="O221" s="9"/>
      <c r="P221" s="9"/>
      <c r="Q221" s="9"/>
      <c r="R221" s="9"/>
      <c r="S221" s="9"/>
      <c r="T221" s="9"/>
      <c r="U221" s="9"/>
      <c r="V221" s="15">
        <f>$V$218*Y221</f>
        <v>16051.12875197971</v>
      </c>
      <c r="W221" s="26">
        <f t="shared" si="26"/>
        <v>16184.880061919941</v>
      </c>
      <c r="X221" s="2">
        <f t="shared" si="28"/>
        <v>16225.859999999999</v>
      </c>
      <c r="Y221" s="17">
        <f>Y152</f>
        <v>0.41547715041492272</v>
      </c>
      <c r="Z221" s="17">
        <v>0.42</v>
      </c>
      <c r="AA221" s="19">
        <f t="shared" si="27"/>
        <v>0.32385305070273612</v>
      </c>
      <c r="AB221" s="13"/>
      <c r="AC221" s="13"/>
      <c r="AD221" s="13"/>
      <c r="AF221" s="9"/>
    </row>
    <row r="222" spans="1:32" x14ac:dyDescent="0.25">
      <c r="A222" s="9" t="s">
        <v>71</v>
      </c>
      <c r="B222" s="9" t="s">
        <v>26</v>
      </c>
      <c r="C222" s="9" t="s">
        <v>11</v>
      </c>
      <c r="D222" s="9" t="s">
        <v>11</v>
      </c>
      <c r="E222" s="9">
        <v>2015</v>
      </c>
      <c r="F222" s="9"/>
      <c r="G222" s="44">
        <f t="shared" si="18"/>
        <v>2525.1789566581683</v>
      </c>
      <c r="H222" s="38"/>
      <c r="I222" s="38"/>
      <c r="J222" s="38"/>
      <c r="K222" s="24">
        <v>2715</v>
      </c>
      <c r="L222" s="9">
        <v>0.93008433026083548</v>
      </c>
      <c r="M222" s="9"/>
      <c r="N222" s="9"/>
      <c r="O222" s="9"/>
      <c r="P222" s="9"/>
      <c r="Q222" s="9"/>
      <c r="R222" s="9"/>
      <c r="S222" s="9"/>
      <c r="T222" s="9"/>
      <c r="U222" s="9"/>
      <c r="V222" s="2">
        <v>2709</v>
      </c>
      <c r="W222" s="26">
        <f t="shared" si="26"/>
        <v>2731.5736335572906</v>
      </c>
      <c r="X222" s="2"/>
      <c r="Y222" s="17"/>
      <c r="Z222" s="17"/>
      <c r="AA222" s="19">
        <f t="shared" si="27"/>
        <v>5.4657708371163974E-2</v>
      </c>
      <c r="AB222" s="2"/>
      <c r="AC222" s="2"/>
      <c r="AD222" s="2"/>
      <c r="AF222" s="9"/>
    </row>
    <row r="223" spans="1:32" s="37" customFormat="1" x14ac:dyDescent="0.25">
      <c r="A223" s="9" t="s">
        <v>71</v>
      </c>
      <c r="B223" s="9" t="s">
        <v>26</v>
      </c>
      <c r="C223" s="9" t="s">
        <v>31</v>
      </c>
      <c r="D223" s="9" t="s">
        <v>12</v>
      </c>
      <c r="E223" s="9">
        <v>2015</v>
      </c>
      <c r="F223" s="9"/>
      <c r="G223" s="44">
        <f t="shared" si="18"/>
        <v>414.32601976265886</v>
      </c>
      <c r="H223" s="38">
        <v>414.18809834377748</v>
      </c>
      <c r="I223" s="38">
        <v>375.36046689965292</v>
      </c>
      <c r="J223" s="38">
        <v>454.96561096494509</v>
      </c>
      <c r="K223" s="24">
        <v>445.47145488029469</v>
      </c>
      <c r="L223" s="9">
        <v>0.93008433026083548</v>
      </c>
      <c r="M223" s="9"/>
      <c r="N223" s="9"/>
      <c r="O223" s="9"/>
      <c r="P223" s="9"/>
      <c r="Q223" s="9"/>
      <c r="R223" s="9"/>
      <c r="S223" s="9"/>
      <c r="T223" s="9"/>
      <c r="U223" s="9"/>
      <c r="V223" s="2"/>
      <c r="W223" s="26"/>
      <c r="X223" s="2"/>
      <c r="Y223" s="17"/>
      <c r="Z223" s="17"/>
      <c r="AA223" s="19"/>
      <c r="AB223" s="2"/>
      <c r="AC223" s="2"/>
      <c r="AD223" s="2"/>
      <c r="AF223" s="9"/>
    </row>
    <row r="224" spans="1:32" s="37" customFormat="1" x14ac:dyDescent="0.25">
      <c r="A224" s="9" t="s">
        <v>71</v>
      </c>
      <c r="B224" s="9" t="s">
        <v>26</v>
      </c>
      <c r="C224" s="9" t="s">
        <v>19</v>
      </c>
      <c r="D224" s="9" t="s">
        <v>12</v>
      </c>
      <c r="E224" s="9">
        <v>2015</v>
      </c>
      <c r="F224" s="9"/>
      <c r="G224" s="44">
        <f t="shared" si="18"/>
        <v>483.46571403702097</v>
      </c>
      <c r="H224" s="38">
        <v>483.58045631427768</v>
      </c>
      <c r="I224" s="38">
        <v>441.55818766676833</v>
      </c>
      <c r="J224" s="38">
        <v>527.28510398883441</v>
      </c>
      <c r="K224" s="24">
        <v>519.8084714548803</v>
      </c>
      <c r="L224" s="9">
        <v>0.93008433026083548</v>
      </c>
      <c r="M224" s="9"/>
      <c r="N224" s="9"/>
      <c r="O224" s="9"/>
      <c r="P224" s="9"/>
      <c r="Q224" s="9"/>
      <c r="R224" s="9"/>
      <c r="S224" s="9"/>
      <c r="T224" s="9"/>
      <c r="U224" s="9"/>
      <c r="V224" s="2"/>
      <c r="W224" s="26"/>
      <c r="X224" s="2"/>
      <c r="Y224" s="17"/>
      <c r="Z224" s="17"/>
      <c r="AA224" s="19"/>
      <c r="AB224" s="2"/>
      <c r="AC224" s="2"/>
      <c r="AD224" s="2"/>
      <c r="AF224" s="9"/>
    </row>
    <row r="225" spans="1:32" s="37" customFormat="1" x14ac:dyDescent="0.25">
      <c r="A225" s="9" t="s">
        <v>71</v>
      </c>
      <c r="B225" s="9" t="s">
        <v>26</v>
      </c>
      <c r="C225" s="9" t="s">
        <v>20</v>
      </c>
      <c r="D225" s="9" t="s">
        <v>12</v>
      </c>
      <c r="E225" s="9">
        <v>2015</v>
      </c>
      <c r="F225" s="9"/>
      <c r="G225" s="44">
        <f t="shared" si="18"/>
        <v>492.6843399402693</v>
      </c>
      <c r="H225" s="38">
        <v>492.45441520737864</v>
      </c>
      <c r="I225" s="38">
        <v>449.98359787230714</v>
      </c>
      <c r="J225" s="38">
        <v>537.33360961301503</v>
      </c>
      <c r="K225" s="24">
        <v>529.72007366482512</v>
      </c>
      <c r="L225" s="9">
        <v>0.93008433026083548</v>
      </c>
      <c r="M225" s="9"/>
      <c r="N225" s="9"/>
      <c r="O225" s="9"/>
      <c r="P225" s="9"/>
      <c r="Q225" s="9"/>
      <c r="R225" s="9"/>
      <c r="S225" s="9"/>
      <c r="T225" s="9"/>
      <c r="U225" s="9"/>
      <c r="V225" s="2"/>
      <c r="W225" s="26"/>
      <c r="X225" s="2"/>
      <c r="Y225" s="17"/>
      <c r="Z225" s="17"/>
      <c r="AA225" s="19"/>
      <c r="AB225" s="2"/>
      <c r="AC225" s="2"/>
      <c r="AD225" s="2"/>
      <c r="AF225" s="9"/>
    </row>
    <row r="226" spans="1:32" s="37" customFormat="1" x14ac:dyDescent="0.25">
      <c r="A226" s="9" t="s">
        <v>71</v>
      </c>
      <c r="B226" s="9" t="s">
        <v>26</v>
      </c>
      <c r="C226" s="9" t="s">
        <v>31</v>
      </c>
      <c r="D226" s="9" t="s">
        <v>15</v>
      </c>
      <c r="E226" s="9">
        <v>2015</v>
      </c>
      <c r="F226" s="9"/>
      <c r="G226" s="44">
        <f t="shared" si="18"/>
        <v>338.11220341835707</v>
      </c>
      <c r="H226" s="38">
        <v>338.03860374709245</v>
      </c>
      <c r="I226" s="38">
        <v>302.77413188526225</v>
      </c>
      <c r="J226" s="38">
        <v>374.54617503820384</v>
      </c>
      <c r="K226" s="24">
        <v>363.52854511970537</v>
      </c>
      <c r="L226" s="9">
        <v>0.93008433026083548</v>
      </c>
      <c r="M226" s="9"/>
      <c r="N226" s="9"/>
      <c r="O226" s="9"/>
      <c r="P226" s="9"/>
      <c r="Q226" s="9"/>
      <c r="R226" s="9"/>
      <c r="S226" s="9"/>
      <c r="T226" s="9"/>
      <c r="U226" s="9"/>
      <c r="V226" s="2"/>
      <c r="W226" s="26"/>
      <c r="X226" s="2"/>
      <c r="Y226" s="17"/>
      <c r="Z226" s="17"/>
      <c r="AA226" s="19"/>
      <c r="AB226" s="2"/>
      <c r="AC226" s="2"/>
      <c r="AD226" s="2"/>
      <c r="AF226" s="9"/>
    </row>
    <row r="227" spans="1:32" s="37" customFormat="1" x14ac:dyDescent="0.25">
      <c r="A227" s="9" t="s">
        <v>71</v>
      </c>
      <c r="B227" s="9" t="s">
        <v>26</v>
      </c>
      <c r="C227" s="9" t="s">
        <v>19</v>
      </c>
      <c r="D227" s="9" t="s">
        <v>15</v>
      </c>
      <c r="E227" s="9">
        <v>2015</v>
      </c>
      <c r="F227" s="9"/>
      <c r="G227" s="44">
        <f t="shared" si="18"/>
        <v>394.5338937292077</v>
      </c>
      <c r="H227" s="38">
        <v>394.48211851980534</v>
      </c>
      <c r="I227" s="38">
        <v>358.09220010732554</v>
      </c>
      <c r="J227" s="38">
        <v>434.08692671813668</v>
      </c>
      <c r="K227" s="24">
        <v>424.1915285451197</v>
      </c>
      <c r="L227" s="9">
        <v>0.93008433026083548</v>
      </c>
      <c r="M227" s="9"/>
      <c r="N227" s="9"/>
      <c r="O227" s="9"/>
      <c r="P227" s="9"/>
      <c r="Q227" s="9"/>
      <c r="R227" s="9"/>
      <c r="S227" s="9"/>
      <c r="T227" s="9"/>
      <c r="U227" s="9"/>
      <c r="V227" s="2"/>
      <c r="W227" s="26"/>
      <c r="X227" s="2"/>
      <c r="Y227" s="17"/>
      <c r="Z227" s="17"/>
      <c r="AA227" s="19"/>
      <c r="AB227" s="2"/>
      <c r="AC227" s="2"/>
      <c r="AD227" s="2"/>
      <c r="AF227" s="9"/>
    </row>
    <row r="228" spans="1:32" s="37" customFormat="1" x14ac:dyDescent="0.25">
      <c r="A228" s="9" t="s">
        <v>71</v>
      </c>
      <c r="B228" s="9" t="s">
        <v>26</v>
      </c>
      <c r="C228" s="9" t="s">
        <v>20</v>
      </c>
      <c r="D228" s="9" t="s">
        <v>15</v>
      </c>
      <c r="E228" s="9">
        <v>2015</v>
      </c>
      <c r="F228" s="9"/>
      <c r="G228" s="44">
        <f t="shared" si="18"/>
        <v>402.05678577065453</v>
      </c>
      <c r="H228" s="38">
        <v>402.37685489573795</v>
      </c>
      <c r="I228" s="38">
        <v>364.64082046321545</v>
      </c>
      <c r="J228" s="38">
        <v>442.8978486375189</v>
      </c>
      <c r="K228" s="24">
        <v>432.27992633517499</v>
      </c>
      <c r="L228" s="9">
        <v>0.93008433026083548</v>
      </c>
      <c r="M228" s="9"/>
      <c r="N228" s="9"/>
      <c r="O228" s="9"/>
      <c r="P228" s="9"/>
      <c r="Q228" s="9"/>
      <c r="R228" s="9"/>
      <c r="S228" s="9"/>
      <c r="T228" s="9"/>
      <c r="U228" s="9"/>
      <c r="V228" s="2"/>
      <c r="W228" s="26"/>
      <c r="X228" s="2"/>
      <c r="Y228" s="17"/>
      <c r="Z228" s="17"/>
      <c r="AA228" s="19"/>
      <c r="AB228" s="2"/>
      <c r="AC228" s="2"/>
      <c r="AD228" s="2"/>
      <c r="AF228" s="9"/>
    </row>
    <row r="229" spans="1:32" x14ac:dyDescent="0.25">
      <c r="A229" s="9" t="s">
        <v>71</v>
      </c>
      <c r="B229" s="9" t="s">
        <v>27</v>
      </c>
      <c r="C229" s="9" t="s">
        <v>11</v>
      </c>
      <c r="D229" s="9" t="s">
        <v>11</v>
      </c>
      <c r="E229" s="9">
        <v>2015</v>
      </c>
      <c r="F229" s="9"/>
      <c r="G229" s="44">
        <f t="shared" si="18"/>
        <v>2886.9817611296335</v>
      </c>
      <c r="H229" s="38"/>
      <c r="I229" s="38"/>
      <c r="J229" s="38"/>
      <c r="K229" s="24">
        <v>3104</v>
      </c>
      <c r="L229" s="9">
        <v>0.93008433026083548</v>
      </c>
      <c r="M229" s="9"/>
      <c r="N229" s="9"/>
      <c r="O229" s="9"/>
      <c r="P229" s="9"/>
      <c r="Q229" s="9"/>
      <c r="R229" s="9"/>
      <c r="S229" s="9"/>
      <c r="T229" s="9"/>
      <c r="U229" s="9"/>
      <c r="V229" s="2">
        <v>3039</v>
      </c>
      <c r="W229" s="26">
        <f t="shared" si="26"/>
        <v>3064.3234671024757</v>
      </c>
      <c r="X229" s="2"/>
      <c r="Y229" s="17"/>
      <c r="Z229" s="17"/>
      <c r="AA229" s="19">
        <f t="shared" si="27"/>
        <v>6.1315900974517279E-2</v>
      </c>
      <c r="AB229" s="2"/>
      <c r="AC229" s="2"/>
      <c r="AD229" s="2"/>
      <c r="AF229" s="9"/>
    </row>
    <row r="230" spans="1:32" s="37" customFormat="1" x14ac:dyDescent="0.25">
      <c r="A230" s="9" t="s">
        <v>71</v>
      </c>
      <c r="B230" s="9" t="s">
        <v>27</v>
      </c>
      <c r="C230" s="9" t="s">
        <v>31</v>
      </c>
      <c r="D230" s="9" t="s">
        <v>11</v>
      </c>
      <c r="E230" s="9">
        <v>2015</v>
      </c>
      <c r="F230" s="9"/>
      <c r="G230" s="44">
        <f t="shared" si="18"/>
        <v>1185.8575210825652</v>
      </c>
      <c r="H230" s="38">
        <v>1185.5826468005378</v>
      </c>
      <c r="I230" s="38">
        <v>1119.4377946469879</v>
      </c>
      <c r="J230" s="38">
        <v>1254.2868801539134</v>
      </c>
      <c r="K230" s="24">
        <v>1275</v>
      </c>
      <c r="L230" s="9">
        <v>0.93008433026083548</v>
      </c>
      <c r="M230" s="9"/>
      <c r="N230" s="9"/>
      <c r="O230" s="9"/>
      <c r="P230" s="9"/>
      <c r="Q230" s="9"/>
      <c r="R230" s="9"/>
      <c r="S230" s="9"/>
      <c r="T230" s="9"/>
      <c r="U230" s="9"/>
      <c r="V230" s="2"/>
      <c r="W230" s="26"/>
      <c r="X230" s="2"/>
      <c r="Y230" s="17"/>
      <c r="Z230" s="17"/>
      <c r="AA230" s="19"/>
      <c r="AB230" s="2"/>
      <c r="AC230" s="2"/>
      <c r="AD230" s="2"/>
      <c r="AF230" s="9"/>
    </row>
    <row r="231" spans="1:32" s="37" customFormat="1" x14ac:dyDescent="0.25">
      <c r="A231" s="9" t="s">
        <v>71</v>
      </c>
      <c r="B231" s="9" t="s">
        <v>27</v>
      </c>
      <c r="C231" s="9" t="s">
        <v>19</v>
      </c>
      <c r="D231" s="9" t="s">
        <v>11</v>
      </c>
      <c r="E231" s="9">
        <v>2015</v>
      </c>
      <c r="F231" s="9"/>
      <c r="G231" s="44">
        <f t="shared" si="18"/>
        <v>637.10776622867229</v>
      </c>
      <c r="H231" s="38">
        <v>636.98039968566729</v>
      </c>
      <c r="I231" s="38">
        <v>588.47701724226727</v>
      </c>
      <c r="J231" s="38">
        <v>686.77224278672543</v>
      </c>
      <c r="K231" s="24">
        <v>685</v>
      </c>
      <c r="L231" s="9">
        <v>0.93008433026083548</v>
      </c>
      <c r="M231" s="9"/>
      <c r="N231" s="9"/>
      <c r="O231" s="9"/>
      <c r="P231" s="9"/>
      <c r="Q231" s="9"/>
      <c r="R231" s="9"/>
      <c r="S231" s="9"/>
      <c r="T231" s="9"/>
      <c r="U231" s="9"/>
      <c r="V231" s="2"/>
      <c r="W231" s="26"/>
      <c r="X231" s="2"/>
      <c r="Y231" s="17"/>
      <c r="Z231" s="17"/>
      <c r="AA231" s="19"/>
      <c r="AB231" s="2"/>
      <c r="AC231" s="2"/>
      <c r="AD231" s="2"/>
      <c r="AF231" s="9"/>
    </row>
    <row r="232" spans="1:32" s="37" customFormat="1" x14ac:dyDescent="0.25">
      <c r="A232" s="9" t="s">
        <v>71</v>
      </c>
      <c r="B232" s="9" t="s">
        <v>27</v>
      </c>
      <c r="C232" s="9" t="s">
        <v>20</v>
      </c>
      <c r="D232" s="9" t="s">
        <v>11</v>
      </c>
      <c r="E232" s="9">
        <v>2015</v>
      </c>
      <c r="F232" s="9"/>
      <c r="G232" s="44">
        <f t="shared" si="18"/>
        <v>1064.0164738183958</v>
      </c>
      <c r="H232" s="38">
        <v>1064.0892129939903</v>
      </c>
      <c r="I232" s="38">
        <v>1000.8963055411261</v>
      </c>
      <c r="J232" s="38">
        <v>1128.495538711464</v>
      </c>
      <c r="K232" s="24">
        <v>1144</v>
      </c>
      <c r="L232" s="9">
        <v>0.93008433026083548</v>
      </c>
      <c r="M232" s="9"/>
      <c r="N232" s="9"/>
      <c r="O232" s="9"/>
      <c r="P232" s="9"/>
      <c r="Q232" s="9"/>
      <c r="R232" s="9"/>
      <c r="S232" s="9"/>
      <c r="T232" s="9"/>
      <c r="U232" s="9"/>
      <c r="V232" s="2"/>
      <c r="W232" s="26"/>
      <c r="X232" s="2"/>
      <c r="Y232" s="17"/>
      <c r="Z232" s="17"/>
      <c r="AA232" s="19"/>
      <c r="AB232" s="2"/>
      <c r="AC232" s="2"/>
      <c r="AD232" s="2"/>
      <c r="AF232" s="9"/>
    </row>
    <row r="233" spans="1:32" x14ac:dyDescent="0.25">
      <c r="A233" s="9" t="s">
        <v>71</v>
      </c>
      <c r="B233" s="9" t="s">
        <v>28</v>
      </c>
      <c r="C233" s="9" t="s">
        <v>11</v>
      </c>
      <c r="D233" s="9" t="s">
        <v>12</v>
      </c>
      <c r="E233" s="9">
        <v>2015</v>
      </c>
      <c r="F233" s="9"/>
      <c r="G233" s="44">
        <f t="shared" si="18"/>
        <v>1077.9677387723084</v>
      </c>
      <c r="H233" s="38"/>
      <c r="I233" s="38"/>
      <c r="J233" s="38"/>
      <c r="K233" s="24">
        <v>1159</v>
      </c>
      <c r="L233" s="9">
        <v>0.93008433026083548</v>
      </c>
      <c r="M233" s="9"/>
      <c r="N233" s="9"/>
      <c r="O233" s="9"/>
      <c r="P233" s="9"/>
      <c r="Q233" s="9"/>
      <c r="R233" s="9"/>
      <c r="S233" s="9"/>
      <c r="T233" s="9"/>
      <c r="U233" s="9"/>
      <c r="V233" s="2">
        <v>942</v>
      </c>
      <c r="W233" s="26">
        <f t="shared" si="26"/>
        <v>949.84952484716428</v>
      </c>
      <c r="X233" s="2"/>
      <c r="Y233" s="17"/>
      <c r="Z233" s="17"/>
      <c r="AA233" s="19">
        <f t="shared" si="27"/>
        <v>1.9006113431390352E-2</v>
      </c>
      <c r="AB233" s="2"/>
      <c r="AC233" s="2"/>
      <c r="AD233" s="2"/>
      <c r="AF233" s="9"/>
    </row>
    <row r="234" spans="1:32" x14ac:dyDescent="0.25">
      <c r="A234" s="9" t="s">
        <v>71</v>
      </c>
      <c r="B234" s="9" t="s">
        <v>28</v>
      </c>
      <c r="C234" s="9" t="s">
        <v>31</v>
      </c>
      <c r="D234" s="9" t="s">
        <v>12</v>
      </c>
      <c r="E234" s="9">
        <v>2015</v>
      </c>
      <c r="F234" s="9"/>
      <c r="G234" s="44">
        <f t="shared" si="18"/>
        <v>195.11500495984262</v>
      </c>
      <c r="H234" s="38">
        <v>195.08709587378237</v>
      </c>
      <c r="I234" s="38">
        <v>168.76226267337137</v>
      </c>
      <c r="J234" s="38">
        <v>223.55032297523269</v>
      </c>
      <c r="K234" s="24">
        <v>209.78205804749342</v>
      </c>
      <c r="L234" s="9">
        <v>0.93008433026083548</v>
      </c>
      <c r="M234" s="9"/>
      <c r="N234" s="9"/>
      <c r="O234" s="9"/>
      <c r="P234" s="9"/>
      <c r="Q234" s="9"/>
      <c r="R234" s="9"/>
      <c r="S234" s="9"/>
      <c r="T234" s="9"/>
      <c r="U234" s="9"/>
      <c r="V234" s="15">
        <f>$V$233*Y234</f>
        <v>122.17707749766572</v>
      </c>
      <c r="W234" s="26">
        <f t="shared" si="26"/>
        <v>123.19515818298613</v>
      </c>
      <c r="X234" s="2">
        <f>$V$233*Z234</f>
        <v>367.38</v>
      </c>
      <c r="Y234" s="20">
        <f>Y165</f>
        <v>0.1296996576408341</v>
      </c>
      <c r="Z234" s="20">
        <v>0.39</v>
      </c>
      <c r="AA234" s="19">
        <f t="shared" si="27"/>
        <v>2.4650864051341871E-3</v>
      </c>
      <c r="AB234" s="2"/>
      <c r="AC234" s="2"/>
      <c r="AD234" s="2"/>
      <c r="AF234" s="9"/>
    </row>
    <row r="235" spans="1:32" x14ac:dyDescent="0.25">
      <c r="A235" s="9" t="s">
        <v>71</v>
      </c>
      <c r="B235" s="9" t="s">
        <v>28</v>
      </c>
      <c r="C235" s="9" t="s">
        <v>19</v>
      </c>
      <c r="D235" s="9" t="s">
        <v>12</v>
      </c>
      <c r="E235" s="9">
        <v>2015</v>
      </c>
      <c r="F235" s="9"/>
      <c r="G235" s="44">
        <f t="shared" si="18"/>
        <v>351.92755024826812</v>
      </c>
      <c r="H235" s="38">
        <v>351.88505112794826</v>
      </c>
      <c r="I235" s="38">
        <v>316.28334564747462</v>
      </c>
      <c r="J235" s="38">
        <v>389.94238315927083</v>
      </c>
      <c r="K235" s="24">
        <v>378.38240985048373</v>
      </c>
      <c r="L235" s="9">
        <v>0.93008433026083548</v>
      </c>
      <c r="M235" s="9"/>
      <c r="N235" s="9"/>
      <c r="O235" s="9"/>
      <c r="P235" s="9"/>
      <c r="Q235" s="9"/>
      <c r="R235" s="9"/>
      <c r="S235" s="9"/>
      <c r="T235" s="9"/>
      <c r="U235" s="9"/>
      <c r="V235" s="15">
        <f>$V$233*Y235</f>
        <v>283.79105975723621</v>
      </c>
      <c r="W235" s="26">
        <f t="shared" si="26"/>
        <v>286.15584210858174</v>
      </c>
      <c r="X235" s="2">
        <f t="shared" ref="X235:X236" si="29">$V$233*Z235</f>
        <v>178.98</v>
      </c>
      <c r="Y235" s="20">
        <f>Y166</f>
        <v>0.30126439464674759</v>
      </c>
      <c r="Z235" s="20">
        <v>0.19</v>
      </c>
      <c r="AA235" s="19">
        <f t="shared" si="27"/>
        <v>5.7258652574952327E-3</v>
      </c>
      <c r="AB235" s="2"/>
      <c r="AC235" s="2"/>
      <c r="AD235" s="2"/>
      <c r="AF235" s="9"/>
    </row>
    <row r="236" spans="1:32" x14ac:dyDescent="0.25">
      <c r="A236" s="9" t="s">
        <v>71</v>
      </c>
      <c r="B236" s="9" t="s">
        <v>28</v>
      </c>
      <c r="C236" s="9" t="s">
        <v>20</v>
      </c>
      <c r="D236" s="9" t="s">
        <v>12</v>
      </c>
      <c r="E236" s="9">
        <v>2015</v>
      </c>
      <c r="F236" s="9"/>
      <c r="G236" s="44">
        <f t="shared" si="18"/>
        <v>530.9251835641976</v>
      </c>
      <c r="H236" s="38">
        <v>530.94912712975849</v>
      </c>
      <c r="I236" s="38">
        <v>486.60220463930693</v>
      </c>
      <c r="J236" s="38">
        <v>578.76712004652973</v>
      </c>
      <c r="K236" s="24">
        <v>570.83553210202285</v>
      </c>
      <c r="L236" s="9">
        <v>0.93008433026083548</v>
      </c>
      <c r="M236" s="9"/>
      <c r="N236" s="9"/>
      <c r="O236" s="9"/>
      <c r="P236" s="9"/>
      <c r="Q236" s="9"/>
      <c r="R236" s="9"/>
      <c r="S236" s="9"/>
      <c r="T236" s="9"/>
      <c r="U236" s="9"/>
      <c r="V236" s="15">
        <f>$V$233*Y236</f>
        <v>536.03186274509801</v>
      </c>
      <c r="W236" s="26">
        <f t="shared" si="26"/>
        <v>540.49852455559619</v>
      </c>
      <c r="X236" s="2">
        <f t="shared" si="29"/>
        <v>395.64</v>
      </c>
      <c r="Y236" s="20">
        <f>Y167</f>
        <v>0.56903594771241828</v>
      </c>
      <c r="Z236" s="20">
        <v>0.42</v>
      </c>
      <c r="AA236" s="19">
        <f t="shared" si="27"/>
        <v>1.081516176876093E-2</v>
      </c>
      <c r="AB236" s="2"/>
      <c r="AC236" s="2"/>
      <c r="AD236" s="2"/>
      <c r="AF236" s="9"/>
    </row>
    <row r="237" spans="1:32" x14ac:dyDescent="0.25">
      <c r="A237" s="9" t="s">
        <v>71</v>
      </c>
      <c r="B237" s="9" t="s">
        <v>28</v>
      </c>
      <c r="C237" s="9" t="s">
        <v>11</v>
      </c>
      <c r="D237" s="9" t="s">
        <v>15</v>
      </c>
      <c r="E237" s="9">
        <v>2015</v>
      </c>
      <c r="F237" s="9"/>
      <c r="G237" s="44">
        <f t="shared" si="18"/>
        <v>4209.5616787605413</v>
      </c>
      <c r="H237" s="38"/>
      <c r="I237" s="38"/>
      <c r="J237" s="38"/>
      <c r="K237" s="24">
        <v>4526</v>
      </c>
      <c r="L237" s="9">
        <v>0.93008433026083548</v>
      </c>
      <c r="M237" s="9"/>
      <c r="N237" s="9"/>
      <c r="O237" s="9"/>
      <c r="P237" s="9"/>
      <c r="Q237" s="9"/>
      <c r="R237" s="9"/>
      <c r="S237" s="9"/>
      <c r="T237" s="9"/>
      <c r="U237" s="9"/>
      <c r="V237" s="2">
        <v>4240</v>
      </c>
      <c r="W237" s="26">
        <f t="shared" si="26"/>
        <v>4275.3311946411641</v>
      </c>
      <c r="X237" s="2"/>
      <c r="Y237" s="17"/>
      <c r="Z237" s="17"/>
      <c r="AA237" s="19">
        <f t="shared" si="27"/>
        <v>8.5547686782478871E-2</v>
      </c>
      <c r="AB237" s="2"/>
      <c r="AC237" s="2"/>
      <c r="AD237" s="2"/>
      <c r="AF237" s="9"/>
    </row>
    <row r="238" spans="1:32" x14ac:dyDescent="0.25">
      <c r="A238" s="9" t="s">
        <v>71</v>
      </c>
      <c r="B238" s="9" t="s">
        <v>28</v>
      </c>
      <c r="C238" s="9" t="s">
        <v>31</v>
      </c>
      <c r="D238" s="9" t="s">
        <v>15</v>
      </c>
      <c r="E238" s="9">
        <v>2015</v>
      </c>
      <c r="F238" s="9"/>
      <c r="G238" s="44">
        <f t="shared" si="18"/>
        <v>761.94177087855701</v>
      </c>
      <c r="H238" s="38">
        <v>761.99705187946927</v>
      </c>
      <c r="I238" s="38">
        <v>708.17357234227495</v>
      </c>
      <c r="J238" s="38">
        <v>817.23842294952044</v>
      </c>
      <c r="K238" s="24">
        <v>819.21794195250652</v>
      </c>
      <c r="L238" s="9">
        <v>0.93008433026083548</v>
      </c>
      <c r="M238" s="9"/>
      <c r="N238" s="9"/>
      <c r="O238" s="9"/>
      <c r="P238" s="9"/>
      <c r="Q238" s="9"/>
      <c r="R238" s="9"/>
      <c r="S238" s="9"/>
      <c r="T238" s="9"/>
      <c r="U238" s="9"/>
      <c r="V238" s="15">
        <f>$V$237*Y238</f>
        <v>524.99171540288557</v>
      </c>
      <c r="W238" s="26">
        <f t="shared" si="26"/>
        <v>529.36638155427659</v>
      </c>
      <c r="X238" s="2">
        <f>$V$237*Z238</f>
        <v>848</v>
      </c>
      <c r="Y238" s="20">
        <f>Y169</f>
        <v>0.12381880080256735</v>
      </c>
      <c r="Z238" s="20">
        <v>0.2</v>
      </c>
      <c r="AA238" s="19">
        <f t="shared" si="27"/>
        <v>1.0592411988840174E-2</v>
      </c>
      <c r="AB238" s="2"/>
      <c r="AC238" s="2"/>
      <c r="AD238" s="2"/>
      <c r="AF238" s="9"/>
    </row>
    <row r="239" spans="1:32" x14ac:dyDescent="0.25">
      <c r="A239" s="9" t="s">
        <v>71</v>
      </c>
      <c r="B239" s="9" t="s">
        <v>28</v>
      </c>
      <c r="C239" s="9" t="s">
        <v>19</v>
      </c>
      <c r="D239" s="9" t="s">
        <v>15</v>
      </c>
      <c r="E239" s="9">
        <v>2015</v>
      </c>
      <c r="F239" s="9"/>
      <c r="G239" s="44">
        <f t="shared" si="18"/>
        <v>1374.3089667158424</v>
      </c>
      <c r="H239" s="38">
        <v>1374.410853139437</v>
      </c>
      <c r="I239" s="38">
        <v>1301.7577926132233</v>
      </c>
      <c r="J239" s="38">
        <v>1449.4614910068062</v>
      </c>
      <c r="K239" s="24">
        <v>1477.6175901495162</v>
      </c>
      <c r="L239" s="9">
        <v>0.93008433026083548</v>
      </c>
      <c r="M239" s="9"/>
      <c r="N239" s="9"/>
      <c r="O239" s="9"/>
      <c r="P239" s="9"/>
      <c r="Q239" s="9"/>
      <c r="R239" s="9"/>
      <c r="S239" s="9"/>
      <c r="T239" s="9"/>
      <c r="U239" s="9"/>
      <c r="V239" s="15">
        <f>$V$237*Y239</f>
        <v>1536.6211684338446</v>
      </c>
      <c r="W239" s="26">
        <f t="shared" si="26"/>
        <v>1549.4255697526344</v>
      </c>
      <c r="X239" s="2">
        <f t="shared" ref="X239:X240" si="30">$V$237*Z239</f>
        <v>1484</v>
      </c>
      <c r="Y239" s="20">
        <f>Y170</f>
        <v>0.36241065293251051</v>
      </c>
      <c r="Z239" s="20">
        <v>0.35</v>
      </c>
      <c r="AA239" s="19">
        <f t="shared" si="27"/>
        <v>3.1003393023704064E-2</v>
      </c>
      <c r="AB239" s="2"/>
      <c r="AC239" s="2"/>
      <c r="AD239" s="2"/>
      <c r="AF239" s="9"/>
    </row>
    <row r="240" spans="1:32" x14ac:dyDescent="0.25">
      <c r="A240" s="9" t="s">
        <v>71</v>
      </c>
      <c r="B240" s="9" t="s">
        <v>28</v>
      </c>
      <c r="C240" s="9" t="s">
        <v>20</v>
      </c>
      <c r="D240" s="9" t="s">
        <v>15</v>
      </c>
      <c r="E240" s="9">
        <v>2015</v>
      </c>
      <c r="F240" s="9"/>
      <c r="G240" s="44">
        <f t="shared" si="18"/>
        <v>2073.3109411661417</v>
      </c>
      <c r="H240" s="38">
        <v>2072.3464971557714</v>
      </c>
      <c r="I240" s="38">
        <v>1982.3089856603403</v>
      </c>
      <c r="J240" s="38">
        <v>2164.0687624794473</v>
      </c>
      <c r="K240" s="24">
        <v>2229.1644678979769</v>
      </c>
      <c r="L240" s="9">
        <v>0.93008433026083548</v>
      </c>
      <c r="M240" s="9"/>
      <c r="N240" s="9"/>
      <c r="O240" s="9"/>
      <c r="P240" s="9"/>
      <c r="Q240" s="9"/>
      <c r="R240" s="9"/>
      <c r="S240" s="9"/>
      <c r="T240" s="9"/>
      <c r="U240" s="9"/>
      <c r="V240" s="15">
        <f>$V$237*Y240</f>
        <v>2178.3871161632696</v>
      </c>
      <c r="W240" s="26">
        <f t="shared" si="26"/>
        <v>2196.5392433342527</v>
      </c>
      <c r="X240" s="2">
        <f t="shared" si="30"/>
        <v>1908</v>
      </c>
      <c r="Y240" s="20">
        <f>Y171</f>
        <v>0.51377054626492213</v>
      </c>
      <c r="Z240" s="20">
        <v>0.45</v>
      </c>
      <c r="AA240" s="19">
        <f t="shared" si="27"/>
        <v>4.3951881769934621E-2</v>
      </c>
      <c r="AB240" s="2"/>
      <c r="AC240" s="2"/>
      <c r="AD240" s="2"/>
      <c r="AF240" s="9"/>
    </row>
    <row r="241" spans="1:32" x14ac:dyDescent="0.25">
      <c r="A241" s="9" t="s">
        <v>21</v>
      </c>
      <c r="B241" s="9" t="s">
        <v>11</v>
      </c>
      <c r="C241" s="9" t="s">
        <v>11</v>
      </c>
      <c r="D241" s="9" t="s">
        <v>11</v>
      </c>
      <c r="E241" s="9">
        <v>2015</v>
      </c>
      <c r="F241" s="9"/>
      <c r="G241" s="44">
        <f t="shared" si="18"/>
        <v>1984</v>
      </c>
      <c r="H241" s="38">
        <v>1983.6650999999999</v>
      </c>
      <c r="I241" s="38">
        <v>1896.9749999999999</v>
      </c>
      <c r="J241" s="38">
        <v>2071</v>
      </c>
      <c r="K241" s="24">
        <v>2020</v>
      </c>
      <c r="L241" s="9">
        <v>0.98217821782178216</v>
      </c>
      <c r="M241" s="9"/>
      <c r="N241" s="9"/>
      <c r="O241" s="9"/>
      <c r="P241" s="9"/>
      <c r="Q241" s="9"/>
      <c r="R241" s="9"/>
      <c r="S241" s="9"/>
      <c r="T241" s="9"/>
      <c r="U241" s="9"/>
      <c r="V241" s="2"/>
      <c r="W241" s="2"/>
      <c r="X241" s="2"/>
      <c r="Y241" s="17"/>
      <c r="Z241" s="17"/>
      <c r="AA241" s="17"/>
      <c r="AB241" s="2"/>
      <c r="AC241" s="2"/>
      <c r="AD241" s="2"/>
      <c r="AF241" s="9"/>
    </row>
    <row r="242" spans="1:32" x14ac:dyDescent="0.25">
      <c r="A242" s="9" t="s">
        <v>21</v>
      </c>
      <c r="B242" s="9" t="s">
        <v>11</v>
      </c>
      <c r="C242" s="9" t="s">
        <v>19</v>
      </c>
      <c r="D242" s="9" t="s">
        <v>11</v>
      </c>
      <c r="E242" s="9">
        <v>2015</v>
      </c>
      <c r="F242" s="9"/>
      <c r="G242" s="44">
        <f t="shared" si="18"/>
        <v>444.92673267326734</v>
      </c>
      <c r="H242" s="38"/>
      <c r="I242" s="38"/>
      <c r="J242" s="38"/>
      <c r="K242" s="24">
        <v>453</v>
      </c>
      <c r="L242" s="9">
        <v>0.98217821782178216</v>
      </c>
      <c r="M242" s="9"/>
      <c r="N242" s="9"/>
      <c r="O242" s="9"/>
      <c r="P242" s="9"/>
      <c r="Q242" s="9"/>
      <c r="R242" s="9"/>
      <c r="S242" s="9"/>
      <c r="T242" s="9"/>
      <c r="U242" s="9"/>
      <c r="V242" s="2"/>
      <c r="W242" s="2"/>
      <c r="X242" s="2"/>
      <c r="Y242" s="17"/>
      <c r="Z242" s="17"/>
      <c r="AA242" s="17"/>
      <c r="AB242" s="2"/>
      <c r="AC242" s="2"/>
      <c r="AD242" s="2"/>
      <c r="AF242" s="9"/>
    </row>
    <row r="243" spans="1:32" x14ac:dyDescent="0.25">
      <c r="A243" s="9" t="s">
        <v>21</v>
      </c>
      <c r="B243" s="9" t="s">
        <v>24</v>
      </c>
      <c r="C243" s="9" t="s">
        <v>11</v>
      </c>
      <c r="D243" s="9" t="s">
        <v>11</v>
      </c>
      <c r="E243" s="9">
        <v>2015</v>
      </c>
      <c r="F243" s="9"/>
      <c r="G243" s="44">
        <f t="shared" si="18"/>
        <v>1667.7386138613861</v>
      </c>
      <c r="H243" s="38"/>
      <c r="I243" s="38"/>
      <c r="J243" s="38"/>
      <c r="K243" s="24">
        <v>1698</v>
      </c>
      <c r="L243" s="9">
        <v>0.98217821782178216</v>
      </c>
      <c r="M243" s="9"/>
      <c r="N243" s="9"/>
      <c r="O243" s="9"/>
      <c r="P243" s="9"/>
      <c r="Q243" s="9"/>
      <c r="R243" s="9"/>
      <c r="S243" s="9"/>
      <c r="T243" s="9"/>
      <c r="U243" s="9"/>
      <c r="V243" s="2"/>
      <c r="W243" s="2"/>
      <c r="X243" s="2"/>
      <c r="Y243" s="17"/>
      <c r="Z243" s="17"/>
      <c r="AA243" s="17"/>
      <c r="AB243" s="2"/>
      <c r="AC243" s="2"/>
      <c r="AD243" s="2"/>
      <c r="AF243" s="9"/>
    </row>
    <row r="244" spans="1:32" s="37" customFormat="1" x14ac:dyDescent="0.25">
      <c r="A244" s="9" t="s">
        <v>21</v>
      </c>
      <c r="B244" s="9" t="s">
        <v>24</v>
      </c>
      <c r="C244" s="9" t="s">
        <v>31</v>
      </c>
      <c r="D244" s="9" t="s">
        <v>11</v>
      </c>
      <c r="E244" s="9">
        <v>2015</v>
      </c>
      <c r="F244" s="9"/>
      <c r="G244" s="44">
        <f t="shared" si="18"/>
        <v>516.6257425742574</v>
      </c>
      <c r="H244" s="38">
        <v>516.30393264287795</v>
      </c>
      <c r="I244" s="38">
        <v>472.29104704516982</v>
      </c>
      <c r="J244" s="38">
        <v>562.54401676719942</v>
      </c>
      <c r="K244" s="24">
        <v>526</v>
      </c>
      <c r="L244" s="9">
        <v>0.98217821782178216</v>
      </c>
      <c r="M244" s="9"/>
      <c r="N244" s="9"/>
      <c r="O244" s="9"/>
      <c r="P244" s="9"/>
      <c r="Q244" s="9"/>
      <c r="R244" s="9"/>
      <c r="S244" s="9"/>
      <c r="T244" s="9"/>
      <c r="U244" s="9"/>
      <c r="V244" s="2"/>
      <c r="W244" s="2"/>
      <c r="X244" s="2"/>
      <c r="Y244" s="17"/>
      <c r="Z244" s="17"/>
      <c r="AA244" s="17"/>
      <c r="AB244" s="2"/>
      <c r="AC244" s="2"/>
      <c r="AD244" s="2"/>
      <c r="AF244" s="9"/>
    </row>
    <row r="245" spans="1:32" s="37" customFormat="1" x14ac:dyDescent="0.25">
      <c r="A245" s="9" t="s">
        <v>21</v>
      </c>
      <c r="B245" s="9" t="s">
        <v>24</v>
      </c>
      <c r="C245" s="9" t="s">
        <v>19</v>
      </c>
      <c r="D245" s="9" t="s">
        <v>11</v>
      </c>
      <c r="E245" s="9">
        <v>2015</v>
      </c>
      <c r="F245" s="9"/>
      <c r="G245" s="44">
        <f t="shared" si="18"/>
        <v>334.92277227722769</v>
      </c>
      <c r="H245" s="38">
        <v>334.94914888136543</v>
      </c>
      <c r="I245" s="38">
        <v>300.32302949006214</v>
      </c>
      <c r="J245" s="38">
        <v>370.46581982178344</v>
      </c>
      <c r="K245" s="24">
        <v>341</v>
      </c>
      <c r="L245" s="9">
        <v>0.98217821782178216</v>
      </c>
      <c r="M245" s="9"/>
      <c r="N245" s="9"/>
      <c r="O245" s="9"/>
      <c r="P245" s="9"/>
      <c r="Q245" s="9"/>
      <c r="R245" s="9"/>
      <c r="S245" s="9"/>
      <c r="T245" s="9"/>
      <c r="U245" s="9"/>
      <c r="V245" s="2"/>
      <c r="W245" s="2"/>
      <c r="X245" s="2"/>
      <c r="Y245" s="17"/>
      <c r="Z245" s="17"/>
      <c r="AA245" s="17"/>
      <c r="AB245" s="2"/>
      <c r="AC245" s="2"/>
      <c r="AD245" s="2"/>
      <c r="AF245" s="9"/>
    </row>
    <row r="246" spans="1:32" s="37" customFormat="1" x14ac:dyDescent="0.25">
      <c r="A246" s="9" t="s">
        <v>21</v>
      </c>
      <c r="B246" s="9" t="s">
        <v>24</v>
      </c>
      <c r="C246" s="9" t="s">
        <v>20</v>
      </c>
      <c r="D246" s="9" t="s">
        <v>11</v>
      </c>
      <c r="E246" s="9">
        <v>2015</v>
      </c>
      <c r="F246" s="9"/>
      <c r="G246" s="44">
        <f t="shared" si="18"/>
        <v>816.19009900990102</v>
      </c>
      <c r="H246" s="38">
        <v>816.06751893679927</v>
      </c>
      <c r="I246" s="38">
        <v>761.66618660159179</v>
      </c>
      <c r="J246" s="38">
        <v>872.51929736085128</v>
      </c>
      <c r="K246" s="24">
        <v>831</v>
      </c>
      <c r="L246" s="9">
        <v>0.98217821782178216</v>
      </c>
      <c r="M246" s="9"/>
      <c r="N246" s="9"/>
      <c r="O246" s="9"/>
      <c r="P246" s="9"/>
      <c r="Q246" s="9"/>
      <c r="R246" s="9"/>
      <c r="S246" s="9"/>
      <c r="T246" s="9"/>
      <c r="U246" s="9"/>
      <c r="V246" s="2"/>
      <c r="W246" s="2"/>
      <c r="X246" s="2"/>
      <c r="Y246" s="17"/>
      <c r="Z246" s="17"/>
      <c r="AA246" s="17"/>
      <c r="AB246" s="2"/>
      <c r="AC246" s="2"/>
      <c r="AD246" s="2"/>
      <c r="AF246" s="9"/>
    </row>
    <row r="247" spans="1:32" s="37" customFormat="1" x14ac:dyDescent="0.25">
      <c r="A247" s="9" t="s">
        <v>21</v>
      </c>
      <c r="B247" s="9" t="s">
        <v>26</v>
      </c>
      <c r="C247" s="9" t="s">
        <v>31</v>
      </c>
      <c r="D247" s="9" t="s">
        <v>12</v>
      </c>
      <c r="E247" s="9">
        <v>2015</v>
      </c>
      <c r="F247" s="9"/>
      <c r="G247" s="44">
        <f t="shared" si="18"/>
        <v>14.236414799374675</v>
      </c>
      <c r="H247" s="38">
        <v>14.268523574412868</v>
      </c>
      <c r="I247" s="38">
        <v>7.8511758187905905</v>
      </c>
      <c r="J247" s="38">
        <v>22.433268922323219</v>
      </c>
      <c r="K247" s="24">
        <v>14.494736842105263</v>
      </c>
      <c r="L247" s="9">
        <v>0.98217821782178216</v>
      </c>
      <c r="M247" s="9"/>
      <c r="N247" s="9"/>
      <c r="O247" s="9"/>
      <c r="P247" s="9"/>
      <c r="Q247" s="9"/>
      <c r="R247" s="9"/>
      <c r="S247" s="9"/>
      <c r="T247" s="9"/>
      <c r="U247" s="9"/>
      <c r="V247" s="2"/>
      <c r="W247" s="2"/>
      <c r="X247" s="2"/>
      <c r="Y247" s="17"/>
      <c r="Z247" s="17"/>
      <c r="AA247" s="17"/>
      <c r="AB247" s="2"/>
      <c r="AC247" s="2"/>
      <c r="AD247" s="2"/>
      <c r="AF247" s="9"/>
    </row>
    <row r="248" spans="1:32" s="37" customFormat="1" x14ac:dyDescent="0.25">
      <c r="A248" s="9" t="s">
        <v>21</v>
      </c>
      <c r="B248" s="9" t="s">
        <v>26</v>
      </c>
      <c r="C248" s="9" t="s">
        <v>19</v>
      </c>
      <c r="D248" s="9" t="s">
        <v>12</v>
      </c>
      <c r="E248" s="9">
        <v>2015</v>
      </c>
      <c r="F248" s="9"/>
      <c r="G248" s="44">
        <f t="shared" si="18"/>
        <v>18.45461177696717</v>
      </c>
      <c r="H248" s="38">
        <v>18.404026589102855</v>
      </c>
      <c r="I248" s="38">
        <v>10.951040323460104</v>
      </c>
      <c r="J248" s="38">
        <v>28.042271912393211</v>
      </c>
      <c r="K248" s="24">
        <v>18.789473684210527</v>
      </c>
      <c r="L248" s="9">
        <v>0.98217821782178216</v>
      </c>
      <c r="M248" s="9"/>
      <c r="N248" s="9"/>
      <c r="O248" s="9"/>
      <c r="P248" s="9"/>
      <c r="Q248" s="9"/>
      <c r="R248" s="9"/>
      <c r="S248" s="9"/>
      <c r="T248" s="9"/>
      <c r="U248" s="9"/>
      <c r="V248" s="2"/>
      <c r="W248" s="2"/>
      <c r="X248" s="2"/>
      <c r="Y248" s="17"/>
      <c r="Z248" s="17"/>
      <c r="AA248" s="17"/>
      <c r="AB248" s="2"/>
      <c r="AC248" s="2"/>
      <c r="AD248" s="2"/>
      <c r="AF248" s="9"/>
    </row>
    <row r="249" spans="1:32" s="37" customFormat="1" x14ac:dyDescent="0.25">
      <c r="A249" s="9" t="s">
        <v>21</v>
      </c>
      <c r="B249" s="9" t="s">
        <v>26</v>
      </c>
      <c r="C249" s="9" t="s">
        <v>20</v>
      </c>
      <c r="D249" s="9" t="s">
        <v>12</v>
      </c>
      <c r="E249" s="9">
        <v>2015</v>
      </c>
      <c r="F249" s="9"/>
      <c r="G249" s="44">
        <f t="shared" si="18"/>
        <v>17.400062532569045</v>
      </c>
      <c r="H249" s="38">
        <v>17.45975238500937</v>
      </c>
      <c r="I249" s="38">
        <v>10.272228449336639</v>
      </c>
      <c r="J249" s="38">
        <v>26.673972037373851</v>
      </c>
      <c r="K249" s="24">
        <v>17.715789473684211</v>
      </c>
      <c r="L249" s="9">
        <v>0.98217821782178216</v>
      </c>
      <c r="M249" s="9"/>
      <c r="N249" s="9"/>
      <c r="O249" s="9"/>
      <c r="P249" s="9"/>
      <c r="Q249" s="9"/>
      <c r="R249" s="9"/>
      <c r="S249" s="9"/>
      <c r="T249" s="9"/>
      <c r="U249" s="9"/>
      <c r="V249" s="2"/>
      <c r="W249" s="2"/>
      <c r="X249" s="2"/>
      <c r="Y249" s="17"/>
      <c r="Z249" s="17"/>
      <c r="AA249" s="17"/>
      <c r="AB249" s="2"/>
      <c r="AC249" s="2"/>
      <c r="AD249" s="2"/>
      <c r="AF249" s="9"/>
    </row>
    <row r="250" spans="1:32" s="37" customFormat="1" x14ac:dyDescent="0.25">
      <c r="A250" s="9" t="s">
        <v>21</v>
      </c>
      <c r="B250" s="9" t="s">
        <v>26</v>
      </c>
      <c r="C250" s="9" t="s">
        <v>31</v>
      </c>
      <c r="D250" s="9" t="s">
        <v>15</v>
      </c>
      <c r="E250" s="9">
        <v>2015</v>
      </c>
      <c r="F250" s="9"/>
      <c r="G250" s="44">
        <f t="shared" si="18"/>
        <v>12.282397081813444</v>
      </c>
      <c r="H250" s="38">
        <v>12.305208784717937</v>
      </c>
      <c r="I250" s="38">
        <v>6.4403482823091327</v>
      </c>
      <c r="J250" s="38">
        <v>20.105736008376006</v>
      </c>
      <c r="K250" s="24">
        <v>12.505263157894737</v>
      </c>
      <c r="L250" s="9">
        <v>0.98217821782178216</v>
      </c>
      <c r="M250" s="9"/>
      <c r="N250" s="9"/>
      <c r="O250" s="9"/>
      <c r="P250" s="9"/>
      <c r="Q250" s="9"/>
      <c r="R250" s="9"/>
      <c r="S250" s="9"/>
      <c r="T250" s="9"/>
      <c r="U250" s="9"/>
      <c r="V250" s="2"/>
      <c r="W250" s="2"/>
      <c r="X250" s="2"/>
      <c r="Y250" s="17"/>
      <c r="Z250" s="17"/>
      <c r="AA250" s="17"/>
      <c r="AB250" s="2"/>
      <c r="AC250" s="2"/>
      <c r="AD250" s="2"/>
      <c r="AF250" s="9"/>
    </row>
    <row r="251" spans="1:32" s="37" customFormat="1" x14ac:dyDescent="0.25">
      <c r="A251" s="9" t="s">
        <v>21</v>
      </c>
      <c r="B251" s="9" t="s">
        <v>26</v>
      </c>
      <c r="C251" s="9" t="s">
        <v>19</v>
      </c>
      <c r="D251" s="9" t="s">
        <v>15</v>
      </c>
      <c r="E251" s="9">
        <v>2015</v>
      </c>
      <c r="F251" s="9"/>
      <c r="G251" s="44">
        <f t="shared" si="18"/>
        <v>15.921625846795205</v>
      </c>
      <c r="H251" s="38">
        <v>15.841887177280302</v>
      </c>
      <c r="I251" s="38">
        <v>9.1330244445798332</v>
      </c>
      <c r="J251" s="38">
        <v>24.400621635224116</v>
      </c>
      <c r="K251" s="24">
        <v>16.210526315789473</v>
      </c>
      <c r="L251" s="9">
        <v>0.98217821782178216</v>
      </c>
      <c r="M251" s="9"/>
      <c r="N251" s="9"/>
      <c r="O251" s="9"/>
      <c r="P251" s="9"/>
      <c r="Q251" s="9"/>
      <c r="R251" s="9"/>
      <c r="S251" s="9"/>
      <c r="T251" s="9"/>
      <c r="U251" s="9"/>
      <c r="V251" s="2"/>
      <c r="W251" s="2"/>
      <c r="X251" s="2"/>
      <c r="Y251" s="17"/>
      <c r="Z251" s="17"/>
      <c r="AA251" s="17"/>
      <c r="AB251" s="2"/>
      <c r="AC251" s="2"/>
      <c r="AD251" s="2"/>
      <c r="AF251" s="9"/>
    </row>
    <row r="252" spans="1:32" s="37" customFormat="1" x14ac:dyDescent="0.25">
      <c r="A252" s="9" t="s">
        <v>21</v>
      </c>
      <c r="B252" s="9" t="s">
        <v>26</v>
      </c>
      <c r="C252" s="9" t="s">
        <v>20</v>
      </c>
      <c r="D252" s="9" t="s">
        <v>15</v>
      </c>
      <c r="E252" s="9">
        <v>2015</v>
      </c>
      <c r="F252" s="9"/>
      <c r="G252" s="44">
        <f t="shared" si="18"/>
        <v>15.011818655549765</v>
      </c>
      <c r="H252" s="38">
        <v>15.01235397651441</v>
      </c>
      <c r="I252" s="38">
        <v>8.2458911712031018</v>
      </c>
      <c r="J252" s="38">
        <v>23.5165934550004</v>
      </c>
      <c r="K252" s="24">
        <v>15.284210526315789</v>
      </c>
      <c r="L252" s="9">
        <v>0.98217821782178216</v>
      </c>
      <c r="M252" s="9"/>
      <c r="N252" s="9"/>
      <c r="O252" s="9"/>
      <c r="P252" s="9"/>
      <c r="Q252" s="9"/>
      <c r="R252" s="9"/>
      <c r="S252" s="9"/>
      <c r="T252" s="9"/>
      <c r="U252" s="9"/>
      <c r="V252" s="2"/>
      <c r="W252" s="2"/>
      <c r="X252" s="2"/>
      <c r="Y252" s="17"/>
      <c r="Z252" s="17"/>
      <c r="AA252" s="17"/>
      <c r="AB252" s="2"/>
      <c r="AC252" s="2"/>
      <c r="AD252" s="2"/>
      <c r="AF252" s="9"/>
    </row>
    <row r="253" spans="1:32" s="37" customFormat="1" x14ac:dyDescent="0.25">
      <c r="A253" s="9" t="s">
        <v>21</v>
      </c>
      <c r="B253" s="9" t="s">
        <v>27</v>
      </c>
      <c r="C253" s="9" t="s">
        <v>31</v>
      </c>
      <c r="D253" s="9" t="s">
        <v>11</v>
      </c>
      <c r="E253" s="9">
        <v>2015</v>
      </c>
      <c r="F253" s="9"/>
      <c r="G253" s="44">
        <f t="shared" si="18"/>
        <v>19.643564356435643</v>
      </c>
      <c r="H253" s="38">
        <v>19.729923578188291</v>
      </c>
      <c r="I253" s="38">
        <v>11.948446094660007</v>
      </c>
      <c r="J253" s="38">
        <v>29.251751551302618</v>
      </c>
      <c r="K253" s="24">
        <v>20</v>
      </c>
      <c r="L253" s="9">
        <v>0.98217821782178216</v>
      </c>
      <c r="M253" s="9"/>
      <c r="N253" s="9"/>
      <c r="O253" s="9"/>
      <c r="P253" s="9"/>
      <c r="Q253" s="9"/>
      <c r="R253" s="9"/>
      <c r="S253" s="9"/>
      <c r="T253" s="9"/>
      <c r="U253" s="9"/>
      <c r="V253" s="2"/>
      <c r="W253" s="2"/>
      <c r="X253" s="2"/>
      <c r="Y253" s="17"/>
      <c r="Z253" s="17"/>
      <c r="AA253" s="17"/>
      <c r="AB253" s="2"/>
      <c r="AC253" s="2"/>
      <c r="AD253" s="2"/>
      <c r="AF253" s="9"/>
    </row>
    <row r="254" spans="1:32" s="37" customFormat="1" x14ac:dyDescent="0.25">
      <c r="A254" s="9" t="s">
        <v>21</v>
      </c>
      <c r="B254" s="9" t="s">
        <v>27</v>
      </c>
      <c r="C254" s="9" t="s">
        <v>19</v>
      </c>
      <c r="D254" s="9" t="s">
        <v>11</v>
      </c>
      <c r="E254" s="9">
        <v>2015</v>
      </c>
      <c r="F254" s="9"/>
      <c r="G254" s="44">
        <f t="shared" si="18"/>
        <v>11.786138613861386</v>
      </c>
      <c r="H254" s="38">
        <v>11.784003316558085</v>
      </c>
      <c r="I254" s="38">
        <v>6.0686547976917034</v>
      </c>
      <c r="J254" s="38">
        <v>19.334553766753142</v>
      </c>
      <c r="K254" s="24">
        <v>12</v>
      </c>
      <c r="L254" s="9">
        <v>0.98217821782178216</v>
      </c>
      <c r="M254" s="9"/>
      <c r="N254" s="9"/>
      <c r="O254" s="9"/>
      <c r="P254" s="9"/>
      <c r="Q254" s="9"/>
      <c r="R254" s="9"/>
      <c r="S254" s="9"/>
      <c r="T254" s="9"/>
      <c r="U254" s="9"/>
      <c r="V254" s="2"/>
      <c r="W254" s="2"/>
      <c r="X254" s="2"/>
      <c r="Y254" s="17"/>
      <c r="Z254" s="17"/>
      <c r="AA254" s="17"/>
      <c r="AB254" s="2"/>
      <c r="AC254" s="2"/>
      <c r="AD254" s="2"/>
      <c r="AF254" s="9"/>
    </row>
    <row r="255" spans="1:32" s="37" customFormat="1" x14ac:dyDescent="0.25">
      <c r="A255" s="9" t="s">
        <v>21</v>
      </c>
      <c r="B255" s="9" t="s">
        <v>27</v>
      </c>
      <c r="C255" s="9" t="s">
        <v>20</v>
      </c>
      <c r="D255" s="9" t="s">
        <v>11</v>
      </c>
      <c r="E255" s="9">
        <v>2015</v>
      </c>
      <c r="F255" s="9"/>
      <c r="G255" s="44">
        <f t="shared" si="18"/>
        <v>19.643564356435643</v>
      </c>
      <c r="H255" s="38">
        <v>19.654482501102692</v>
      </c>
      <c r="I255" s="38">
        <v>11.969710135692377</v>
      </c>
      <c r="J255" s="38">
        <v>29.274247428438706</v>
      </c>
      <c r="K255" s="24">
        <v>20</v>
      </c>
      <c r="L255" s="9">
        <v>0.98217821782178216</v>
      </c>
      <c r="M255" s="9"/>
      <c r="N255" s="9"/>
      <c r="O255" s="9"/>
      <c r="P255" s="9"/>
      <c r="Q255" s="9"/>
      <c r="R255" s="9"/>
      <c r="S255" s="9"/>
      <c r="T255" s="9"/>
      <c r="U255" s="9"/>
      <c r="V255" s="2"/>
      <c r="W255" s="2"/>
      <c r="X255" s="2"/>
      <c r="Y255" s="17"/>
      <c r="Z255" s="17"/>
      <c r="AA255" s="17"/>
      <c r="AB255" s="2"/>
      <c r="AC255" s="2"/>
      <c r="AD255" s="2"/>
      <c r="AF255" s="9"/>
    </row>
    <row r="256" spans="1:32" s="37" customFormat="1" x14ac:dyDescent="0.25">
      <c r="A256" s="9" t="s">
        <v>21</v>
      </c>
      <c r="B256" s="9" t="s">
        <v>28</v>
      </c>
      <c r="C256" s="9" t="s">
        <v>31</v>
      </c>
      <c r="D256" s="9" t="s">
        <v>12</v>
      </c>
      <c r="E256" s="9">
        <v>2015</v>
      </c>
      <c r="F256" s="9"/>
      <c r="G256" s="44">
        <f t="shared" si="18"/>
        <v>2.8623479490806223</v>
      </c>
      <c r="H256" s="38">
        <v>2.8594920873330887</v>
      </c>
      <c r="I256" s="38">
        <v>0.55465596040329601</v>
      </c>
      <c r="J256" s="38">
        <v>6.982604124932557</v>
      </c>
      <c r="K256" s="24">
        <v>2.9142857142857141</v>
      </c>
      <c r="L256" s="9">
        <v>0.98217821782178216</v>
      </c>
      <c r="M256" s="9"/>
      <c r="N256" s="9"/>
      <c r="O256" s="9"/>
      <c r="P256" s="9"/>
      <c r="Q256" s="9"/>
      <c r="R256" s="9"/>
      <c r="S256" s="9"/>
      <c r="T256" s="9"/>
      <c r="U256" s="9"/>
      <c r="V256" s="2"/>
      <c r="W256" s="2"/>
      <c r="X256" s="2"/>
      <c r="Y256" s="17"/>
      <c r="Z256" s="17"/>
      <c r="AA256" s="17"/>
      <c r="AB256" s="2"/>
      <c r="AC256" s="2"/>
      <c r="AD256" s="2"/>
      <c r="AF256" s="9"/>
    </row>
    <row r="257" spans="1:32" s="37" customFormat="1" x14ac:dyDescent="0.25">
      <c r="A257" s="9" t="s">
        <v>21</v>
      </c>
      <c r="B257" s="9" t="s">
        <v>28</v>
      </c>
      <c r="C257" s="9" t="s">
        <v>19</v>
      </c>
      <c r="D257" s="9" t="s">
        <v>12</v>
      </c>
      <c r="E257" s="9">
        <v>2015</v>
      </c>
      <c r="F257" s="9"/>
      <c r="G257" s="44">
        <f t="shared" si="18"/>
        <v>5.4721357850070715</v>
      </c>
      <c r="H257" s="38">
        <v>5.4728262477282357</v>
      </c>
      <c r="I257" s="38">
        <v>1.9293623926871144</v>
      </c>
      <c r="J257" s="38">
        <v>10.890368246998486</v>
      </c>
      <c r="K257" s="24">
        <v>5.5714285714285712</v>
      </c>
      <c r="L257" s="9">
        <v>0.98217821782178216</v>
      </c>
      <c r="M257" s="9"/>
      <c r="N257" s="9"/>
      <c r="O257" s="9"/>
      <c r="P257" s="9"/>
      <c r="Q257" s="9"/>
      <c r="R257" s="9"/>
      <c r="S257" s="9"/>
      <c r="T257" s="9"/>
      <c r="U257" s="9"/>
      <c r="V257" s="2"/>
      <c r="W257" s="2"/>
      <c r="X257" s="2"/>
      <c r="Y257" s="17"/>
      <c r="Z257" s="17"/>
      <c r="AA257" s="17"/>
      <c r="AB257" s="2"/>
      <c r="AC257" s="2"/>
      <c r="AD257" s="2"/>
      <c r="AF257" s="9"/>
    </row>
    <row r="258" spans="1:32" s="37" customFormat="1" x14ac:dyDescent="0.25">
      <c r="A258" s="9" t="s">
        <v>21</v>
      </c>
      <c r="B258" s="9" t="s">
        <v>28</v>
      </c>
      <c r="C258" s="9" t="s">
        <v>20</v>
      </c>
      <c r="D258" s="9" t="s">
        <v>12</v>
      </c>
      <c r="E258" s="9">
        <v>2015</v>
      </c>
      <c r="F258" s="9"/>
      <c r="G258" s="44">
        <f t="shared" si="18"/>
        <v>6.3981895332390382</v>
      </c>
      <c r="H258" s="38">
        <v>6.3903236520606246</v>
      </c>
      <c r="I258" s="38">
        <v>2.4369796465975138</v>
      </c>
      <c r="J258" s="38">
        <v>12.343535294613064</v>
      </c>
      <c r="K258" s="24">
        <v>6.5142857142857142</v>
      </c>
      <c r="L258" s="9">
        <v>0.98217821782178216</v>
      </c>
      <c r="M258" s="9"/>
      <c r="N258" s="9"/>
      <c r="O258" s="9"/>
      <c r="P258" s="9"/>
      <c r="Q258" s="9"/>
      <c r="R258" s="9"/>
      <c r="S258" s="9"/>
      <c r="T258" s="9"/>
      <c r="U258" s="9"/>
      <c r="V258" s="2"/>
      <c r="W258" s="2"/>
      <c r="X258" s="2"/>
      <c r="Y258" s="17"/>
      <c r="Z258" s="17"/>
      <c r="AA258" s="17"/>
      <c r="AB258" s="2"/>
      <c r="AC258" s="2"/>
      <c r="AD258" s="2"/>
      <c r="AF258" s="9"/>
    </row>
    <row r="259" spans="1:32" s="37" customFormat="1" x14ac:dyDescent="0.25">
      <c r="A259" s="9" t="s">
        <v>21</v>
      </c>
      <c r="B259" s="9" t="s">
        <v>28</v>
      </c>
      <c r="C259" s="9" t="s">
        <v>31</v>
      </c>
      <c r="D259" s="9" t="s">
        <v>15</v>
      </c>
      <c r="E259" s="9">
        <v>2015</v>
      </c>
      <c r="F259" s="9"/>
      <c r="G259" s="44">
        <f t="shared" si="18"/>
        <v>30.53171145685997</v>
      </c>
      <c r="H259" s="38">
        <v>30.564137836481475</v>
      </c>
      <c r="I259" s="38">
        <v>20.772675013290865</v>
      </c>
      <c r="J259" s="38">
        <v>42.644695425406468</v>
      </c>
      <c r="K259" s="24">
        <v>31.085714285714285</v>
      </c>
      <c r="L259" s="9">
        <v>0.98217821782178216</v>
      </c>
      <c r="M259" s="9"/>
      <c r="N259" s="9"/>
      <c r="O259" s="9"/>
      <c r="P259" s="9"/>
      <c r="Q259" s="9"/>
      <c r="R259" s="9"/>
      <c r="S259" s="9"/>
      <c r="T259" s="9"/>
      <c r="U259" s="9"/>
      <c r="V259" s="2"/>
      <c r="W259" s="2"/>
      <c r="X259" s="2"/>
      <c r="Y259" s="17"/>
      <c r="Z259" s="17"/>
      <c r="AA259" s="17"/>
      <c r="AB259" s="2"/>
      <c r="AC259" s="2"/>
      <c r="AD259" s="2"/>
      <c r="AF259" s="9"/>
    </row>
    <row r="260" spans="1:32" s="37" customFormat="1" x14ac:dyDescent="0.25">
      <c r="A260" s="9" t="s">
        <v>21</v>
      </c>
      <c r="B260" s="9" t="s">
        <v>28</v>
      </c>
      <c r="C260" s="9" t="s">
        <v>19</v>
      </c>
      <c r="D260" s="9" t="s">
        <v>15</v>
      </c>
      <c r="E260" s="9">
        <v>2015</v>
      </c>
      <c r="F260" s="9"/>
      <c r="G260" s="44">
        <f t="shared" si="18"/>
        <v>58.369448373408765</v>
      </c>
      <c r="H260" s="38">
        <v>58.426771580976251</v>
      </c>
      <c r="I260" s="38">
        <v>44.456046505133202</v>
      </c>
      <c r="J260" s="38">
        <v>74.27339913215927</v>
      </c>
      <c r="K260" s="24">
        <v>59.428571428571423</v>
      </c>
      <c r="L260" s="9">
        <v>0.98217821782178216</v>
      </c>
      <c r="M260" s="9"/>
      <c r="N260" s="9"/>
      <c r="O260" s="9"/>
      <c r="P260" s="9"/>
      <c r="Q260" s="9"/>
      <c r="R260" s="9"/>
      <c r="S260" s="9"/>
      <c r="T260" s="9"/>
      <c r="U260" s="9"/>
      <c r="V260" s="2"/>
      <c r="W260" s="2"/>
      <c r="X260" s="2"/>
      <c r="Y260" s="17"/>
      <c r="Z260" s="17"/>
      <c r="AA260" s="17"/>
      <c r="AB260" s="2"/>
      <c r="AC260" s="2"/>
      <c r="AD260" s="2"/>
      <c r="AF260" s="9"/>
    </row>
    <row r="261" spans="1:32" s="37" customFormat="1" x14ac:dyDescent="0.25">
      <c r="A261" s="9" t="s">
        <v>21</v>
      </c>
      <c r="B261" s="9" t="s">
        <v>28</v>
      </c>
      <c r="C261" s="9" t="s">
        <v>20</v>
      </c>
      <c r="D261" s="9" t="s">
        <v>15</v>
      </c>
      <c r="E261" s="9">
        <v>2015</v>
      </c>
      <c r="F261" s="9"/>
      <c r="G261" s="44">
        <f t="shared" si="18"/>
        <v>68.247355021216407</v>
      </c>
      <c r="H261" s="38">
        <v>68.17078625149091</v>
      </c>
      <c r="I261" s="38">
        <v>52.754022161592623</v>
      </c>
      <c r="J261" s="38">
        <v>85.171628078094358</v>
      </c>
      <c r="K261" s="24">
        <v>69.48571428571428</v>
      </c>
      <c r="L261" s="9">
        <v>0.98217821782178216</v>
      </c>
      <c r="M261" s="9"/>
      <c r="N261" s="9"/>
      <c r="O261" s="9"/>
      <c r="P261" s="9"/>
      <c r="Q261" s="9"/>
      <c r="R261" s="9"/>
      <c r="S261" s="9"/>
      <c r="T261" s="9"/>
      <c r="U261" s="9"/>
      <c r="V261" s="2"/>
      <c r="W261" s="2"/>
      <c r="X261" s="2"/>
      <c r="Y261" s="17"/>
      <c r="Z261" s="17"/>
      <c r="AA261" s="17"/>
      <c r="AB261" s="2"/>
      <c r="AC261" s="2"/>
      <c r="AD261" s="2"/>
      <c r="AF261" s="9"/>
    </row>
    <row r="262" spans="1:32" x14ac:dyDescent="0.25">
      <c r="A262" s="9" t="s">
        <v>22</v>
      </c>
      <c r="B262" s="9" t="s">
        <v>11</v>
      </c>
      <c r="C262" s="9" t="s">
        <v>11</v>
      </c>
      <c r="D262" s="9" t="s">
        <v>11</v>
      </c>
      <c r="E262" s="9">
        <v>2015</v>
      </c>
      <c r="F262" s="44">
        <f>M262*N262</f>
        <v>565.6484778420039</v>
      </c>
      <c r="G262" s="51">
        <f t="shared" si="18"/>
        <v>473</v>
      </c>
      <c r="H262" s="39">
        <v>565.76790000000005</v>
      </c>
      <c r="I262" s="39">
        <v>520</v>
      </c>
      <c r="J262" s="39">
        <v>611</v>
      </c>
      <c r="K262" s="51">
        <v>545</v>
      </c>
      <c r="L262" s="52">
        <v>0.86788990825688073</v>
      </c>
      <c r="M262" s="44">
        <v>622</v>
      </c>
      <c r="N262" s="46">
        <v>0.9094026974951831</v>
      </c>
      <c r="O262" s="9"/>
      <c r="P262" s="9"/>
      <c r="Q262" s="9"/>
      <c r="R262" s="9"/>
      <c r="S262" s="9"/>
      <c r="T262" s="9"/>
      <c r="U262" s="9"/>
      <c r="V262" s="2"/>
      <c r="W262" s="2"/>
      <c r="X262" s="2"/>
      <c r="Y262" s="17"/>
      <c r="Z262" s="17"/>
      <c r="AA262" s="17"/>
      <c r="AB262" s="2"/>
      <c r="AC262" s="2"/>
      <c r="AD262" s="2"/>
      <c r="AF262" s="9"/>
    </row>
    <row r="263" spans="1:32" x14ac:dyDescent="0.25">
      <c r="A263" s="9" t="s">
        <v>22</v>
      </c>
      <c r="B263" s="9" t="s">
        <v>11</v>
      </c>
      <c r="C263" s="9" t="s">
        <v>19</v>
      </c>
      <c r="D263" s="9" t="s">
        <v>11</v>
      </c>
      <c r="E263" s="9">
        <v>2015</v>
      </c>
      <c r="F263" s="44">
        <f t="shared" ref="F263:F282" si="31">M263*N263</f>
        <v>170.96770712909444</v>
      </c>
      <c r="G263" s="51">
        <f t="shared" si="18"/>
        <v>140.59816513761467</v>
      </c>
      <c r="H263" s="39"/>
      <c r="I263" s="39"/>
      <c r="J263" s="39"/>
      <c r="K263" s="51">
        <v>162</v>
      </c>
      <c r="L263" s="52">
        <v>0.86788990825688073</v>
      </c>
      <c r="M263" s="44">
        <v>188</v>
      </c>
      <c r="N263" s="46">
        <v>0.9094026974951831</v>
      </c>
      <c r="O263" s="9"/>
      <c r="P263" s="9"/>
      <c r="Q263" s="9"/>
      <c r="R263" s="9"/>
      <c r="S263" s="9"/>
      <c r="T263" s="9"/>
      <c r="U263" s="9"/>
      <c r="V263" s="2"/>
      <c r="W263" s="2"/>
      <c r="X263" s="2"/>
      <c r="Y263" s="17"/>
      <c r="Z263" s="17"/>
      <c r="AA263" s="17"/>
      <c r="AB263" s="2"/>
      <c r="AC263" s="2"/>
      <c r="AD263" s="2"/>
      <c r="AF263" s="9"/>
    </row>
    <row r="264" spans="1:32" x14ac:dyDescent="0.25">
      <c r="A264" s="9" t="s">
        <v>22</v>
      </c>
      <c r="B264" s="9" t="s">
        <v>24</v>
      </c>
      <c r="C264" s="9" t="s">
        <v>11</v>
      </c>
      <c r="D264" s="9" t="s">
        <v>11</v>
      </c>
      <c r="E264" s="9">
        <v>2015</v>
      </c>
      <c r="F264" s="44">
        <f t="shared" si="31"/>
        <v>377.40211946050101</v>
      </c>
      <c r="G264" s="51">
        <f t="shared" si="18"/>
        <v>313.30825688073395</v>
      </c>
      <c r="H264" s="39"/>
      <c r="I264" s="39"/>
      <c r="J264" s="39"/>
      <c r="K264" s="51">
        <v>361</v>
      </c>
      <c r="L264" s="52">
        <v>0.86788990825688073</v>
      </c>
      <c r="M264" s="44">
        <v>415</v>
      </c>
      <c r="N264" s="46">
        <v>0.9094026974951831</v>
      </c>
      <c r="O264" s="9"/>
      <c r="P264" s="9"/>
      <c r="Q264" s="9"/>
      <c r="R264" s="9"/>
      <c r="S264" s="9"/>
      <c r="T264" s="9"/>
      <c r="U264" s="9"/>
      <c r="V264" s="2"/>
      <c r="W264" s="2"/>
      <c r="X264" s="2"/>
      <c r="Y264" s="17"/>
      <c r="Z264" s="17"/>
      <c r="AA264" s="17"/>
      <c r="AB264" s="2"/>
      <c r="AC264" s="2"/>
      <c r="AD264" s="2"/>
      <c r="AF264" s="9"/>
    </row>
    <row r="265" spans="1:32" s="37" customFormat="1" x14ac:dyDescent="0.25">
      <c r="A265" s="9" t="s">
        <v>22</v>
      </c>
      <c r="B265" s="9" t="s">
        <v>24</v>
      </c>
      <c r="C265" s="9" t="s">
        <v>31</v>
      </c>
      <c r="D265" s="9" t="s">
        <v>11</v>
      </c>
      <c r="E265" s="9">
        <v>2015</v>
      </c>
      <c r="F265" s="44">
        <f t="shared" si="31"/>
        <v>148.23263969171484</v>
      </c>
      <c r="G265" s="51">
        <f t="shared" si="18"/>
        <v>119.76880733944954</v>
      </c>
      <c r="H265" s="39">
        <v>148.23838863448884</v>
      </c>
      <c r="I265" s="39">
        <v>125.26046209266813</v>
      </c>
      <c r="J265" s="39">
        <v>173.21902600676674</v>
      </c>
      <c r="K265" s="51">
        <v>138</v>
      </c>
      <c r="L265" s="52">
        <v>0.86788990825688073</v>
      </c>
      <c r="M265" s="44">
        <v>163</v>
      </c>
      <c r="N265" s="46">
        <v>0.9094026974951831</v>
      </c>
      <c r="O265" s="9"/>
      <c r="P265" s="9"/>
      <c r="Q265" s="9"/>
      <c r="R265" s="9"/>
      <c r="S265" s="9"/>
      <c r="T265" s="9"/>
      <c r="U265" s="9"/>
      <c r="V265" s="2"/>
      <c r="W265" s="2"/>
      <c r="X265" s="2"/>
      <c r="Y265" s="17"/>
      <c r="Z265" s="17"/>
      <c r="AA265" s="17"/>
      <c r="AB265" s="2"/>
      <c r="AC265" s="2"/>
      <c r="AD265" s="2"/>
      <c r="AF265" s="9"/>
    </row>
    <row r="266" spans="1:32" s="37" customFormat="1" x14ac:dyDescent="0.25">
      <c r="A266" s="9" t="s">
        <v>22</v>
      </c>
      <c r="B266" s="9" t="s">
        <v>24</v>
      </c>
      <c r="C266" s="9" t="s">
        <v>19</v>
      </c>
      <c r="D266" s="9" t="s">
        <v>11</v>
      </c>
      <c r="E266" s="9">
        <v>2015</v>
      </c>
      <c r="F266" s="44">
        <f t="shared" si="31"/>
        <v>95.48728323699423</v>
      </c>
      <c r="G266" s="51">
        <f t="shared" ref="G266:G282" si="32">K266*L266</f>
        <v>76.3743119266055</v>
      </c>
      <c r="H266" s="39">
        <v>95.528802817983674</v>
      </c>
      <c r="I266" s="39">
        <v>77.181577158274933</v>
      </c>
      <c r="J266" s="39">
        <v>115.88143835680492</v>
      </c>
      <c r="K266" s="51">
        <v>88</v>
      </c>
      <c r="L266" s="52">
        <v>0.86788990825688073</v>
      </c>
      <c r="M266" s="44">
        <v>105</v>
      </c>
      <c r="N266" s="46">
        <v>0.9094026974951831</v>
      </c>
      <c r="O266" s="9"/>
      <c r="P266" s="9"/>
      <c r="Q266" s="9"/>
      <c r="R266" s="9"/>
      <c r="S266" s="9"/>
      <c r="T266" s="9"/>
      <c r="U266" s="9"/>
      <c r="V266" s="2"/>
      <c r="W266" s="2"/>
      <c r="X266" s="2"/>
      <c r="Y266" s="17"/>
      <c r="Z266" s="17"/>
      <c r="AA266" s="17"/>
      <c r="AB266" s="2"/>
      <c r="AC266" s="2"/>
      <c r="AD266" s="2"/>
      <c r="AF266" s="9"/>
    </row>
    <row r="267" spans="1:32" s="37" customFormat="1" x14ac:dyDescent="0.25">
      <c r="A267" s="9" t="s">
        <v>22</v>
      </c>
      <c r="B267" s="9" t="s">
        <v>24</v>
      </c>
      <c r="C267" s="9" t="s">
        <v>20</v>
      </c>
      <c r="D267" s="9" t="s">
        <v>11</v>
      </c>
      <c r="E267" s="9">
        <v>2015</v>
      </c>
      <c r="F267" s="44">
        <f t="shared" si="31"/>
        <v>133.6821965317919</v>
      </c>
      <c r="G267" s="51">
        <f t="shared" si="32"/>
        <v>117.1651376146789</v>
      </c>
      <c r="H267" s="39">
        <v>133.70501626643576</v>
      </c>
      <c r="I267" s="39">
        <v>111.98083795840331</v>
      </c>
      <c r="J267" s="39">
        <v>157.22334924391731</v>
      </c>
      <c r="K267" s="51">
        <v>135</v>
      </c>
      <c r="L267" s="52">
        <v>0.86788990825688073</v>
      </c>
      <c r="M267" s="44">
        <v>147</v>
      </c>
      <c r="N267" s="46">
        <v>0.9094026974951831</v>
      </c>
      <c r="O267" s="9"/>
      <c r="P267" s="9"/>
      <c r="Q267" s="9"/>
      <c r="R267" s="9"/>
      <c r="S267" s="9"/>
      <c r="T267" s="9"/>
      <c r="U267" s="9"/>
      <c r="V267" s="2"/>
      <c r="W267" s="2"/>
      <c r="X267" s="2"/>
      <c r="Y267" s="17"/>
      <c r="Z267" s="17"/>
      <c r="AA267" s="17"/>
      <c r="AB267" s="2"/>
      <c r="AC267" s="2"/>
      <c r="AD267" s="2"/>
      <c r="AF267" s="9"/>
    </row>
    <row r="268" spans="1:32" s="37" customFormat="1" x14ac:dyDescent="0.25">
      <c r="A268" s="9" t="s">
        <v>22</v>
      </c>
      <c r="B268" s="9" t="s">
        <v>26</v>
      </c>
      <c r="C268" s="9" t="s">
        <v>31</v>
      </c>
      <c r="D268" s="9" t="s">
        <v>12</v>
      </c>
      <c r="E268" s="9">
        <v>2015</v>
      </c>
      <c r="F268" s="44">
        <f t="shared" si="31"/>
        <v>12.635911165196228</v>
      </c>
      <c r="G268" s="51">
        <f t="shared" si="32"/>
        <v>11.508457961543295</v>
      </c>
      <c r="H268" s="39">
        <v>12.637840844483158</v>
      </c>
      <c r="I268" s="39">
        <v>6.7506687507849916</v>
      </c>
      <c r="J268" s="39">
        <v>20.62769593361168</v>
      </c>
      <c r="K268" s="51">
        <v>13.260273972602739</v>
      </c>
      <c r="L268" s="52">
        <v>0.86788990825688073</v>
      </c>
      <c r="M268" s="44">
        <v>13.894736842105264</v>
      </c>
      <c r="N268" s="46">
        <v>0.9094026974951831</v>
      </c>
      <c r="O268" s="9"/>
      <c r="P268" s="9"/>
      <c r="Q268" s="9"/>
      <c r="R268" s="9"/>
      <c r="S268" s="9"/>
      <c r="T268" s="9"/>
      <c r="U268" s="9"/>
      <c r="V268" s="2"/>
      <c r="W268" s="2"/>
      <c r="X268" s="2"/>
      <c r="Y268" s="17"/>
      <c r="Z268" s="17"/>
      <c r="AA268" s="17"/>
      <c r="AB268" s="2"/>
      <c r="AC268" s="2"/>
      <c r="AD268" s="2"/>
      <c r="AF268" s="9"/>
    </row>
    <row r="269" spans="1:32" s="37" customFormat="1" x14ac:dyDescent="0.25">
      <c r="A269" s="9" t="s">
        <v>22</v>
      </c>
      <c r="B269" s="9" t="s">
        <v>26</v>
      </c>
      <c r="C269" s="9" t="s">
        <v>19</v>
      </c>
      <c r="D269" s="9" t="s">
        <v>12</v>
      </c>
      <c r="E269" s="9">
        <v>2015</v>
      </c>
      <c r="F269" s="44">
        <f t="shared" si="31"/>
        <v>18.427370449244499</v>
      </c>
      <c r="G269" s="51">
        <f t="shared" si="32"/>
        <v>16.739575216790247</v>
      </c>
      <c r="H269" s="39">
        <v>18.384993076255924</v>
      </c>
      <c r="I269" s="39">
        <v>11.022391195941356</v>
      </c>
      <c r="J269" s="39">
        <v>27.886262291316832</v>
      </c>
      <c r="K269" s="51">
        <v>19.287671232876711</v>
      </c>
      <c r="L269" s="52">
        <v>0.86788990825688073</v>
      </c>
      <c r="M269" s="44">
        <v>20.263157894736842</v>
      </c>
      <c r="N269" s="46">
        <v>0.9094026974951831</v>
      </c>
      <c r="O269" s="9"/>
      <c r="P269" s="9"/>
      <c r="Q269" s="9"/>
      <c r="R269" s="9"/>
      <c r="S269" s="9"/>
      <c r="T269" s="9"/>
      <c r="U269" s="9"/>
      <c r="V269" s="2"/>
      <c r="W269" s="2"/>
      <c r="X269" s="2"/>
      <c r="Y269" s="17"/>
      <c r="Z269" s="17"/>
      <c r="AA269" s="17"/>
      <c r="AB269" s="2"/>
      <c r="AC269" s="2"/>
      <c r="AD269" s="2"/>
      <c r="AF269" s="9"/>
    </row>
    <row r="270" spans="1:32" s="37" customFormat="1" x14ac:dyDescent="0.25">
      <c r="A270" s="9" t="s">
        <v>22</v>
      </c>
      <c r="B270" s="9" t="s">
        <v>26</v>
      </c>
      <c r="C270" s="9" t="s">
        <v>20</v>
      </c>
      <c r="D270" s="9" t="s">
        <v>12</v>
      </c>
      <c r="E270" s="9">
        <v>2015</v>
      </c>
      <c r="F270" s="44">
        <f t="shared" si="31"/>
        <v>8.4239407767974868</v>
      </c>
      <c r="G270" s="51">
        <f t="shared" si="32"/>
        <v>7.3235641573457331</v>
      </c>
      <c r="H270" s="39">
        <v>8.4345557279899364</v>
      </c>
      <c r="I270" s="39">
        <v>3.8817240963795698</v>
      </c>
      <c r="J270" s="39">
        <v>14.999315344473574</v>
      </c>
      <c r="K270" s="51">
        <v>8.4383561643835616</v>
      </c>
      <c r="L270" s="52">
        <v>0.86788990825688073</v>
      </c>
      <c r="M270" s="44">
        <v>9.2631578947368425</v>
      </c>
      <c r="N270" s="46">
        <v>0.9094026974951831</v>
      </c>
      <c r="O270" s="9"/>
      <c r="P270" s="9"/>
      <c r="Q270" s="9"/>
      <c r="R270" s="9"/>
      <c r="S270" s="9"/>
      <c r="T270" s="9"/>
      <c r="U270" s="9"/>
      <c r="V270" s="2"/>
      <c r="W270" s="2"/>
      <c r="X270" s="2"/>
      <c r="Y270" s="17"/>
      <c r="Z270" s="17"/>
      <c r="AA270" s="17"/>
      <c r="AB270" s="2"/>
      <c r="AC270" s="2"/>
      <c r="AD270" s="2"/>
      <c r="AF270" s="9"/>
    </row>
    <row r="271" spans="1:32" x14ac:dyDescent="0.25">
      <c r="A271" s="9" t="s">
        <v>22</v>
      </c>
      <c r="B271" t="s">
        <v>26</v>
      </c>
      <c r="C271" t="s">
        <v>31</v>
      </c>
      <c r="D271" t="s">
        <v>15</v>
      </c>
      <c r="E271">
        <v>2015</v>
      </c>
      <c r="F271" s="44">
        <f t="shared" si="31"/>
        <v>9.1897535746881651</v>
      </c>
      <c r="G271" s="51">
        <f t="shared" si="32"/>
        <v>7.5851200201080813</v>
      </c>
      <c r="H271" s="39">
        <v>9.1234170818589089</v>
      </c>
      <c r="I271" s="39">
        <v>4.1889411999353143</v>
      </c>
      <c r="J271" s="39">
        <v>15.911241015135095</v>
      </c>
      <c r="K271" s="53">
        <v>8.7397260273972606</v>
      </c>
      <c r="L271" s="54">
        <v>0.86788990825688073</v>
      </c>
      <c r="M271" s="47">
        <v>10.105263157894736</v>
      </c>
      <c r="N271" s="43">
        <v>0.9094026974951831</v>
      </c>
      <c r="V271" s="2"/>
      <c r="W271" s="2"/>
      <c r="X271" s="2"/>
      <c r="Y271" s="2"/>
      <c r="Z271" s="2"/>
      <c r="AA271" s="2"/>
      <c r="AB271" s="2"/>
      <c r="AC271" s="2"/>
      <c r="AD271" s="2"/>
      <c r="AF271" s="9"/>
    </row>
    <row r="272" spans="1:32" x14ac:dyDescent="0.25">
      <c r="A272" s="9" t="s">
        <v>22</v>
      </c>
      <c r="B272" t="s">
        <v>26</v>
      </c>
      <c r="C272" t="s">
        <v>19</v>
      </c>
      <c r="D272" t="s">
        <v>15</v>
      </c>
      <c r="E272">
        <v>2015</v>
      </c>
      <c r="F272" s="44">
        <f t="shared" si="31"/>
        <v>13.401723963086908</v>
      </c>
      <c r="G272" s="51">
        <f t="shared" si="32"/>
        <v>11.032901847429935</v>
      </c>
      <c r="H272" s="39">
        <v>13.358011323830134</v>
      </c>
      <c r="I272" s="39">
        <v>7.193588910120166</v>
      </c>
      <c r="J272" s="39">
        <v>21.579629693927593</v>
      </c>
      <c r="K272" s="53">
        <v>12.712328767123287</v>
      </c>
      <c r="L272" s="54">
        <v>0.86788990825688073</v>
      </c>
      <c r="M272" s="47">
        <v>14.736842105263158</v>
      </c>
      <c r="N272" s="43">
        <v>0.9094026974951831</v>
      </c>
      <c r="V272" s="2"/>
      <c r="W272" s="2"/>
      <c r="X272" s="2"/>
      <c r="Y272" s="2"/>
      <c r="Z272" s="2"/>
      <c r="AA272" s="2"/>
      <c r="AB272" s="2"/>
      <c r="AC272" s="2"/>
      <c r="AD272" s="2"/>
      <c r="AF272" s="9"/>
    </row>
    <row r="273" spans="1:32" x14ac:dyDescent="0.25">
      <c r="A273" s="9" t="s">
        <v>22</v>
      </c>
      <c r="B273" t="s">
        <v>26</v>
      </c>
      <c r="C273" t="s">
        <v>20</v>
      </c>
      <c r="D273" t="s">
        <v>15</v>
      </c>
      <c r="E273">
        <v>2015</v>
      </c>
      <c r="F273" s="44">
        <f t="shared" si="31"/>
        <v>6.1265023831254437</v>
      </c>
      <c r="G273" s="51">
        <f t="shared" si="32"/>
        <v>4.8268945582505971</v>
      </c>
      <c r="H273" s="39">
        <v>6.1449568956015233</v>
      </c>
      <c r="I273" s="39">
        <v>2.2856142347508879</v>
      </c>
      <c r="J273" s="39">
        <v>11.94914191250602</v>
      </c>
      <c r="K273" s="53">
        <v>5.5616438356164384</v>
      </c>
      <c r="L273" s="54">
        <v>0.86788990825688073</v>
      </c>
      <c r="M273" s="47">
        <v>6.7368421052631575</v>
      </c>
      <c r="N273" s="43">
        <v>0.9094026974951831</v>
      </c>
      <c r="V273" s="2"/>
      <c r="W273" s="2"/>
      <c r="X273" s="2"/>
      <c r="Y273" s="2"/>
      <c r="Z273" s="2"/>
      <c r="AA273" s="2"/>
      <c r="AB273" s="2"/>
      <c r="AC273" s="2"/>
      <c r="AD273" s="2"/>
      <c r="AF273" s="9"/>
    </row>
    <row r="274" spans="1:32" s="37" customFormat="1" x14ac:dyDescent="0.25">
      <c r="A274" s="9" t="s">
        <v>22</v>
      </c>
      <c r="B274" s="9" t="s">
        <v>27</v>
      </c>
      <c r="C274" s="9" t="s">
        <v>31</v>
      </c>
      <c r="D274" s="9" t="s">
        <v>11</v>
      </c>
      <c r="E274" s="9">
        <v>2015</v>
      </c>
      <c r="F274" s="44">
        <f t="shared" si="31"/>
        <v>23.644470134874762</v>
      </c>
      <c r="G274" s="51">
        <f t="shared" si="32"/>
        <v>18.225688073394494</v>
      </c>
      <c r="H274" s="39">
        <v>23.668650518729905</v>
      </c>
      <c r="I274" s="39">
        <v>15.240250853737894</v>
      </c>
      <c r="J274" s="39">
        <v>34.142304673783855</v>
      </c>
      <c r="K274" s="53">
        <v>21</v>
      </c>
      <c r="L274" s="54">
        <v>0.86788990825688073</v>
      </c>
      <c r="M274" s="47">
        <v>26</v>
      </c>
      <c r="N274" s="43">
        <v>0.9094026974951831</v>
      </c>
      <c r="V274" s="2"/>
      <c r="W274" s="2"/>
      <c r="X274" s="2"/>
      <c r="Y274" s="2"/>
      <c r="Z274" s="2"/>
      <c r="AA274" s="2"/>
      <c r="AB274" s="2"/>
      <c r="AC274" s="2"/>
      <c r="AD274" s="2"/>
      <c r="AF274" s="9"/>
    </row>
    <row r="275" spans="1:32" s="37" customFormat="1" x14ac:dyDescent="0.25">
      <c r="A275" s="9" t="s">
        <v>22</v>
      </c>
      <c r="B275" s="9" t="s">
        <v>27</v>
      </c>
      <c r="C275" s="9" t="s">
        <v>19</v>
      </c>
      <c r="D275" s="9" t="s">
        <v>11</v>
      </c>
      <c r="E275" s="9">
        <v>2015</v>
      </c>
      <c r="F275" s="44">
        <f t="shared" si="31"/>
        <v>16.369248554913295</v>
      </c>
      <c r="G275" s="51">
        <f t="shared" si="32"/>
        <v>13.01834862385321</v>
      </c>
      <c r="H275" s="39">
        <v>16.362075767256311</v>
      </c>
      <c r="I275" s="39">
        <v>9.3911204293830739</v>
      </c>
      <c r="J275" s="39">
        <v>25.040766232378598</v>
      </c>
      <c r="K275" s="53">
        <v>15</v>
      </c>
      <c r="L275" s="54">
        <v>0.86788990825688073</v>
      </c>
      <c r="M275" s="47">
        <v>18</v>
      </c>
      <c r="N275" s="43">
        <v>0.9094026974951831</v>
      </c>
      <c r="V275" s="2"/>
      <c r="W275" s="2"/>
      <c r="X275" s="2"/>
      <c r="Y275" s="2"/>
      <c r="Z275" s="2"/>
      <c r="AA275" s="2"/>
      <c r="AB275" s="2"/>
      <c r="AC275" s="2"/>
      <c r="AD275" s="2"/>
      <c r="AF275" s="9"/>
    </row>
    <row r="276" spans="1:32" s="37" customFormat="1" x14ac:dyDescent="0.25">
      <c r="A276" s="9" t="s">
        <v>22</v>
      </c>
      <c r="B276" s="9" t="s">
        <v>27</v>
      </c>
      <c r="C276" s="9" t="s">
        <v>20</v>
      </c>
      <c r="D276" s="9" t="s">
        <v>11</v>
      </c>
      <c r="E276" s="9">
        <v>2015</v>
      </c>
      <c r="F276" s="44">
        <f t="shared" si="31"/>
        <v>15.459845857418113</v>
      </c>
      <c r="G276" s="51">
        <f t="shared" si="32"/>
        <v>13.886238532110092</v>
      </c>
      <c r="H276" s="39">
        <v>15.557186880318556</v>
      </c>
      <c r="I276" s="39">
        <v>8.8582173207514803</v>
      </c>
      <c r="J276" s="39">
        <v>24.480408688707172</v>
      </c>
      <c r="K276" s="53">
        <v>16</v>
      </c>
      <c r="L276" s="54">
        <v>0.86788990825688073</v>
      </c>
      <c r="M276" s="47">
        <v>17</v>
      </c>
      <c r="N276" s="43">
        <v>0.9094026974951831</v>
      </c>
      <c r="V276" s="2"/>
      <c r="W276" s="2"/>
      <c r="X276" s="2"/>
      <c r="Y276" s="2"/>
      <c r="Z276" s="2"/>
      <c r="AA276" s="2"/>
      <c r="AB276" s="2"/>
      <c r="AC276" s="2"/>
      <c r="AD276" s="2"/>
      <c r="AF276" s="9"/>
    </row>
    <row r="277" spans="1:32" s="37" customFormat="1" x14ac:dyDescent="0.25">
      <c r="A277" s="9" t="s">
        <v>22</v>
      </c>
      <c r="B277" s="9" t="s">
        <v>28</v>
      </c>
      <c r="C277" s="9" t="s">
        <v>31</v>
      </c>
      <c r="D277" s="9" t="s">
        <v>12</v>
      </c>
      <c r="E277" s="9">
        <v>2015</v>
      </c>
      <c r="F277" s="44">
        <f t="shared" si="31"/>
        <v>4.4820561519405455</v>
      </c>
      <c r="G277" s="51">
        <f t="shared" si="32"/>
        <v>3.2545871559633026</v>
      </c>
      <c r="H277" s="39">
        <v>4.5044906286327713</v>
      </c>
      <c r="I277" s="39">
        <v>1.3560553461927747</v>
      </c>
      <c r="J277" s="39">
        <v>9.4733590048524778</v>
      </c>
      <c r="K277" s="53">
        <v>3.75</v>
      </c>
      <c r="L277" s="54">
        <v>0.86788990825688073</v>
      </c>
      <c r="M277" s="47">
        <v>4.9285714285714288</v>
      </c>
      <c r="N277" s="43">
        <v>0.9094026974951831</v>
      </c>
      <c r="V277" s="2"/>
      <c r="W277" s="2"/>
      <c r="X277" s="2"/>
      <c r="Y277" s="2"/>
      <c r="Z277" s="2"/>
      <c r="AA277" s="2"/>
      <c r="AB277" s="2"/>
      <c r="AC277" s="2"/>
      <c r="AD277" s="2"/>
      <c r="AF277" s="9"/>
    </row>
    <row r="278" spans="1:32" s="37" customFormat="1" x14ac:dyDescent="0.25">
      <c r="A278" s="9" t="s">
        <v>22</v>
      </c>
      <c r="B278" s="9" t="s">
        <v>28</v>
      </c>
      <c r="C278" s="9" t="s">
        <v>19</v>
      </c>
      <c r="D278" s="9" t="s">
        <v>12</v>
      </c>
      <c r="E278" s="9">
        <v>2015</v>
      </c>
      <c r="F278" s="44">
        <f t="shared" si="31"/>
        <v>8.964112303881091</v>
      </c>
      <c r="G278" s="51">
        <f t="shared" si="32"/>
        <v>7.3228211009174311</v>
      </c>
      <c r="H278" s="39">
        <v>8.9824794108048902</v>
      </c>
      <c r="I278" s="39">
        <v>4.1104211748065369</v>
      </c>
      <c r="J278" s="39">
        <v>15.801932918696949</v>
      </c>
      <c r="K278" s="53">
        <v>8.4375</v>
      </c>
      <c r="L278" s="54">
        <v>0.86788990825688073</v>
      </c>
      <c r="M278" s="47">
        <v>9.8571428571428577</v>
      </c>
      <c r="N278" s="43">
        <v>0.9094026974951831</v>
      </c>
      <c r="V278" s="2"/>
      <c r="W278" s="2"/>
      <c r="X278" s="2"/>
      <c r="Y278" s="2"/>
      <c r="Z278" s="2"/>
      <c r="AA278" s="2"/>
      <c r="AB278" s="2"/>
      <c r="AC278" s="2"/>
      <c r="AD278" s="2"/>
      <c r="AF278" s="9"/>
    </row>
    <row r="279" spans="1:32" s="37" customFormat="1" x14ac:dyDescent="0.25">
      <c r="A279" s="9" t="s">
        <v>22</v>
      </c>
      <c r="B279" s="9" t="s">
        <v>28</v>
      </c>
      <c r="C279" s="9" t="s">
        <v>20</v>
      </c>
      <c r="D279" s="9" t="s">
        <v>12</v>
      </c>
      <c r="E279" s="9">
        <v>2015</v>
      </c>
      <c r="F279" s="44">
        <f t="shared" si="31"/>
        <v>7.7688973300302786</v>
      </c>
      <c r="G279" s="51">
        <f t="shared" si="32"/>
        <v>6.7803899082568808</v>
      </c>
      <c r="H279" s="39">
        <v>7.743577408236769</v>
      </c>
      <c r="I279" s="39">
        <v>3.3618030137756985</v>
      </c>
      <c r="J279" s="39">
        <v>14.178287045056051</v>
      </c>
      <c r="K279" s="53">
        <v>7.8125</v>
      </c>
      <c r="L279" s="54">
        <v>0.86788990825688073</v>
      </c>
      <c r="M279" s="47">
        <v>8.5428571428571427</v>
      </c>
      <c r="N279" s="43">
        <v>0.9094026974951831</v>
      </c>
      <c r="V279" s="2"/>
      <c r="W279" s="2"/>
      <c r="X279" s="2"/>
      <c r="Y279" s="2"/>
      <c r="Z279" s="2"/>
      <c r="AA279" s="2"/>
      <c r="AB279" s="2"/>
      <c r="AC279" s="2"/>
      <c r="AD279" s="2"/>
      <c r="AF279" s="9"/>
    </row>
    <row r="280" spans="1:32" s="37" customFormat="1" x14ac:dyDescent="0.25">
      <c r="A280" s="9" t="s">
        <v>22</v>
      </c>
      <c r="B280" s="37" t="s">
        <v>28</v>
      </c>
      <c r="C280" s="37" t="s">
        <v>31</v>
      </c>
      <c r="D280" s="37" t="s">
        <v>15</v>
      </c>
      <c r="E280" s="37">
        <v>2015</v>
      </c>
      <c r="F280" s="44">
        <f t="shared" si="31"/>
        <v>9.1589843104872006</v>
      </c>
      <c r="G280" s="51">
        <f t="shared" si="32"/>
        <v>7.1600917431192661</v>
      </c>
      <c r="H280" s="39">
        <v>9.176543956187162</v>
      </c>
      <c r="I280" s="39">
        <v>4.2278460557741431</v>
      </c>
      <c r="J280" s="39">
        <v>15.862984732385298</v>
      </c>
      <c r="K280" s="53">
        <v>8.25</v>
      </c>
      <c r="L280" s="54">
        <v>0.86788990825688073</v>
      </c>
      <c r="M280" s="47">
        <v>10.071428571428571</v>
      </c>
      <c r="N280" s="43">
        <v>0.9094026974951831</v>
      </c>
      <c r="V280" s="2"/>
      <c r="W280" s="2"/>
      <c r="X280" s="2"/>
      <c r="Y280" s="2"/>
      <c r="Z280" s="2"/>
      <c r="AA280" s="2"/>
      <c r="AB280" s="2"/>
      <c r="AC280" s="2"/>
      <c r="AD280" s="2"/>
      <c r="AF280" s="9"/>
    </row>
    <row r="281" spans="1:32" s="37" customFormat="1" x14ac:dyDescent="0.25">
      <c r="A281" s="9" t="s">
        <v>22</v>
      </c>
      <c r="B281" s="37" t="s">
        <v>28</v>
      </c>
      <c r="C281" s="37" t="s">
        <v>19</v>
      </c>
      <c r="D281" s="37" t="s">
        <v>15</v>
      </c>
      <c r="E281" s="37">
        <v>2015</v>
      </c>
      <c r="F281" s="44">
        <f t="shared" si="31"/>
        <v>18.317968620974401</v>
      </c>
      <c r="G281" s="51">
        <f t="shared" si="32"/>
        <v>16.110206422018347</v>
      </c>
      <c r="H281" s="39">
        <v>18.332278936369253</v>
      </c>
      <c r="I281" s="39">
        <v>10.85884723846554</v>
      </c>
      <c r="J281" s="39">
        <v>27.573637622007311</v>
      </c>
      <c r="K281" s="53">
        <v>18.5625</v>
      </c>
      <c r="L281" s="54">
        <v>0.86788990825688073</v>
      </c>
      <c r="M281" s="47">
        <v>20.142857142857142</v>
      </c>
      <c r="N281" s="43">
        <v>0.9094026974951831</v>
      </c>
      <c r="V281" s="2"/>
      <c r="W281" s="2"/>
      <c r="X281" s="2"/>
      <c r="Y281" s="2"/>
      <c r="Z281" s="2"/>
      <c r="AA281" s="2"/>
      <c r="AB281" s="2"/>
      <c r="AC281" s="2"/>
      <c r="AD281" s="2"/>
      <c r="AF281" s="9"/>
    </row>
    <row r="282" spans="1:32" s="37" customFormat="1" ht="15.75" thickBot="1" x14ac:dyDescent="0.3">
      <c r="A282" s="6" t="s">
        <v>22</v>
      </c>
      <c r="B282" s="6" t="s">
        <v>28</v>
      </c>
      <c r="C282" s="6" t="s">
        <v>20</v>
      </c>
      <c r="D282" s="6" t="s">
        <v>15</v>
      </c>
      <c r="E282" s="6">
        <v>2015</v>
      </c>
      <c r="F282" s="45">
        <f t="shared" si="31"/>
        <v>15.875572804844481</v>
      </c>
      <c r="G282" s="55">
        <f t="shared" si="32"/>
        <v>14.916857798165138</v>
      </c>
      <c r="H282" s="68">
        <v>15.884633824536493</v>
      </c>
      <c r="I282" s="68">
        <v>9.179140351953869</v>
      </c>
      <c r="J282" s="68">
        <v>24.610149144924787</v>
      </c>
      <c r="K282" s="55">
        <v>17.1875</v>
      </c>
      <c r="L282" s="56">
        <v>0.86788990825688073</v>
      </c>
      <c r="M282" s="45">
        <v>17.457142857142856</v>
      </c>
      <c r="N282" s="48">
        <v>0.9094026974951831</v>
      </c>
      <c r="O282" s="6"/>
      <c r="P282" s="6"/>
      <c r="Q282" s="6"/>
      <c r="R282" s="6"/>
      <c r="S282" s="6"/>
      <c r="T282" s="6"/>
      <c r="U282" s="6"/>
      <c r="V282" s="12"/>
      <c r="W282" s="12"/>
      <c r="X282" s="12"/>
      <c r="Y282" s="12"/>
      <c r="Z282" s="12"/>
      <c r="AA282" s="12"/>
      <c r="AB282" s="12"/>
      <c r="AC282" s="12"/>
      <c r="AD282" s="12"/>
      <c r="AE282" s="6"/>
      <c r="AF282" s="9"/>
    </row>
    <row r="283" spans="1:32" s="37" customFormat="1" x14ac:dyDescent="0.25">
      <c r="A283" s="9"/>
      <c r="B283" s="9"/>
      <c r="C283" s="9"/>
      <c r="D283" s="9"/>
      <c r="E283" s="9"/>
      <c r="F283" s="9"/>
      <c r="G283" s="44" t="s">
        <v>62</v>
      </c>
      <c r="H283" s="38"/>
      <c r="I283" s="38"/>
      <c r="J283" s="38"/>
      <c r="K283" s="9" t="s">
        <v>63</v>
      </c>
      <c r="L283" s="9" t="s">
        <v>64</v>
      </c>
      <c r="M283" s="9"/>
      <c r="N283" s="9"/>
      <c r="S283" s="9"/>
      <c r="T283" s="57" t="s">
        <v>62</v>
      </c>
      <c r="U283" s="57" t="s">
        <v>63</v>
      </c>
      <c r="V283" s="57" t="s">
        <v>64</v>
      </c>
      <c r="W283" s="61" t="s">
        <v>70</v>
      </c>
      <c r="X283" s="3"/>
      <c r="Y283" s="3"/>
      <c r="Z283" s="3"/>
      <c r="AA283" s="3"/>
      <c r="AB283" s="3"/>
      <c r="AC283" s="3"/>
      <c r="AD283" s="3"/>
      <c r="AE283" s="9"/>
      <c r="AF283" s="9"/>
    </row>
    <row r="284" spans="1:32" s="37" customFormat="1" x14ac:dyDescent="0.25">
      <c r="A284" s="11" t="s">
        <v>61</v>
      </c>
      <c r="B284" s="11" t="s">
        <v>11</v>
      </c>
      <c r="C284" s="37" t="s">
        <v>11</v>
      </c>
      <c r="D284" s="11" t="s">
        <v>11</v>
      </c>
      <c r="E284" s="11">
        <v>2012</v>
      </c>
      <c r="F284" s="9"/>
      <c r="G284" s="44">
        <f>G285+G286</f>
        <v>2061.3254203758656</v>
      </c>
      <c r="H284" s="38"/>
      <c r="I284" s="38"/>
      <c r="J284" s="38"/>
      <c r="K284" s="3">
        <f t="shared" ref="K284:L284" si="33">K285+K286</f>
        <v>1855.1928783382789</v>
      </c>
      <c r="L284" s="3">
        <f t="shared" si="33"/>
        <v>2226.2314540059347</v>
      </c>
      <c r="M284" s="9"/>
      <c r="N284" s="9"/>
      <c r="S284" s="9"/>
      <c r="T284" s="57"/>
      <c r="U284" s="57"/>
      <c r="V284" s="57"/>
      <c r="W284" s="61"/>
      <c r="X284" s="3"/>
      <c r="Y284" s="3"/>
      <c r="Z284" s="3"/>
      <c r="AA284" s="3"/>
      <c r="AB284" s="3"/>
      <c r="AC284" s="3"/>
      <c r="AD284" s="3"/>
      <c r="AE284" s="9"/>
      <c r="AF284" s="9"/>
    </row>
    <row r="285" spans="1:32" x14ac:dyDescent="0.25">
      <c r="A285" s="11" t="s">
        <v>61</v>
      </c>
      <c r="B285" s="11" t="s">
        <v>11</v>
      </c>
      <c r="C285" t="s">
        <v>11</v>
      </c>
      <c r="D285" s="11" t="s">
        <v>12</v>
      </c>
      <c r="E285" s="11">
        <v>2012</v>
      </c>
      <c r="F285" s="11"/>
      <c r="G285" s="47">
        <v>1853.7309454160265</v>
      </c>
      <c r="H285" s="14"/>
      <c r="I285" s="14"/>
      <c r="J285" s="14"/>
      <c r="K285" s="3">
        <v>1668.3578508744238</v>
      </c>
      <c r="L285" s="3">
        <v>2002.0294210493087</v>
      </c>
      <c r="M285" s="11"/>
      <c r="O285" t="s">
        <v>61</v>
      </c>
      <c r="P285" s="37" t="s">
        <v>11</v>
      </c>
      <c r="Q285" s="37" t="s">
        <v>11</v>
      </c>
      <c r="R285" s="37" t="s">
        <v>12</v>
      </c>
      <c r="S285" s="37">
        <v>2012</v>
      </c>
      <c r="T285" s="58">
        <v>2126</v>
      </c>
      <c r="U285" s="58">
        <v>159</v>
      </c>
      <c r="V285" s="58">
        <v>2661</v>
      </c>
      <c r="W285" s="37"/>
      <c r="X285" s="2"/>
      <c r="Y285" s="2"/>
      <c r="Z285" s="2"/>
      <c r="AA285" s="2"/>
      <c r="AB285" s="2"/>
      <c r="AC285" s="2"/>
      <c r="AD285" s="2"/>
      <c r="AF285" s="9"/>
    </row>
    <row r="286" spans="1:32" x14ac:dyDescent="0.25">
      <c r="A286" s="11" t="s">
        <v>61</v>
      </c>
      <c r="B286" t="s">
        <v>11</v>
      </c>
      <c r="C286" t="s">
        <v>11</v>
      </c>
      <c r="D286" s="11" t="s">
        <v>15</v>
      </c>
      <c r="E286" s="11">
        <v>2012</v>
      </c>
      <c r="F286" s="11"/>
      <c r="G286" s="47">
        <v>207.59447495983895</v>
      </c>
      <c r="H286" s="14"/>
      <c r="I286" s="14"/>
      <c r="J286" s="14"/>
      <c r="K286" s="3">
        <v>186.83502746385503</v>
      </c>
      <c r="L286" s="3">
        <v>224.20203295662606</v>
      </c>
      <c r="M286" s="11"/>
      <c r="O286" t="s">
        <v>61</v>
      </c>
      <c r="P286" s="37" t="s">
        <v>11</v>
      </c>
      <c r="Q286" s="37" t="s">
        <v>11</v>
      </c>
      <c r="R286" s="37" t="s">
        <v>15</v>
      </c>
      <c r="S286" s="37">
        <v>2012</v>
      </c>
      <c r="T286" s="58">
        <v>232</v>
      </c>
      <c r="U286" s="58">
        <v>60</v>
      </c>
      <c r="V286" s="58">
        <v>404</v>
      </c>
      <c r="W286" s="37"/>
      <c r="X286" s="2"/>
      <c r="Y286" s="2"/>
      <c r="Z286" s="2"/>
      <c r="AA286" s="2"/>
      <c r="AB286" s="2"/>
      <c r="AC286" s="2"/>
      <c r="AD286" s="2"/>
      <c r="AF286" s="9"/>
    </row>
    <row r="287" spans="1:32" x14ac:dyDescent="0.25">
      <c r="A287" s="11" t="s">
        <v>61</v>
      </c>
      <c r="B287" t="s">
        <v>11</v>
      </c>
      <c r="C287" t="s">
        <v>31</v>
      </c>
      <c r="D287" t="s">
        <v>11</v>
      </c>
      <c r="E287" s="11">
        <v>2012</v>
      </c>
      <c r="F287" s="11"/>
      <c r="G287" s="47">
        <v>609.13871760516122</v>
      </c>
      <c r="H287" s="14"/>
      <c r="I287" s="14"/>
      <c r="J287" s="14"/>
      <c r="K287" s="3">
        <v>548.22484584464507</v>
      </c>
      <c r="L287" s="3">
        <v>657.86981501357411</v>
      </c>
      <c r="M287" s="11"/>
      <c r="O287" t="s">
        <v>61</v>
      </c>
      <c r="P287" s="37" t="s">
        <v>11</v>
      </c>
      <c r="Q287" s="37" t="s">
        <v>31</v>
      </c>
      <c r="R287" s="37" t="s">
        <v>11</v>
      </c>
      <c r="S287" s="37">
        <v>2012</v>
      </c>
      <c r="T287" s="58">
        <v>659</v>
      </c>
      <c r="U287" s="58">
        <v>407</v>
      </c>
      <c r="V287" s="58">
        <v>908</v>
      </c>
      <c r="W287" s="37"/>
      <c r="X287" s="2"/>
      <c r="Y287" s="2"/>
      <c r="Z287" s="2"/>
      <c r="AA287" s="2"/>
      <c r="AB287" s="2"/>
      <c r="AC287" s="2"/>
      <c r="AD287" s="2"/>
      <c r="AF287" s="9"/>
    </row>
    <row r="288" spans="1:32" x14ac:dyDescent="0.25">
      <c r="A288" s="11" t="s">
        <v>61</v>
      </c>
      <c r="B288" t="s">
        <v>11</v>
      </c>
      <c r="C288" t="s">
        <v>19</v>
      </c>
      <c r="D288" t="s">
        <v>11</v>
      </c>
      <c r="E288" s="11">
        <v>2012</v>
      </c>
      <c r="F288" s="11"/>
      <c r="G288" s="47">
        <v>420.06205966051914</v>
      </c>
      <c r="H288" s="14"/>
      <c r="I288" s="14"/>
      <c r="J288" s="14"/>
      <c r="K288" s="3">
        <v>378.0558536944672</v>
      </c>
      <c r="L288" s="3">
        <v>453.66702443336067</v>
      </c>
      <c r="M288" s="11"/>
      <c r="O288" t="s">
        <v>61</v>
      </c>
      <c r="P288" s="37" t="s">
        <v>11</v>
      </c>
      <c r="Q288" s="37" t="s">
        <v>19</v>
      </c>
      <c r="R288" s="37" t="s">
        <v>11</v>
      </c>
      <c r="S288" s="37">
        <v>2012</v>
      </c>
      <c r="T288" s="58">
        <v>427</v>
      </c>
      <c r="U288" s="58">
        <v>209</v>
      </c>
      <c r="V288" s="58">
        <v>646</v>
      </c>
      <c r="W288" s="37"/>
      <c r="X288" s="2"/>
      <c r="Y288" s="2"/>
      <c r="Z288" s="2"/>
      <c r="AA288" s="2"/>
      <c r="AB288" s="2"/>
      <c r="AC288" s="2"/>
      <c r="AD288" s="2"/>
      <c r="AF288" s="9"/>
    </row>
    <row r="289" spans="1:32" x14ac:dyDescent="0.25">
      <c r="A289" s="11" t="s">
        <v>61</v>
      </c>
      <c r="B289" t="s">
        <v>11</v>
      </c>
      <c r="C289" t="s">
        <v>20</v>
      </c>
      <c r="D289" t="s">
        <v>11</v>
      </c>
      <c r="E289" s="11">
        <v>2012</v>
      </c>
      <c r="F289" s="11"/>
      <c r="G289" s="47">
        <v>1032.1246431101852</v>
      </c>
      <c r="H289" s="14"/>
      <c r="I289" s="14"/>
      <c r="J289" s="14"/>
      <c r="K289" s="3">
        <v>928.91217879916655</v>
      </c>
      <c r="L289" s="3">
        <v>1114.694614559</v>
      </c>
      <c r="M289" s="11"/>
      <c r="O289" t="s">
        <v>61</v>
      </c>
      <c r="P289" s="37" t="s">
        <v>11</v>
      </c>
      <c r="Q289" s="37" t="s">
        <v>20</v>
      </c>
      <c r="R289" s="37" t="s">
        <v>11</v>
      </c>
      <c r="S289" s="37">
        <v>2012</v>
      </c>
      <c r="T289" s="58">
        <v>1111</v>
      </c>
      <c r="U289" s="58">
        <v>767</v>
      </c>
      <c r="V289" s="58">
        <v>1455</v>
      </c>
      <c r="W289" s="37"/>
      <c r="X289" s="2"/>
      <c r="Y289" s="2"/>
      <c r="Z289" s="2"/>
      <c r="AA289" s="2"/>
      <c r="AB289" s="2"/>
      <c r="AC289" s="2"/>
      <c r="AD289" s="2"/>
      <c r="AF289" s="9"/>
    </row>
    <row r="290" spans="1:32" x14ac:dyDescent="0.25">
      <c r="A290" s="11" t="s">
        <v>61</v>
      </c>
      <c r="B290" t="s">
        <v>24</v>
      </c>
      <c r="C290" t="s">
        <v>11</v>
      </c>
      <c r="D290" t="s">
        <v>11</v>
      </c>
      <c r="E290" s="11">
        <v>2012</v>
      </c>
      <c r="F290" s="11"/>
      <c r="G290" s="44">
        <v>1732.8778238431626</v>
      </c>
      <c r="H290" s="38"/>
      <c r="I290" s="38"/>
      <c r="J290" s="38"/>
      <c r="K290" s="3">
        <v>1559.5900414588464</v>
      </c>
      <c r="L290" s="3">
        <v>1871.5080497506156</v>
      </c>
      <c r="M290" s="11"/>
      <c r="O290" t="s">
        <v>61</v>
      </c>
      <c r="P290" s="37" t="s">
        <v>24</v>
      </c>
      <c r="Q290" s="37" t="s">
        <v>11</v>
      </c>
      <c r="R290" s="37" t="s">
        <v>11</v>
      </c>
      <c r="S290" s="21">
        <v>2012</v>
      </c>
      <c r="T290" s="59">
        <v>2063</v>
      </c>
      <c r="U290" s="59">
        <v>1538</v>
      </c>
      <c r="V290" s="59">
        <v>2588</v>
      </c>
      <c r="W290" s="21"/>
      <c r="X290" s="2"/>
      <c r="Y290" s="2"/>
      <c r="Z290" s="2"/>
      <c r="AA290" s="2"/>
      <c r="AB290" s="2"/>
      <c r="AC290" s="2"/>
      <c r="AD290" s="2"/>
      <c r="AF290" s="9"/>
    </row>
    <row r="291" spans="1:32" s="37" customFormat="1" x14ac:dyDescent="0.25">
      <c r="A291" s="11" t="s">
        <v>61</v>
      </c>
      <c r="B291" s="11" t="s">
        <v>11</v>
      </c>
      <c r="C291" s="37" t="s">
        <v>11</v>
      </c>
      <c r="D291" s="11" t="s">
        <v>11</v>
      </c>
      <c r="E291" s="11">
        <v>2013</v>
      </c>
      <c r="F291" s="11"/>
      <c r="G291" s="44">
        <f>G292+G293</f>
        <v>1822.7708022983611</v>
      </c>
      <c r="H291" s="38"/>
      <c r="I291" s="38"/>
      <c r="J291" s="38"/>
      <c r="K291" s="3">
        <f t="shared" ref="K291" si="34">K292+K293</f>
        <v>1599.5743775271335</v>
      </c>
      <c r="L291" s="3">
        <f t="shared" ref="L291" si="35">L292+L293</f>
        <v>2008.7678229410512</v>
      </c>
      <c r="M291" s="11"/>
      <c r="S291" s="21"/>
      <c r="T291" s="59"/>
      <c r="U291" s="59"/>
      <c r="V291" s="59"/>
      <c r="W291" s="21"/>
      <c r="X291" s="2"/>
      <c r="Y291" s="2"/>
      <c r="Z291" s="2"/>
      <c r="AA291" s="2"/>
      <c r="AB291" s="2"/>
      <c r="AC291" s="2"/>
      <c r="AD291" s="2"/>
      <c r="AF291" s="9"/>
    </row>
    <row r="292" spans="1:32" x14ac:dyDescent="0.25">
      <c r="A292" s="11" t="s">
        <v>61</v>
      </c>
      <c r="B292" s="11" t="s">
        <v>11</v>
      </c>
      <c r="C292" s="37" t="s">
        <v>11</v>
      </c>
      <c r="D292" s="11" t="s">
        <v>12</v>
      </c>
      <c r="E292" s="11">
        <v>2013</v>
      </c>
      <c r="F292" s="11"/>
      <c r="G292" s="44">
        <v>1608.7488373093963</v>
      </c>
      <c r="H292" s="38"/>
      <c r="I292" s="38"/>
      <c r="J292" s="38"/>
      <c r="K292" s="3">
        <v>1411.7591837613072</v>
      </c>
      <c r="L292" s="3">
        <v>1772.9068819328043</v>
      </c>
      <c r="M292" s="11"/>
      <c r="O292" t="s">
        <v>61</v>
      </c>
      <c r="P292" s="37" t="s">
        <v>11</v>
      </c>
      <c r="Q292" s="37" t="s">
        <v>11</v>
      </c>
      <c r="R292" s="37" t="s">
        <v>12</v>
      </c>
      <c r="S292" s="1">
        <v>2013</v>
      </c>
      <c r="T292" s="60">
        <v>1624</v>
      </c>
      <c r="U292" s="60">
        <v>1218</v>
      </c>
      <c r="V292" s="60">
        <v>2031</v>
      </c>
      <c r="W292" s="1"/>
      <c r="X292" s="2"/>
      <c r="Y292" s="2"/>
      <c r="Z292" s="2"/>
      <c r="AA292" s="2"/>
      <c r="AB292" s="2"/>
      <c r="AC292" s="2"/>
      <c r="AD292" s="2"/>
      <c r="AF292" s="9"/>
    </row>
    <row r="293" spans="1:32" x14ac:dyDescent="0.25">
      <c r="A293" s="11" t="s">
        <v>61</v>
      </c>
      <c r="B293" s="37" t="s">
        <v>11</v>
      </c>
      <c r="C293" s="37" t="s">
        <v>11</v>
      </c>
      <c r="D293" s="11" t="s">
        <v>15</v>
      </c>
      <c r="E293" s="11">
        <v>2013</v>
      </c>
      <c r="F293" s="11"/>
      <c r="G293" s="44">
        <v>214.02196498896487</v>
      </c>
      <c r="H293" s="38"/>
      <c r="I293" s="38"/>
      <c r="J293" s="38"/>
      <c r="K293" s="3">
        <v>187.81519376582634</v>
      </c>
      <c r="L293" s="3">
        <v>235.86094100824704</v>
      </c>
      <c r="M293" s="11"/>
      <c r="O293" t="s">
        <v>61</v>
      </c>
      <c r="P293" s="37" t="s">
        <v>11</v>
      </c>
      <c r="Q293" s="37" t="s">
        <v>11</v>
      </c>
      <c r="R293" s="37" t="s">
        <v>15</v>
      </c>
      <c r="S293" s="1">
        <v>2013</v>
      </c>
      <c r="T293" s="60">
        <v>241</v>
      </c>
      <c r="U293" s="60">
        <v>90</v>
      </c>
      <c r="V293" s="60">
        <v>391</v>
      </c>
      <c r="W293" s="1"/>
      <c r="X293" s="2"/>
      <c r="Y293" s="2"/>
      <c r="Z293" s="2"/>
      <c r="AA293" s="2"/>
      <c r="AB293" s="2"/>
      <c r="AC293" s="2"/>
      <c r="AD293" s="2"/>
      <c r="AF293" s="9"/>
    </row>
    <row r="294" spans="1:32" x14ac:dyDescent="0.25">
      <c r="A294" s="11" t="s">
        <v>61</v>
      </c>
      <c r="B294" s="37" t="s">
        <v>11</v>
      </c>
      <c r="C294" s="37" t="s">
        <v>31</v>
      </c>
      <c r="D294" s="37" t="s">
        <v>11</v>
      </c>
      <c r="E294" s="11">
        <v>2013</v>
      </c>
      <c r="F294" s="11"/>
      <c r="G294" s="44">
        <v>565.26375442061533</v>
      </c>
      <c r="H294" s="38"/>
      <c r="I294" s="38"/>
      <c r="J294" s="38"/>
      <c r="K294" s="3">
        <v>496.04778449156049</v>
      </c>
      <c r="L294" s="3">
        <v>622.94372936149455</v>
      </c>
      <c r="M294" s="11"/>
      <c r="O294" t="s">
        <v>61</v>
      </c>
      <c r="P294" s="37" t="s">
        <v>11</v>
      </c>
      <c r="Q294" s="37" t="s">
        <v>31</v>
      </c>
      <c r="R294" s="37" t="s">
        <v>11</v>
      </c>
      <c r="S294" s="1">
        <v>2013</v>
      </c>
      <c r="T294" s="60">
        <v>503</v>
      </c>
      <c r="U294" s="60">
        <v>326</v>
      </c>
      <c r="V294" s="60">
        <v>680</v>
      </c>
      <c r="W294" s="1"/>
      <c r="X294" s="2"/>
      <c r="Y294" s="2"/>
      <c r="Z294" s="2"/>
      <c r="AA294" s="2"/>
      <c r="AB294" s="2"/>
      <c r="AC294" s="2"/>
      <c r="AD294" s="2"/>
      <c r="AF294" s="9"/>
    </row>
    <row r="295" spans="1:32" x14ac:dyDescent="0.25">
      <c r="A295" s="11" t="s">
        <v>61</v>
      </c>
      <c r="B295" s="37" t="s">
        <v>11</v>
      </c>
      <c r="C295" s="37" t="s">
        <v>19</v>
      </c>
      <c r="D295" s="37" t="s">
        <v>11</v>
      </c>
      <c r="E295" s="11">
        <v>2013</v>
      </c>
      <c r="F295" s="11"/>
      <c r="G295" s="44">
        <v>393.22695959694983</v>
      </c>
      <c r="H295" s="38"/>
      <c r="I295" s="38"/>
      <c r="J295" s="38"/>
      <c r="K295" s="3">
        <v>345.07671964630293</v>
      </c>
      <c r="L295" s="3">
        <v>433.35215955582231</v>
      </c>
      <c r="M295" s="11"/>
      <c r="O295" t="s">
        <v>61</v>
      </c>
      <c r="P295" s="37" t="s">
        <v>11</v>
      </c>
      <c r="Q295" s="37" t="s">
        <v>19</v>
      </c>
      <c r="R295" s="37" t="s">
        <v>11</v>
      </c>
      <c r="S295" s="1">
        <v>2013</v>
      </c>
      <c r="T295" s="60">
        <v>383</v>
      </c>
      <c r="U295" s="60">
        <v>215</v>
      </c>
      <c r="V295" s="60">
        <v>551</v>
      </c>
      <c r="W295" s="1"/>
      <c r="X295" s="2"/>
      <c r="Y295" s="2"/>
      <c r="Z295" s="2"/>
      <c r="AA295" s="2"/>
      <c r="AB295" s="2"/>
      <c r="AC295" s="2"/>
      <c r="AD295" s="2"/>
      <c r="AF295" s="9"/>
    </row>
    <row r="296" spans="1:32" x14ac:dyDescent="0.25">
      <c r="A296" s="11" t="s">
        <v>61</v>
      </c>
      <c r="B296" s="37" t="s">
        <v>11</v>
      </c>
      <c r="C296" s="37" t="s">
        <v>20</v>
      </c>
      <c r="D296" s="37" t="s">
        <v>11</v>
      </c>
      <c r="E296" s="11">
        <v>2013</v>
      </c>
      <c r="F296" s="11"/>
      <c r="G296" s="44">
        <v>864.28008828079612</v>
      </c>
      <c r="H296" s="38"/>
      <c r="I296" s="38"/>
      <c r="J296" s="38"/>
      <c r="K296" s="3">
        <v>758.44987338927024</v>
      </c>
      <c r="L296" s="3">
        <v>952.47193402373466</v>
      </c>
      <c r="M296" s="11"/>
      <c r="O296" t="s">
        <v>61</v>
      </c>
      <c r="P296" s="37" t="s">
        <v>11</v>
      </c>
      <c r="Q296" s="37" t="s">
        <v>20</v>
      </c>
      <c r="R296" s="37" t="s">
        <v>11</v>
      </c>
      <c r="S296" s="1">
        <v>2013</v>
      </c>
      <c r="T296" s="60">
        <v>844</v>
      </c>
      <c r="U296" s="60">
        <v>581</v>
      </c>
      <c r="V296" s="60">
        <v>1106</v>
      </c>
      <c r="W296" s="1"/>
      <c r="X296" s="2"/>
      <c r="Y296" s="2"/>
      <c r="Z296" s="2"/>
      <c r="AA296" s="2"/>
      <c r="AB296" s="2"/>
      <c r="AC296" s="2"/>
      <c r="AD296" s="2"/>
      <c r="AF296" s="9"/>
    </row>
    <row r="297" spans="1:32" x14ac:dyDescent="0.25">
      <c r="A297" s="11" t="s">
        <v>61</v>
      </c>
      <c r="B297" s="37" t="s">
        <v>24</v>
      </c>
      <c r="C297" s="37" t="s">
        <v>11</v>
      </c>
      <c r="D297" s="37" t="s">
        <v>11</v>
      </c>
      <c r="E297" s="11">
        <v>2013</v>
      </c>
      <c r="F297" s="11"/>
      <c r="G297" s="44">
        <v>1497.1297263821373</v>
      </c>
      <c r="H297" s="38"/>
      <c r="I297" s="38"/>
      <c r="J297" s="38"/>
      <c r="K297" s="3">
        <v>1313.807719070039</v>
      </c>
      <c r="L297" s="3">
        <v>1649.8980658088863</v>
      </c>
      <c r="M297" s="11"/>
      <c r="O297" t="s">
        <v>61</v>
      </c>
      <c r="P297" s="37" t="s">
        <v>24</v>
      </c>
      <c r="Q297" s="37" t="s">
        <v>11</v>
      </c>
      <c r="R297" s="37" t="s">
        <v>11</v>
      </c>
      <c r="S297" s="1">
        <v>2013</v>
      </c>
      <c r="T297" s="60">
        <v>1574</v>
      </c>
      <c r="U297" s="60">
        <v>1165</v>
      </c>
      <c r="V297" s="60">
        <v>1983</v>
      </c>
      <c r="W297" s="1"/>
      <c r="X297" s="2"/>
      <c r="Y297" s="2"/>
      <c r="Z297" s="2"/>
      <c r="AA297" s="2"/>
      <c r="AB297" s="2"/>
      <c r="AC297" s="2"/>
      <c r="AD297" s="2"/>
    </row>
    <row r="298" spans="1:32" s="37" customFormat="1" x14ac:dyDescent="0.25">
      <c r="A298" s="11" t="s">
        <v>61</v>
      </c>
      <c r="B298" s="11" t="s">
        <v>11</v>
      </c>
      <c r="C298" s="37" t="s">
        <v>11</v>
      </c>
      <c r="D298" s="11" t="s">
        <v>11</v>
      </c>
      <c r="E298" s="37">
        <v>2014</v>
      </c>
      <c r="F298" s="11"/>
      <c r="G298" s="44">
        <f>G299+G300</f>
        <v>2136.3140463666477</v>
      </c>
      <c r="H298" s="38"/>
      <c r="I298" s="38"/>
      <c r="J298" s="38"/>
      <c r="K298" s="3">
        <f t="shared" ref="K298" si="36">K299+K300</f>
        <v>1854.1593609974675</v>
      </c>
      <c r="L298" s="3">
        <f t="shared" ref="L298" si="37">L299+L300</f>
        <v>2418.468731735828</v>
      </c>
      <c r="M298" s="11"/>
      <c r="S298" s="1"/>
      <c r="T298" s="60"/>
      <c r="U298" s="60"/>
      <c r="V298" s="60"/>
      <c r="W298" s="1"/>
      <c r="X298" s="2"/>
      <c r="Y298" s="2"/>
      <c r="Z298" s="2"/>
      <c r="AA298" s="2"/>
      <c r="AB298" s="2"/>
      <c r="AC298" s="2"/>
      <c r="AD298" s="2"/>
    </row>
    <row r="299" spans="1:32" x14ac:dyDescent="0.25">
      <c r="A299" t="s">
        <v>61</v>
      </c>
      <c r="B299" t="s">
        <v>11</v>
      </c>
      <c r="C299" t="s">
        <v>11</v>
      </c>
      <c r="D299" t="s">
        <v>12</v>
      </c>
      <c r="E299">
        <v>2014</v>
      </c>
      <c r="G299" s="44">
        <v>1903.9074351467132</v>
      </c>
      <c r="H299" s="38"/>
      <c r="I299" s="38"/>
      <c r="J299" s="38"/>
      <c r="K299" s="1">
        <v>1652.4479625801659</v>
      </c>
      <c r="L299" s="1">
        <v>2155.3669077132604</v>
      </c>
      <c r="O299" s="1"/>
      <c r="P299" s="1"/>
      <c r="Q299" s="1"/>
      <c r="R299" s="1"/>
      <c r="S299" s="1"/>
      <c r="T299" s="1"/>
      <c r="U299" s="1"/>
      <c r="V299" s="2"/>
      <c r="W299" s="2"/>
      <c r="X299" s="2"/>
      <c r="Y299" s="2"/>
      <c r="Z299" s="2"/>
      <c r="AA299" s="2"/>
      <c r="AB299" s="2"/>
      <c r="AC299" s="2"/>
      <c r="AD299" s="2"/>
    </row>
    <row r="300" spans="1:32" x14ac:dyDescent="0.25">
      <c r="A300" t="s">
        <v>61</v>
      </c>
      <c r="B300" t="s">
        <v>11</v>
      </c>
      <c r="C300" t="s">
        <v>11</v>
      </c>
      <c r="D300" t="s">
        <v>15</v>
      </c>
      <c r="E300">
        <v>2014</v>
      </c>
      <c r="G300" s="44">
        <v>232.40661121993455</v>
      </c>
      <c r="H300" s="38"/>
      <c r="I300" s="38"/>
      <c r="J300" s="38"/>
      <c r="K300" s="1">
        <v>201.71139841730167</v>
      </c>
      <c r="L300" s="1">
        <v>263.10182402256743</v>
      </c>
      <c r="O300" s="1"/>
      <c r="P300" s="1"/>
      <c r="Q300" s="1"/>
      <c r="R300" s="1"/>
      <c r="S300" s="1"/>
      <c r="T300" s="1"/>
      <c r="U300" s="1"/>
      <c r="V300" s="3"/>
      <c r="W300" s="3"/>
      <c r="X300" s="3"/>
      <c r="Y300" s="3"/>
      <c r="Z300" s="3"/>
      <c r="AA300" s="3"/>
      <c r="AB300" s="3"/>
      <c r="AC300" s="3"/>
      <c r="AD300" s="3"/>
    </row>
    <row r="301" spans="1:32" x14ac:dyDescent="0.25">
      <c r="A301" t="s">
        <v>61</v>
      </c>
      <c r="B301" t="s">
        <v>11</v>
      </c>
      <c r="C301" t="s">
        <v>31</v>
      </c>
      <c r="D301" t="s">
        <v>11</v>
      </c>
      <c r="E301">
        <v>2014</v>
      </c>
      <c r="G301" s="44">
        <v>615.0148751060276</v>
      </c>
      <c r="H301" s="38"/>
      <c r="I301" s="38"/>
      <c r="J301" s="38"/>
      <c r="K301" s="1">
        <v>533.78649537504282</v>
      </c>
      <c r="L301" s="1">
        <v>696.24325483701239</v>
      </c>
      <c r="O301" s="1"/>
      <c r="P301" s="1"/>
      <c r="Q301" s="1"/>
      <c r="R301" s="1"/>
      <c r="S301" s="1"/>
      <c r="T301" s="1"/>
      <c r="U301" s="1"/>
      <c r="V301" s="3"/>
      <c r="W301" s="3"/>
      <c r="X301" s="3"/>
      <c r="Y301" s="3"/>
      <c r="Z301" s="3"/>
      <c r="AA301" s="3"/>
      <c r="AB301" s="3"/>
      <c r="AC301" s="3"/>
      <c r="AD301" s="3"/>
    </row>
    <row r="302" spans="1:32" x14ac:dyDescent="0.25">
      <c r="A302" t="s">
        <v>61</v>
      </c>
      <c r="B302" t="s">
        <v>11</v>
      </c>
      <c r="C302" t="s">
        <v>19</v>
      </c>
      <c r="D302" t="s">
        <v>11</v>
      </c>
      <c r="E302">
        <v>2014</v>
      </c>
      <c r="G302" s="44">
        <v>404.93553657971131</v>
      </c>
      <c r="H302" s="38"/>
      <c r="I302" s="38"/>
      <c r="J302" s="38"/>
      <c r="K302" s="1">
        <v>351.45348457861729</v>
      </c>
      <c r="L302" s="1">
        <v>458.41758858080527</v>
      </c>
      <c r="O302" s="1"/>
      <c r="P302" s="1"/>
      <c r="Q302" s="1"/>
      <c r="R302" s="1"/>
      <c r="S302" s="1"/>
      <c r="T302" s="1"/>
      <c r="U302" s="1"/>
      <c r="V302" s="2"/>
      <c r="W302" s="2"/>
      <c r="X302" s="2"/>
      <c r="Y302" s="2"/>
      <c r="Z302" s="2"/>
      <c r="AA302" s="2"/>
      <c r="AB302" s="2"/>
      <c r="AC302" s="2"/>
      <c r="AD302" s="2"/>
    </row>
    <row r="303" spans="1:32" x14ac:dyDescent="0.25">
      <c r="A303" t="s">
        <v>61</v>
      </c>
      <c r="B303" t="s">
        <v>11</v>
      </c>
      <c r="C303" t="s">
        <v>20</v>
      </c>
      <c r="D303" t="s">
        <v>11</v>
      </c>
      <c r="E303">
        <v>2014</v>
      </c>
      <c r="G303" s="44">
        <v>1116.3636346809083</v>
      </c>
      <c r="H303" s="38"/>
      <c r="I303" s="38"/>
      <c r="J303" s="38"/>
      <c r="K303" s="1">
        <v>968.91938104380699</v>
      </c>
      <c r="L303" s="1">
        <v>1263.8078883180092</v>
      </c>
      <c r="O303" s="1"/>
      <c r="P303" s="1"/>
      <c r="Q303" s="1"/>
      <c r="R303" s="1"/>
      <c r="S303" s="1"/>
      <c r="T303" s="1"/>
      <c r="U303" s="1"/>
      <c r="V303" s="2"/>
      <c r="W303" s="2"/>
      <c r="X303" s="2"/>
      <c r="Y303" s="2"/>
      <c r="Z303" s="2"/>
      <c r="AA303" s="2"/>
      <c r="AB303" s="2"/>
      <c r="AC303" s="2"/>
      <c r="AD303" s="2"/>
    </row>
    <row r="304" spans="1:32" x14ac:dyDescent="0.25">
      <c r="A304" t="s">
        <v>61</v>
      </c>
      <c r="B304" t="s">
        <v>24</v>
      </c>
      <c r="C304" t="s">
        <v>11</v>
      </c>
      <c r="D304" t="s">
        <v>11</v>
      </c>
      <c r="E304">
        <v>2014</v>
      </c>
      <c r="G304" s="44">
        <v>1789.2264435840377</v>
      </c>
      <c r="H304" s="38"/>
      <c r="I304" s="38"/>
      <c r="J304" s="38"/>
      <c r="K304" s="1">
        <v>1552.9135170729382</v>
      </c>
      <c r="L304" s="1">
        <v>2025.539370095137</v>
      </c>
      <c r="V304" s="2"/>
      <c r="W304" s="2"/>
      <c r="X304" s="2"/>
      <c r="Y304" s="2"/>
      <c r="Z304" s="2"/>
      <c r="AA304" s="2"/>
      <c r="AB304" s="2"/>
      <c r="AC304" s="2"/>
      <c r="AD304" s="2"/>
    </row>
    <row r="305" spans="1:30" s="37" customFormat="1" x14ac:dyDescent="0.25">
      <c r="A305" s="11" t="s">
        <v>61</v>
      </c>
      <c r="B305" s="11" t="s">
        <v>11</v>
      </c>
      <c r="C305" s="37" t="s">
        <v>11</v>
      </c>
      <c r="D305" s="11" t="s">
        <v>11</v>
      </c>
      <c r="E305" s="37">
        <v>2015</v>
      </c>
      <c r="G305" s="44">
        <f>G306+G307</f>
        <v>2030.5839855508734</v>
      </c>
      <c r="H305" s="38"/>
      <c r="I305" s="38"/>
      <c r="J305" s="38"/>
      <c r="K305" s="3">
        <f t="shared" ref="K305" si="38">K306+K307</f>
        <v>1712.0610074252461</v>
      </c>
      <c r="L305" s="3">
        <f t="shared" ref="L305" si="39">L306+L307</f>
        <v>2349.1069636765001</v>
      </c>
      <c r="V305" s="2"/>
      <c r="W305" s="2"/>
      <c r="X305" s="2"/>
      <c r="Y305" s="2"/>
      <c r="Z305" s="2"/>
      <c r="AA305" s="2"/>
      <c r="AB305" s="2"/>
      <c r="AC305" s="2"/>
      <c r="AD305" s="2"/>
    </row>
    <row r="306" spans="1:30" x14ac:dyDescent="0.25">
      <c r="A306" t="s">
        <v>61</v>
      </c>
      <c r="B306" t="s">
        <v>11</v>
      </c>
      <c r="C306" t="s">
        <v>11</v>
      </c>
      <c r="D306" t="s">
        <v>12</v>
      </c>
      <c r="E306">
        <v>2015</v>
      </c>
      <c r="G306" s="44">
        <v>1825.5151078021713</v>
      </c>
      <c r="H306" s="38"/>
      <c r="I306" s="38"/>
      <c r="J306" s="38"/>
      <c r="K306" s="1">
        <v>1539.1597967743796</v>
      </c>
      <c r="L306" s="1">
        <v>2111.8704188299625</v>
      </c>
      <c r="V306" s="2"/>
      <c r="W306" s="2"/>
      <c r="X306" s="2"/>
      <c r="Y306" s="2"/>
      <c r="Z306" s="2"/>
      <c r="AA306" s="2"/>
      <c r="AB306" s="2"/>
      <c r="AC306" s="2"/>
      <c r="AD306" s="2"/>
    </row>
    <row r="307" spans="1:30" x14ac:dyDescent="0.25">
      <c r="A307" t="s">
        <v>61</v>
      </c>
      <c r="B307" t="s">
        <v>11</v>
      </c>
      <c r="C307" t="s">
        <v>11</v>
      </c>
      <c r="D307" t="s">
        <v>15</v>
      </c>
      <c r="E307">
        <v>2015</v>
      </c>
      <c r="G307" s="44">
        <v>205.06887774870205</v>
      </c>
      <c r="H307" s="38"/>
      <c r="I307" s="38"/>
      <c r="J307" s="38"/>
      <c r="K307" s="1">
        <v>172.90121065086643</v>
      </c>
      <c r="L307" s="1">
        <v>237.23654484653767</v>
      </c>
      <c r="V307" s="2"/>
      <c r="W307" s="2"/>
      <c r="X307" s="2"/>
      <c r="Y307" s="2"/>
      <c r="Z307" s="2"/>
      <c r="AA307" s="2"/>
      <c r="AB307" s="2"/>
      <c r="AC307" s="2"/>
      <c r="AD307" s="2"/>
    </row>
    <row r="308" spans="1:30" x14ac:dyDescent="0.25">
      <c r="A308" t="s">
        <v>61</v>
      </c>
      <c r="B308" t="s">
        <v>11</v>
      </c>
      <c r="C308" t="s">
        <v>31</v>
      </c>
      <c r="D308" t="s">
        <v>11</v>
      </c>
      <c r="E308">
        <v>2015</v>
      </c>
      <c r="G308" s="44">
        <v>610.18043526206918</v>
      </c>
      <c r="H308" s="38"/>
      <c r="I308" s="38"/>
      <c r="J308" s="38"/>
      <c r="K308" s="1">
        <v>514.46585718174458</v>
      </c>
      <c r="L308" s="1">
        <v>705.89501334239367</v>
      </c>
      <c r="V308" s="2"/>
      <c r="W308" s="2"/>
      <c r="X308" s="2"/>
      <c r="Y308" s="2"/>
      <c r="Z308" s="2"/>
      <c r="AA308" s="2"/>
      <c r="AB308" s="2"/>
      <c r="AC308" s="2"/>
      <c r="AD308" s="2"/>
    </row>
    <row r="309" spans="1:30" x14ac:dyDescent="0.25">
      <c r="A309" t="s">
        <v>61</v>
      </c>
      <c r="B309" t="s">
        <v>11</v>
      </c>
      <c r="C309" t="s">
        <v>19</v>
      </c>
      <c r="D309" t="s">
        <v>11</v>
      </c>
      <c r="E309">
        <v>2015</v>
      </c>
      <c r="G309" s="44">
        <v>455.37353735373546</v>
      </c>
      <c r="H309" s="38"/>
      <c r="I309" s="38"/>
      <c r="J309" s="38"/>
      <c r="K309" s="1">
        <v>383.94239423942395</v>
      </c>
      <c r="L309" s="1">
        <v>526.80468046804685</v>
      </c>
      <c r="V309" s="2"/>
      <c r="W309" s="2"/>
      <c r="X309" s="2"/>
      <c r="Y309" s="2"/>
      <c r="Z309" s="2"/>
      <c r="AA309" s="2"/>
      <c r="AB309" s="2"/>
      <c r="AC309" s="2"/>
      <c r="AD309" s="2"/>
    </row>
    <row r="310" spans="1:30" x14ac:dyDescent="0.25">
      <c r="A310" t="s">
        <v>61</v>
      </c>
      <c r="B310" t="s">
        <v>11</v>
      </c>
      <c r="C310" t="s">
        <v>20</v>
      </c>
      <c r="D310" t="s">
        <v>11</v>
      </c>
      <c r="E310">
        <v>2015</v>
      </c>
      <c r="G310" s="44">
        <v>965.03001293506838</v>
      </c>
      <c r="H310" s="38"/>
      <c r="I310" s="38"/>
      <c r="J310" s="38"/>
      <c r="K310" s="1">
        <v>813.65275600407722</v>
      </c>
      <c r="L310" s="1">
        <v>1116.4072698660593</v>
      </c>
      <c r="V310" s="4"/>
      <c r="W310" s="4"/>
      <c r="X310" s="4"/>
      <c r="Y310" s="4"/>
      <c r="Z310" s="4"/>
      <c r="AA310" s="4"/>
      <c r="AB310" s="4"/>
      <c r="AC310" s="4"/>
      <c r="AD310" s="4"/>
    </row>
    <row r="311" spans="1:30" x14ac:dyDescent="0.25">
      <c r="A311" t="s">
        <v>61</v>
      </c>
      <c r="B311" t="s">
        <v>24</v>
      </c>
      <c r="C311" t="s">
        <v>11</v>
      </c>
      <c r="D311" t="s">
        <v>11</v>
      </c>
      <c r="E311">
        <v>2015</v>
      </c>
      <c r="G311" s="44">
        <v>1706.8968353789023</v>
      </c>
      <c r="H311" s="38"/>
      <c r="I311" s="38"/>
      <c r="J311" s="38"/>
      <c r="K311" s="1">
        <v>1439.1483121822116</v>
      </c>
      <c r="L311" s="1">
        <v>1974.6453585755926</v>
      </c>
      <c r="V311" s="2"/>
      <c r="W311" s="2"/>
      <c r="X311" s="2"/>
      <c r="Y311" s="2"/>
      <c r="Z311" s="2"/>
      <c r="AA311" s="2"/>
      <c r="AB311" s="2"/>
      <c r="AC311" s="2"/>
      <c r="AD311" s="2"/>
    </row>
    <row r="312" spans="1:30" x14ac:dyDescent="0.25">
      <c r="V312" s="2"/>
      <c r="W312" s="2"/>
      <c r="X312" s="2"/>
      <c r="Y312" s="2"/>
      <c r="Z312" s="2"/>
      <c r="AA312" s="2"/>
      <c r="AB312" s="2"/>
      <c r="AC312" s="2"/>
      <c r="AD312" s="2"/>
    </row>
    <row r="313" spans="1:30" x14ac:dyDescent="0.25">
      <c r="O313" s="21"/>
      <c r="P313" s="21"/>
      <c r="Q313" s="21"/>
      <c r="R313" s="21"/>
      <c r="S313" s="21"/>
      <c r="T313" s="21"/>
      <c r="U313" s="21"/>
    </row>
    <row r="322" spans="1:14" x14ac:dyDescent="0.25">
      <c r="A322" s="21"/>
    </row>
    <row r="324" spans="1:14" x14ac:dyDescent="0.25">
      <c r="C324" s="21"/>
      <c r="D324" s="21"/>
      <c r="E324" s="21"/>
      <c r="F324" s="21"/>
      <c r="G324" s="36"/>
      <c r="H324" s="36"/>
      <c r="I324" s="36"/>
      <c r="J324" s="36"/>
      <c r="K324" s="21"/>
      <c r="L324" s="21"/>
      <c r="M324" s="21"/>
      <c r="N324" s="21"/>
    </row>
    <row r="325" spans="1:14" x14ac:dyDescent="0.25">
      <c r="A325" s="21"/>
      <c r="C325" s="1"/>
      <c r="E325" s="1"/>
      <c r="F325" s="1"/>
      <c r="G325" s="2"/>
      <c r="H325" s="2"/>
      <c r="I325" s="2"/>
      <c r="J325" s="2"/>
      <c r="K325" s="1"/>
      <c r="L325" s="1"/>
      <c r="M325" s="1"/>
      <c r="N325" s="1"/>
    </row>
    <row r="326" spans="1:14" x14ac:dyDescent="0.25">
      <c r="A326" s="21"/>
      <c r="C326" s="1"/>
      <c r="E326" s="1"/>
      <c r="F326" s="1"/>
      <c r="G326" s="2"/>
      <c r="H326" s="2"/>
      <c r="I326" s="2"/>
      <c r="J326" s="2"/>
      <c r="K326" s="1"/>
      <c r="L326" s="1"/>
      <c r="M326" s="1"/>
      <c r="N326" s="1"/>
    </row>
    <row r="327" spans="1:14" x14ac:dyDescent="0.25">
      <c r="A327" s="21"/>
      <c r="C327" s="1"/>
      <c r="E327" s="1"/>
      <c r="F327" s="1"/>
      <c r="G327" s="2"/>
      <c r="H327" s="2"/>
      <c r="I327" s="2"/>
      <c r="J327" s="2"/>
      <c r="K327" s="1"/>
      <c r="L327" s="1"/>
      <c r="M327" s="1"/>
      <c r="N327" s="1"/>
    </row>
    <row r="328" spans="1:14" x14ac:dyDescent="0.25">
      <c r="A328" s="21"/>
      <c r="C328" s="1"/>
      <c r="E328" s="1"/>
      <c r="F328" s="1"/>
      <c r="G328" s="2"/>
      <c r="H328" s="2"/>
      <c r="I328" s="2"/>
      <c r="J328" s="2"/>
      <c r="K328" s="1"/>
      <c r="L328" s="1"/>
      <c r="M328" s="1"/>
      <c r="N328" s="1"/>
    </row>
    <row r="329" spans="1:14" x14ac:dyDescent="0.25">
      <c r="A329" s="21"/>
      <c r="C329" s="1"/>
      <c r="E329" s="1"/>
      <c r="F329" s="1"/>
      <c r="G329" s="2"/>
      <c r="H329" s="2"/>
      <c r="I329" s="2"/>
      <c r="J329" s="2"/>
      <c r="K329" s="1"/>
      <c r="L329" s="1"/>
      <c r="M329" s="1"/>
      <c r="N329" s="1"/>
    </row>
    <row r="330" spans="1:14" x14ac:dyDescent="0.25">
      <c r="A330" s="21"/>
      <c r="C330" s="1"/>
      <c r="E330" s="1"/>
      <c r="F330" s="1"/>
      <c r="G330" s="2"/>
      <c r="H330" s="2"/>
      <c r="I330" s="2"/>
      <c r="J330" s="2"/>
      <c r="K330" s="1"/>
      <c r="L330" s="1"/>
      <c r="M330" s="1"/>
      <c r="N330" s="1"/>
    </row>
    <row r="331" spans="1:14" x14ac:dyDescent="0.25">
      <c r="A331" s="21"/>
      <c r="C331" s="1"/>
      <c r="E331" s="1"/>
      <c r="F331" s="1"/>
      <c r="G331" s="2"/>
      <c r="H331" s="2"/>
      <c r="I331" s="2"/>
      <c r="J331" s="2"/>
      <c r="K331" s="1"/>
      <c r="L331" s="1"/>
      <c r="M331" s="1"/>
      <c r="N331" s="1"/>
    </row>
    <row r="332" spans="1:14" x14ac:dyDescent="0.25">
      <c r="A332" s="21"/>
      <c r="C332" s="1"/>
      <c r="E332" s="1"/>
      <c r="F332" s="1"/>
      <c r="G332" s="2"/>
      <c r="H332" s="2"/>
      <c r="I332" s="2"/>
      <c r="J332" s="2"/>
      <c r="K332" s="1"/>
      <c r="L332" s="1"/>
      <c r="M332" s="1"/>
      <c r="N332" s="1"/>
    </row>
    <row r="333" spans="1:14" x14ac:dyDescent="0.25">
      <c r="A333" s="21"/>
      <c r="C333" s="1"/>
      <c r="E333" s="1"/>
      <c r="F333" s="1"/>
      <c r="G333" s="2"/>
      <c r="H333" s="2"/>
      <c r="I333" s="2"/>
      <c r="J333" s="2"/>
      <c r="K333" s="1"/>
      <c r="L333" s="1"/>
      <c r="M333" s="1"/>
      <c r="N333" s="1"/>
    </row>
    <row r="334" spans="1:14" x14ac:dyDescent="0.25">
      <c r="A334" s="21"/>
      <c r="C334" s="1"/>
      <c r="E334" s="1"/>
      <c r="F334" s="1"/>
      <c r="G334" s="2"/>
      <c r="H334" s="2"/>
      <c r="I334" s="2"/>
      <c r="J334" s="2"/>
      <c r="K334" s="1"/>
      <c r="L334" s="1"/>
      <c r="M334" s="1"/>
      <c r="N334" s="1"/>
    </row>
    <row r="335" spans="1:14" x14ac:dyDescent="0.25">
      <c r="A335" s="21"/>
      <c r="C335" s="1"/>
      <c r="E335" s="1"/>
      <c r="F335" s="1"/>
      <c r="G335" s="2"/>
      <c r="H335" s="2"/>
      <c r="I335" s="2"/>
      <c r="J335" s="2"/>
      <c r="K335" s="1"/>
      <c r="L335" s="1"/>
      <c r="M335" s="1"/>
      <c r="N335" s="1"/>
    </row>
    <row r="336" spans="1:14" x14ac:dyDescent="0.25">
      <c r="A336" s="21"/>
      <c r="C336" s="1"/>
      <c r="E336" s="1"/>
      <c r="F336" s="1"/>
    </row>
    <row r="337" spans="1:14" x14ac:dyDescent="0.25">
      <c r="A337" s="21"/>
      <c r="C337" s="1"/>
      <c r="E337" s="1"/>
      <c r="F337" s="1"/>
    </row>
    <row r="338" spans="1:14" x14ac:dyDescent="0.25">
      <c r="A338" s="21"/>
      <c r="C338" s="1"/>
      <c r="E338" s="1"/>
      <c r="F338" s="1"/>
    </row>
    <row r="339" spans="1:14" x14ac:dyDescent="0.25">
      <c r="A339" s="21"/>
      <c r="C339" s="1"/>
      <c r="E339" s="1"/>
      <c r="F339" s="1"/>
    </row>
    <row r="340" spans="1:14" x14ac:dyDescent="0.25">
      <c r="A340" s="21"/>
      <c r="C340" s="1"/>
      <c r="E340" s="1"/>
      <c r="F340" s="1"/>
    </row>
    <row r="341" spans="1:14" x14ac:dyDescent="0.25">
      <c r="A341" s="21"/>
      <c r="C341" s="1"/>
      <c r="E341" s="1"/>
      <c r="F341" s="1"/>
    </row>
    <row r="344" spans="1:14" x14ac:dyDescent="0.25">
      <c r="B344" s="25"/>
      <c r="C344" s="21"/>
      <c r="D344" s="21"/>
      <c r="E344" s="21"/>
      <c r="F344" s="21"/>
      <c r="G344" s="36"/>
      <c r="H344" s="36"/>
      <c r="I344" s="36"/>
      <c r="J344" s="36"/>
      <c r="K344" s="21"/>
      <c r="L344" s="21"/>
      <c r="M344" s="21"/>
      <c r="N344" s="21"/>
    </row>
    <row r="583" spans="1:34" ht="15.75" thickBot="1" x14ac:dyDescent="0.3">
      <c r="A583" s="6"/>
      <c r="B583" s="6"/>
      <c r="C583" s="6"/>
      <c r="D583" s="6"/>
      <c r="E583" s="6"/>
      <c r="F583" s="6"/>
      <c r="G583" s="34"/>
      <c r="H583" s="34"/>
      <c r="I583" s="34"/>
      <c r="J583" s="34"/>
      <c r="K583" s="6"/>
      <c r="L583" s="6"/>
      <c r="M583" s="6"/>
      <c r="N583" s="6"/>
      <c r="O583" s="6"/>
      <c r="P583" s="6"/>
      <c r="Q583" s="6"/>
      <c r="R583" s="6"/>
      <c r="S583" s="6"/>
      <c r="T583" s="6"/>
      <c r="U583" s="6"/>
      <c r="V583" s="6"/>
      <c r="W583" s="6"/>
      <c r="X583" s="6"/>
      <c r="Y583" s="6"/>
      <c r="Z583" s="6"/>
      <c r="AA583" s="6"/>
      <c r="AB583" s="6"/>
      <c r="AC583" s="6"/>
      <c r="AD583" s="6"/>
      <c r="AE583" s="6"/>
      <c r="AF583" s="6"/>
      <c r="AG583" s="6"/>
      <c r="AH583" s="6"/>
    </row>
    <row r="584" spans="1:34" x14ac:dyDescent="0.25">
      <c r="A584" s="9"/>
      <c r="B584" s="9"/>
      <c r="C584" s="9"/>
      <c r="D584" s="9"/>
      <c r="E584" s="9"/>
      <c r="F584" s="9"/>
      <c r="G584" s="11"/>
      <c r="H584" s="11"/>
      <c r="I584" s="11"/>
      <c r="J584" s="11"/>
      <c r="K584" s="9"/>
      <c r="L584" s="9"/>
      <c r="M584" s="9"/>
      <c r="N584" s="9"/>
      <c r="O584" s="9"/>
      <c r="P584" s="9"/>
      <c r="Q584" s="9"/>
      <c r="R584" s="9"/>
      <c r="S584" s="9"/>
      <c r="T584" s="9"/>
      <c r="U584" s="9"/>
      <c r="V584" s="9"/>
      <c r="W584" s="9"/>
      <c r="X584" s="9"/>
      <c r="Y584" s="9"/>
      <c r="Z584" s="9"/>
      <c r="AA584" s="9"/>
      <c r="AB584" s="9"/>
      <c r="AC584" s="9"/>
      <c r="AD584" s="9"/>
      <c r="AE584" s="9"/>
      <c r="AF584" s="9"/>
      <c r="AG584" s="9"/>
      <c r="AH584" s="9"/>
    </row>
    <row r="585" spans="1:34" x14ac:dyDescent="0.25">
      <c r="A585" s="9" t="s">
        <v>10</v>
      </c>
      <c r="B585" s="9" t="s">
        <v>24</v>
      </c>
      <c r="C585" s="9" t="s">
        <v>11</v>
      </c>
      <c r="D585" s="9" t="s">
        <v>12</v>
      </c>
      <c r="E585" s="9">
        <v>2012</v>
      </c>
      <c r="F585" s="9"/>
      <c r="G585" s="11"/>
      <c r="H585" s="11"/>
      <c r="I585" s="11"/>
      <c r="J585" s="11"/>
      <c r="K585" s="9"/>
      <c r="L585" s="9"/>
      <c r="M585" s="9"/>
      <c r="N585" s="9"/>
      <c r="O585" s="9"/>
      <c r="P585" s="9"/>
      <c r="Q585" s="9"/>
      <c r="R585" s="9"/>
      <c r="S585" s="9"/>
      <c r="T585" s="9"/>
      <c r="U585" s="9"/>
      <c r="V585" s="9"/>
      <c r="W585" s="9"/>
      <c r="X585" s="9"/>
      <c r="Y585" s="9"/>
      <c r="Z585" s="9"/>
      <c r="AA585" s="9"/>
      <c r="AB585" s="9"/>
      <c r="AC585" s="9"/>
      <c r="AD585" s="9"/>
      <c r="AE585" s="9" t="s">
        <v>12</v>
      </c>
      <c r="AF585" s="9" t="s">
        <v>24</v>
      </c>
      <c r="AG585" s="9" t="s">
        <v>31</v>
      </c>
      <c r="AH585" s="9"/>
    </row>
    <row r="586" spans="1:34" x14ac:dyDescent="0.25">
      <c r="A586" s="9" t="s">
        <v>10</v>
      </c>
      <c r="B586" s="9" t="s">
        <v>26</v>
      </c>
      <c r="C586" s="9" t="s">
        <v>11</v>
      </c>
      <c r="D586" s="9" t="s">
        <v>12</v>
      </c>
      <c r="E586" s="9">
        <v>2012</v>
      </c>
      <c r="F586" s="9"/>
      <c r="G586" s="11"/>
      <c r="H586" s="11"/>
      <c r="I586" s="11"/>
      <c r="J586" s="11"/>
      <c r="K586" s="9"/>
      <c r="L586" s="9"/>
      <c r="M586" s="9"/>
      <c r="N586" s="9"/>
      <c r="O586" s="9"/>
      <c r="P586" s="9"/>
      <c r="Q586" s="9"/>
      <c r="R586" s="9"/>
      <c r="S586" s="9"/>
      <c r="T586" s="9"/>
      <c r="U586" s="9"/>
      <c r="V586" s="9"/>
      <c r="W586" s="9"/>
      <c r="X586" s="9"/>
      <c r="Y586" s="9"/>
      <c r="Z586" s="9"/>
      <c r="AA586" s="9"/>
      <c r="AB586" s="9"/>
      <c r="AC586" s="9"/>
      <c r="AD586" s="9"/>
      <c r="AE586" s="9"/>
      <c r="AF586" s="9"/>
      <c r="AG586" s="9" t="s">
        <v>19</v>
      </c>
      <c r="AH586" s="9"/>
    </row>
    <row r="587" spans="1:34" x14ac:dyDescent="0.25">
      <c r="A587" s="9" t="s">
        <v>10</v>
      </c>
      <c r="B587" s="9" t="s">
        <v>27</v>
      </c>
      <c r="C587" s="9" t="s">
        <v>11</v>
      </c>
      <c r="D587" s="9" t="s">
        <v>12</v>
      </c>
      <c r="E587" s="9">
        <v>2012</v>
      </c>
      <c r="F587" s="9"/>
      <c r="G587" s="11"/>
      <c r="H587" s="11"/>
      <c r="I587" s="11"/>
      <c r="J587" s="11"/>
      <c r="K587" s="9"/>
      <c r="L587" s="9"/>
      <c r="M587" s="9"/>
      <c r="N587" s="9"/>
      <c r="O587" s="9"/>
      <c r="P587" s="9"/>
      <c r="Q587" s="9"/>
      <c r="R587" s="9"/>
      <c r="S587" s="9"/>
      <c r="T587" s="9"/>
      <c r="U587" s="9"/>
      <c r="V587" s="9"/>
      <c r="W587" s="9"/>
      <c r="X587" s="9"/>
      <c r="Y587" s="9"/>
      <c r="Z587" s="9"/>
      <c r="AA587" s="9"/>
      <c r="AB587" s="9"/>
      <c r="AC587" s="9"/>
      <c r="AD587" s="9"/>
      <c r="AE587" s="9"/>
      <c r="AF587" s="9"/>
      <c r="AG587" s="9" t="s">
        <v>20</v>
      </c>
      <c r="AH587" s="9"/>
    </row>
    <row r="588" spans="1:34" x14ac:dyDescent="0.25">
      <c r="A588" s="9" t="s">
        <v>10</v>
      </c>
      <c r="B588" s="9" t="s">
        <v>28</v>
      </c>
      <c r="C588" s="9" t="s">
        <v>11</v>
      </c>
      <c r="D588" s="9" t="s">
        <v>12</v>
      </c>
      <c r="E588" s="9">
        <v>2012</v>
      </c>
      <c r="F588" s="9"/>
      <c r="G588" s="11"/>
      <c r="H588" s="11"/>
      <c r="I588" s="11"/>
      <c r="J588" s="11"/>
      <c r="K588" s="9"/>
      <c r="L588" s="9"/>
      <c r="M588" s="9"/>
      <c r="N588" s="9"/>
      <c r="O588" s="9"/>
      <c r="P588" s="9"/>
      <c r="Q588" s="9"/>
      <c r="R588" s="9"/>
      <c r="S588" s="9"/>
      <c r="T588" s="9"/>
      <c r="U588" s="9"/>
      <c r="V588" s="9"/>
      <c r="W588" s="9"/>
      <c r="X588" s="9"/>
      <c r="Y588" s="9"/>
      <c r="Z588" s="9"/>
      <c r="AA588" s="9"/>
      <c r="AB588" s="9"/>
      <c r="AC588" s="9"/>
      <c r="AD588" s="9"/>
      <c r="AE588" s="9"/>
      <c r="AF588" s="9" t="s">
        <v>26</v>
      </c>
      <c r="AG588" s="9" t="s">
        <v>31</v>
      </c>
      <c r="AH588" s="9"/>
    </row>
    <row r="589" spans="1:34" x14ac:dyDescent="0.25">
      <c r="A589" s="9" t="s">
        <v>10</v>
      </c>
      <c r="B589" s="9" t="s">
        <v>29</v>
      </c>
      <c r="C589" s="9" t="s">
        <v>11</v>
      </c>
      <c r="D589" s="9" t="s">
        <v>12</v>
      </c>
      <c r="E589" s="9">
        <v>2012</v>
      </c>
      <c r="F589" s="9"/>
      <c r="G589" s="11"/>
      <c r="H589" s="11"/>
      <c r="I589" s="11"/>
      <c r="J589" s="11"/>
      <c r="K589" s="9"/>
      <c r="L589" s="9"/>
      <c r="M589" s="9"/>
      <c r="N589" s="9"/>
      <c r="O589" s="9"/>
      <c r="P589" s="9"/>
      <c r="Q589" s="9"/>
      <c r="R589" s="9"/>
      <c r="S589" s="9"/>
      <c r="T589" s="9"/>
      <c r="U589" s="9"/>
      <c r="V589" s="9"/>
      <c r="W589" s="9"/>
      <c r="X589" s="9"/>
      <c r="Y589" s="9"/>
      <c r="Z589" s="9"/>
      <c r="AA589" s="9"/>
      <c r="AB589" s="9"/>
      <c r="AC589" s="9"/>
      <c r="AD589" s="9"/>
      <c r="AE589" s="9"/>
      <c r="AF589" s="9"/>
      <c r="AG589" s="9" t="s">
        <v>19</v>
      </c>
      <c r="AH589" s="9"/>
    </row>
    <row r="590" spans="1:34" x14ac:dyDescent="0.25">
      <c r="A590" s="9" t="s">
        <v>10</v>
      </c>
      <c r="B590" s="9" t="s">
        <v>30</v>
      </c>
      <c r="C590" s="9" t="s">
        <v>11</v>
      </c>
      <c r="D590" s="9" t="s">
        <v>12</v>
      </c>
      <c r="E590" s="9">
        <v>2012</v>
      </c>
      <c r="F590" s="9"/>
      <c r="G590" s="11"/>
      <c r="H590" s="11"/>
      <c r="I590" s="11"/>
      <c r="J590" s="11"/>
      <c r="K590" s="9"/>
      <c r="L590" s="9"/>
      <c r="M590" s="9"/>
      <c r="N590" s="9"/>
      <c r="O590" s="9"/>
      <c r="P590" s="9"/>
      <c r="Q590" s="9"/>
      <c r="R590" s="9"/>
      <c r="S590" s="9"/>
      <c r="T590" s="9"/>
      <c r="U590" s="9"/>
      <c r="V590" s="9"/>
      <c r="W590" s="9"/>
      <c r="X590" s="9"/>
      <c r="Y590" s="9"/>
      <c r="Z590" s="9"/>
      <c r="AA590" s="9"/>
      <c r="AB590" s="9"/>
      <c r="AC590" s="9"/>
      <c r="AD590" s="9"/>
      <c r="AE590" s="9"/>
      <c r="AF590" s="9"/>
      <c r="AG590" s="9" t="s">
        <v>20</v>
      </c>
      <c r="AH590" s="9"/>
    </row>
    <row r="591" spans="1:34" x14ac:dyDescent="0.25">
      <c r="A591" s="9" t="s">
        <v>10</v>
      </c>
      <c r="B591" s="9" t="s">
        <v>26</v>
      </c>
      <c r="C591" s="9" t="s">
        <v>11</v>
      </c>
      <c r="D591" s="9" t="s">
        <v>15</v>
      </c>
      <c r="E591" s="9">
        <v>2012</v>
      </c>
      <c r="F591" s="9"/>
      <c r="G591" s="11"/>
      <c r="H591" s="11"/>
      <c r="I591" s="11"/>
      <c r="J591" s="11"/>
      <c r="K591" s="9"/>
      <c r="L591" s="9"/>
      <c r="M591" s="9"/>
      <c r="N591" s="9"/>
      <c r="O591" s="9"/>
      <c r="P591" s="9"/>
      <c r="Q591" s="9"/>
      <c r="R591" s="9"/>
      <c r="S591" s="9"/>
      <c r="T591" s="9"/>
      <c r="U591" s="9"/>
      <c r="V591" s="9"/>
      <c r="W591" s="9"/>
      <c r="X591" s="9"/>
      <c r="Y591" s="9"/>
      <c r="Z591" s="9"/>
      <c r="AA591" s="9"/>
      <c r="AB591" s="9"/>
      <c r="AC591" s="9"/>
      <c r="AD591" s="9"/>
      <c r="AE591" s="9"/>
      <c r="AF591" s="9" t="s">
        <v>27</v>
      </c>
      <c r="AG591" s="9" t="s">
        <v>31</v>
      </c>
      <c r="AH591" s="9"/>
    </row>
    <row r="592" spans="1:34" x14ac:dyDescent="0.25">
      <c r="A592" s="9" t="s">
        <v>10</v>
      </c>
      <c r="B592" s="9" t="s">
        <v>28</v>
      </c>
      <c r="C592" s="9" t="s">
        <v>11</v>
      </c>
      <c r="D592" s="9" t="s">
        <v>15</v>
      </c>
      <c r="E592" s="9">
        <v>2012</v>
      </c>
      <c r="F592" s="9"/>
      <c r="G592" s="11"/>
      <c r="H592" s="11"/>
      <c r="I592" s="11"/>
      <c r="J592" s="11"/>
      <c r="K592" s="9"/>
      <c r="L592" s="9"/>
      <c r="M592" s="9"/>
      <c r="N592" s="9"/>
      <c r="O592" s="9"/>
      <c r="P592" s="9"/>
      <c r="Q592" s="9"/>
      <c r="R592" s="9"/>
      <c r="S592" s="9"/>
      <c r="T592" s="9"/>
      <c r="U592" s="9"/>
      <c r="V592" s="9"/>
      <c r="W592" s="9"/>
      <c r="X592" s="9"/>
      <c r="Y592" s="9"/>
      <c r="Z592" s="9"/>
      <c r="AA592" s="9"/>
      <c r="AB592" s="9"/>
      <c r="AC592" s="9"/>
      <c r="AD592" s="9"/>
      <c r="AE592" s="9"/>
      <c r="AF592" s="9"/>
      <c r="AG592" s="9" t="s">
        <v>19</v>
      </c>
      <c r="AH592" s="9"/>
    </row>
    <row r="593" spans="1:34" x14ac:dyDescent="0.25">
      <c r="A593" s="9" t="s">
        <v>10</v>
      </c>
      <c r="B593" s="9" t="s">
        <v>29</v>
      </c>
      <c r="C593" s="9" t="s">
        <v>11</v>
      </c>
      <c r="D593" s="9" t="s">
        <v>15</v>
      </c>
      <c r="E593" s="9">
        <v>2012</v>
      </c>
      <c r="F593" s="9"/>
      <c r="G593" s="11"/>
      <c r="H593" s="11"/>
      <c r="I593" s="11"/>
      <c r="J593" s="11"/>
      <c r="K593" s="9"/>
      <c r="L593" s="9"/>
      <c r="M593" s="9"/>
      <c r="N593" s="9"/>
      <c r="O593" s="9"/>
      <c r="P593" s="9"/>
      <c r="Q593" s="9"/>
      <c r="R593" s="9"/>
      <c r="S593" s="9"/>
      <c r="T593" s="9"/>
      <c r="U593" s="9"/>
      <c r="V593" s="9"/>
      <c r="W593" s="9"/>
      <c r="X593" s="9"/>
      <c r="Y593" s="9"/>
      <c r="Z593" s="9"/>
      <c r="AA593" s="9"/>
      <c r="AB593" s="9"/>
      <c r="AC593" s="9"/>
      <c r="AD593" s="9"/>
      <c r="AE593" s="9"/>
      <c r="AF593" s="9"/>
      <c r="AG593" s="9" t="s">
        <v>20</v>
      </c>
      <c r="AH593" s="9"/>
    </row>
    <row r="594" spans="1:34" x14ac:dyDescent="0.25">
      <c r="A594" s="9" t="s">
        <v>10</v>
      </c>
      <c r="B594" s="9" t="s">
        <v>30</v>
      </c>
      <c r="C594" s="9" t="s">
        <v>11</v>
      </c>
      <c r="D594" s="9" t="s">
        <v>15</v>
      </c>
      <c r="E594" s="9">
        <v>2012</v>
      </c>
      <c r="F594" s="9"/>
      <c r="G594" s="11"/>
      <c r="H594" s="11"/>
      <c r="I594" s="11"/>
      <c r="J594" s="11"/>
      <c r="K594" s="9"/>
      <c r="L594" s="9"/>
      <c r="M594" s="9"/>
      <c r="N594" s="9"/>
      <c r="O594" s="9"/>
      <c r="P594" s="9"/>
      <c r="Q594" s="9"/>
      <c r="R594" s="9"/>
      <c r="S594" s="9"/>
      <c r="T594" s="9"/>
      <c r="U594" s="9"/>
      <c r="V594" s="9"/>
      <c r="W594" s="9"/>
      <c r="X594" s="9"/>
      <c r="Y594" s="9"/>
      <c r="Z594" s="9"/>
      <c r="AA594" s="9"/>
      <c r="AB594" s="9"/>
      <c r="AC594" s="9"/>
      <c r="AD594" s="9"/>
      <c r="AE594" s="9"/>
      <c r="AF594" s="9" t="s">
        <v>28</v>
      </c>
      <c r="AG594" s="9" t="s">
        <v>31</v>
      </c>
      <c r="AH594" s="9"/>
    </row>
    <row r="595" spans="1:34" x14ac:dyDescent="0.25">
      <c r="A595" s="9"/>
      <c r="B595" s="9"/>
      <c r="C595" s="9"/>
      <c r="D595" s="9"/>
      <c r="E595" s="9"/>
      <c r="F595" s="9"/>
      <c r="G595" s="11"/>
      <c r="H595" s="11"/>
      <c r="I595" s="11"/>
      <c r="J595" s="11"/>
      <c r="K595" s="9"/>
      <c r="L595" s="9"/>
      <c r="M595" s="9"/>
      <c r="N595" s="9"/>
      <c r="O595" s="9"/>
      <c r="P595" s="9"/>
      <c r="Q595" s="9"/>
      <c r="R595" s="9"/>
      <c r="S595" s="9"/>
      <c r="T595" s="9"/>
      <c r="U595" s="9"/>
      <c r="V595" s="9"/>
      <c r="W595" s="9"/>
      <c r="X595" s="9"/>
      <c r="Y595" s="9"/>
      <c r="Z595" s="9"/>
      <c r="AA595" s="9"/>
      <c r="AB595" s="9"/>
      <c r="AC595" s="9"/>
      <c r="AD595" s="9"/>
      <c r="AE595" s="9"/>
      <c r="AF595" s="9"/>
      <c r="AG595" s="9" t="s">
        <v>19</v>
      </c>
      <c r="AH595" s="9"/>
    </row>
    <row r="596" spans="1:34" x14ac:dyDescent="0.25">
      <c r="A596" s="9" t="s">
        <v>10</v>
      </c>
      <c r="B596" s="9" t="s">
        <v>24</v>
      </c>
      <c r="C596" s="9" t="s">
        <v>31</v>
      </c>
      <c r="D596" s="9" t="s">
        <v>12</v>
      </c>
      <c r="E596" s="9">
        <v>2012</v>
      </c>
      <c r="F596" s="9"/>
      <c r="G596" s="11"/>
      <c r="H596" s="11"/>
      <c r="I596" s="11"/>
      <c r="J596" s="11"/>
      <c r="K596" s="9"/>
      <c r="L596" s="9"/>
      <c r="M596" s="9"/>
      <c r="N596" s="9"/>
      <c r="O596" s="9"/>
      <c r="P596" s="9"/>
      <c r="Q596" s="9"/>
      <c r="R596" s="9"/>
      <c r="S596" s="9"/>
      <c r="T596" s="9"/>
      <c r="U596" s="9"/>
      <c r="V596" s="9"/>
      <c r="W596" s="9"/>
      <c r="X596" s="9"/>
      <c r="Y596" s="9"/>
      <c r="Z596" s="9"/>
      <c r="AA596" s="9"/>
      <c r="AB596" s="9"/>
      <c r="AC596" s="9"/>
      <c r="AD596" s="9"/>
      <c r="AE596" s="9"/>
      <c r="AF596" s="9"/>
      <c r="AG596" s="9" t="s">
        <v>20</v>
      </c>
      <c r="AH596" s="9"/>
    </row>
    <row r="597" spans="1:34" x14ac:dyDescent="0.25">
      <c r="A597" s="9" t="s">
        <v>10</v>
      </c>
      <c r="B597" s="9" t="s">
        <v>26</v>
      </c>
      <c r="C597" s="9" t="s">
        <v>31</v>
      </c>
      <c r="D597" s="9" t="s">
        <v>12</v>
      </c>
      <c r="E597" s="9">
        <v>2012</v>
      </c>
      <c r="F597" s="9"/>
      <c r="G597" s="11"/>
      <c r="H597" s="11"/>
      <c r="I597" s="11"/>
      <c r="J597" s="11"/>
      <c r="K597" s="9"/>
      <c r="L597" s="9"/>
      <c r="M597" s="9"/>
      <c r="N597" s="9"/>
      <c r="O597" s="9"/>
      <c r="P597" s="9"/>
      <c r="Q597" s="9"/>
      <c r="R597" s="9"/>
      <c r="S597" s="9"/>
      <c r="T597" s="9"/>
      <c r="U597" s="9"/>
      <c r="V597" s="9"/>
      <c r="W597" s="9"/>
      <c r="X597" s="9"/>
      <c r="Y597" s="9"/>
      <c r="Z597" s="9"/>
      <c r="AA597" s="9"/>
      <c r="AB597" s="9"/>
      <c r="AC597" s="9"/>
      <c r="AD597" s="9"/>
      <c r="AE597" s="9" t="s">
        <v>15</v>
      </c>
      <c r="AF597" s="9" t="s">
        <v>26</v>
      </c>
      <c r="AG597" s="9" t="s">
        <v>31</v>
      </c>
      <c r="AH597" s="9"/>
    </row>
    <row r="598" spans="1:34" x14ac:dyDescent="0.25">
      <c r="A598" s="9" t="s">
        <v>10</v>
      </c>
      <c r="B598" s="9" t="s">
        <v>27</v>
      </c>
      <c r="C598" s="9" t="s">
        <v>31</v>
      </c>
      <c r="D598" s="9" t="s">
        <v>12</v>
      </c>
      <c r="E598" s="9">
        <v>2012</v>
      </c>
      <c r="F598" s="9"/>
      <c r="G598" s="11"/>
      <c r="H598" s="11"/>
      <c r="I598" s="11"/>
      <c r="J598" s="11"/>
      <c r="K598" s="9"/>
      <c r="L598" s="9"/>
      <c r="M598" s="9"/>
      <c r="N598" s="9"/>
      <c r="O598" s="9"/>
      <c r="P598" s="9"/>
      <c r="Q598" s="9"/>
      <c r="R598" s="9"/>
      <c r="S598" s="9"/>
      <c r="T598" s="9"/>
      <c r="U598" s="9"/>
      <c r="V598" s="9"/>
      <c r="W598" s="9"/>
      <c r="X598" s="9"/>
      <c r="Y598" s="9"/>
      <c r="Z598" s="9"/>
      <c r="AA598" s="9"/>
      <c r="AB598" s="9"/>
      <c r="AC598" s="9"/>
      <c r="AD598" s="9"/>
      <c r="AE598" s="9"/>
      <c r="AF598" s="9"/>
      <c r="AG598" s="9" t="s">
        <v>19</v>
      </c>
      <c r="AH598" s="9"/>
    </row>
    <row r="599" spans="1:34" x14ac:dyDescent="0.25">
      <c r="A599" s="9" t="s">
        <v>10</v>
      </c>
      <c r="B599" s="9" t="s">
        <v>28</v>
      </c>
      <c r="C599" s="9" t="s">
        <v>31</v>
      </c>
      <c r="D599" s="9" t="s">
        <v>12</v>
      </c>
      <c r="E599" s="9">
        <v>2012</v>
      </c>
      <c r="F599" s="9"/>
      <c r="G599" s="11"/>
      <c r="H599" s="11"/>
      <c r="I599" s="11"/>
      <c r="J599" s="11"/>
      <c r="K599" s="9"/>
      <c r="L599" s="9"/>
      <c r="M599" s="9"/>
      <c r="N599" s="9"/>
      <c r="O599" s="9"/>
      <c r="P599" s="9"/>
      <c r="Q599" s="9"/>
      <c r="R599" s="9"/>
      <c r="S599" s="9"/>
      <c r="T599" s="9"/>
      <c r="U599" s="9"/>
      <c r="V599" s="9"/>
      <c r="W599" s="9"/>
      <c r="X599" s="9"/>
      <c r="Y599" s="9"/>
      <c r="Z599" s="9"/>
      <c r="AA599" s="9"/>
      <c r="AB599" s="9"/>
      <c r="AC599" s="9"/>
      <c r="AD599" s="9"/>
      <c r="AE599" s="9"/>
      <c r="AF599" s="9"/>
      <c r="AG599" s="9" t="s">
        <v>20</v>
      </c>
      <c r="AH599" s="9"/>
    </row>
    <row r="600" spans="1:34" x14ac:dyDescent="0.25">
      <c r="A600" s="9" t="s">
        <v>10</v>
      </c>
      <c r="B600" s="9" t="s">
        <v>29</v>
      </c>
      <c r="C600" s="9" t="s">
        <v>31</v>
      </c>
      <c r="D600" s="9" t="s">
        <v>12</v>
      </c>
      <c r="E600" s="9">
        <v>2012</v>
      </c>
      <c r="F600" s="9"/>
      <c r="G600" s="11"/>
      <c r="H600" s="11"/>
      <c r="I600" s="11"/>
      <c r="J600" s="11"/>
      <c r="K600" s="9"/>
      <c r="L600" s="9"/>
      <c r="M600" s="9"/>
      <c r="N600" s="9"/>
      <c r="O600" s="9"/>
      <c r="P600" s="9"/>
      <c r="Q600" s="9"/>
      <c r="R600" s="9"/>
      <c r="S600" s="9"/>
      <c r="T600" s="9"/>
      <c r="U600" s="9"/>
      <c r="V600" s="9"/>
      <c r="W600" s="9"/>
      <c r="X600" s="9"/>
      <c r="Y600" s="9"/>
      <c r="Z600" s="9"/>
      <c r="AA600" s="9"/>
      <c r="AB600" s="9"/>
      <c r="AC600" s="9"/>
      <c r="AD600" s="9"/>
      <c r="AE600" s="9"/>
      <c r="AF600" s="9" t="s">
        <v>28</v>
      </c>
      <c r="AG600" s="9" t="s">
        <v>31</v>
      </c>
      <c r="AH600" s="9"/>
    </row>
    <row r="601" spans="1:34" x14ac:dyDescent="0.25">
      <c r="A601" s="9" t="s">
        <v>10</v>
      </c>
      <c r="B601" s="9" t="s">
        <v>30</v>
      </c>
      <c r="C601" s="9" t="s">
        <v>31</v>
      </c>
      <c r="D601" s="9" t="s">
        <v>12</v>
      </c>
      <c r="E601" s="9">
        <v>2012</v>
      </c>
      <c r="F601" s="9"/>
      <c r="G601" s="11"/>
      <c r="H601" s="11"/>
      <c r="I601" s="11"/>
      <c r="J601" s="11"/>
      <c r="K601" s="9"/>
      <c r="L601" s="9"/>
      <c r="M601" s="9"/>
      <c r="N601" s="9"/>
      <c r="O601" s="9"/>
      <c r="P601" s="9"/>
      <c r="Q601" s="9"/>
      <c r="R601" s="9"/>
      <c r="S601" s="9"/>
      <c r="T601" s="9"/>
      <c r="U601" s="9"/>
      <c r="V601" s="9"/>
      <c r="W601" s="9"/>
      <c r="X601" s="9"/>
      <c r="Y601" s="9"/>
      <c r="Z601" s="9"/>
      <c r="AA601" s="9"/>
      <c r="AB601" s="9"/>
      <c r="AC601" s="9"/>
      <c r="AD601" s="9"/>
      <c r="AE601" s="9"/>
      <c r="AF601" s="9"/>
      <c r="AG601" s="9" t="s">
        <v>19</v>
      </c>
      <c r="AH601" s="9"/>
    </row>
    <row r="602" spans="1:34" x14ac:dyDescent="0.25">
      <c r="A602" s="9" t="s">
        <v>10</v>
      </c>
      <c r="B602" s="9" t="s">
        <v>26</v>
      </c>
      <c r="C602" s="9" t="s">
        <v>31</v>
      </c>
      <c r="D602" s="9" t="s">
        <v>15</v>
      </c>
      <c r="E602" s="9">
        <v>2012</v>
      </c>
      <c r="F602" s="9"/>
      <c r="G602" s="11"/>
      <c r="H602" s="11"/>
      <c r="I602" s="11"/>
      <c r="J602" s="11"/>
      <c r="K602" s="9"/>
      <c r="L602" s="9"/>
      <c r="M602" s="9"/>
      <c r="N602" s="9"/>
      <c r="O602" s="9"/>
      <c r="P602" s="9"/>
      <c r="Q602" s="9"/>
      <c r="R602" s="9"/>
      <c r="S602" s="9"/>
      <c r="T602" s="9"/>
      <c r="U602" s="9"/>
      <c r="V602" s="9"/>
      <c r="W602" s="9"/>
      <c r="X602" s="9"/>
      <c r="Y602" s="9"/>
      <c r="Z602" s="9"/>
      <c r="AA602" s="9"/>
      <c r="AB602" s="9"/>
      <c r="AC602" s="9"/>
      <c r="AD602" s="9"/>
      <c r="AE602" s="9"/>
      <c r="AF602" s="9"/>
      <c r="AG602" s="9" t="s">
        <v>20</v>
      </c>
      <c r="AH602" s="9"/>
    </row>
    <row r="603" spans="1:34" x14ac:dyDescent="0.25">
      <c r="A603" s="9" t="s">
        <v>10</v>
      </c>
      <c r="B603" s="9" t="s">
        <v>28</v>
      </c>
      <c r="C603" s="9" t="s">
        <v>31</v>
      </c>
      <c r="D603" s="9" t="s">
        <v>15</v>
      </c>
      <c r="E603" s="9">
        <v>2012</v>
      </c>
      <c r="F603" s="9"/>
      <c r="G603" s="11"/>
      <c r="H603" s="11"/>
      <c r="I603" s="11"/>
      <c r="J603" s="11"/>
      <c r="K603" s="9"/>
      <c r="L603" s="9"/>
      <c r="M603" s="9"/>
      <c r="N603" s="9"/>
      <c r="O603" s="9"/>
      <c r="P603" s="9"/>
      <c r="Q603" s="9"/>
      <c r="R603" s="9"/>
      <c r="S603" s="9"/>
      <c r="T603" s="9"/>
      <c r="U603" s="9"/>
      <c r="V603" s="9"/>
      <c r="W603" s="9"/>
      <c r="X603" s="9"/>
      <c r="Y603" s="9"/>
      <c r="Z603" s="9"/>
      <c r="AA603" s="9"/>
      <c r="AB603" s="9"/>
      <c r="AC603" s="9"/>
      <c r="AD603" s="9"/>
      <c r="AE603" s="9"/>
      <c r="AF603" s="9"/>
      <c r="AG603" s="9"/>
      <c r="AH603" s="9"/>
    </row>
    <row r="604" spans="1:34" x14ac:dyDescent="0.25">
      <c r="A604" s="9" t="s">
        <v>10</v>
      </c>
      <c r="B604" s="9" t="s">
        <v>29</v>
      </c>
      <c r="C604" s="9" t="s">
        <v>31</v>
      </c>
      <c r="D604" s="9" t="s">
        <v>15</v>
      </c>
      <c r="E604" s="9">
        <v>2012</v>
      </c>
      <c r="F604" s="9"/>
      <c r="G604" s="11"/>
      <c r="H604" s="11"/>
      <c r="I604" s="11"/>
      <c r="J604" s="11"/>
      <c r="K604" s="9"/>
      <c r="L604" s="9"/>
      <c r="M604" s="9"/>
      <c r="N604" s="9"/>
      <c r="O604" s="9"/>
      <c r="P604" s="9"/>
      <c r="Q604" s="9"/>
      <c r="R604" s="9"/>
      <c r="S604" s="9"/>
      <c r="T604" s="9"/>
      <c r="U604" s="9"/>
      <c r="V604" s="9"/>
      <c r="W604" s="9"/>
      <c r="X604" s="9"/>
      <c r="Y604" s="9"/>
      <c r="Z604" s="9"/>
      <c r="AA604" s="9"/>
      <c r="AB604" s="9"/>
      <c r="AC604" s="9"/>
      <c r="AD604" s="9"/>
      <c r="AE604" s="9"/>
      <c r="AF604" s="9"/>
      <c r="AG604" s="9"/>
      <c r="AH604" s="9"/>
    </row>
    <row r="605" spans="1:34" x14ac:dyDescent="0.25">
      <c r="A605" s="9" t="s">
        <v>10</v>
      </c>
      <c r="B605" s="9" t="s">
        <v>30</v>
      </c>
      <c r="C605" s="9" t="s">
        <v>31</v>
      </c>
      <c r="D605" s="9" t="s">
        <v>15</v>
      </c>
      <c r="E605" s="9">
        <v>2012</v>
      </c>
      <c r="F605" s="9"/>
      <c r="G605" s="11"/>
      <c r="H605" s="11"/>
      <c r="I605" s="11"/>
      <c r="J605" s="11"/>
      <c r="K605" s="9"/>
      <c r="L605" s="9"/>
      <c r="M605" s="9"/>
      <c r="N605" s="9"/>
      <c r="O605" s="9"/>
      <c r="P605" s="9"/>
      <c r="Q605" s="9"/>
      <c r="R605" s="9"/>
      <c r="S605" s="9"/>
      <c r="T605" s="9"/>
      <c r="U605" s="9"/>
      <c r="V605" s="9"/>
      <c r="W605" s="9"/>
      <c r="X605" s="9"/>
      <c r="Y605" s="9"/>
      <c r="Z605" s="9"/>
      <c r="AA605" s="9"/>
      <c r="AB605" s="9"/>
      <c r="AC605" s="9"/>
      <c r="AD605" s="9"/>
      <c r="AE605" s="9"/>
      <c r="AF605" s="9"/>
      <c r="AG605" s="9"/>
      <c r="AH605" s="9"/>
    </row>
    <row r="606" spans="1:34" x14ac:dyDescent="0.25">
      <c r="A606" s="9"/>
      <c r="B606" s="9"/>
      <c r="C606" s="9"/>
      <c r="D606" s="9"/>
      <c r="E606" s="9"/>
      <c r="F606" s="9"/>
      <c r="G606" s="11"/>
      <c r="H606" s="11"/>
      <c r="I606" s="11"/>
      <c r="J606" s="11"/>
      <c r="K606" s="9"/>
      <c r="L606" s="9"/>
      <c r="M606" s="9"/>
      <c r="N606" s="9"/>
      <c r="O606" s="9"/>
      <c r="P606" s="9"/>
      <c r="Q606" s="9"/>
      <c r="R606" s="9"/>
      <c r="S606" s="9"/>
      <c r="T606" s="9"/>
      <c r="U606" s="9"/>
      <c r="V606" s="9"/>
      <c r="W606" s="9"/>
      <c r="X606" s="9"/>
      <c r="Y606" s="9"/>
      <c r="Z606" s="9"/>
      <c r="AA606" s="9"/>
      <c r="AB606" s="9"/>
      <c r="AC606" s="9"/>
      <c r="AD606" s="9"/>
      <c r="AE606" s="9"/>
      <c r="AF606" s="9"/>
      <c r="AG606" s="9"/>
      <c r="AH606" s="9"/>
    </row>
    <row r="607" spans="1:34" x14ac:dyDescent="0.25">
      <c r="A607" s="9" t="s">
        <v>10</v>
      </c>
      <c r="B607" s="9" t="s">
        <v>24</v>
      </c>
      <c r="C607" s="9" t="s">
        <v>19</v>
      </c>
      <c r="D607" s="9" t="s">
        <v>12</v>
      </c>
      <c r="E607" s="9">
        <v>2012</v>
      </c>
      <c r="F607" s="9"/>
      <c r="G607" s="11"/>
      <c r="H607" s="11"/>
      <c r="I607" s="11"/>
      <c r="J607" s="11"/>
      <c r="K607" s="9"/>
      <c r="L607" s="9"/>
      <c r="M607" s="9"/>
      <c r="N607" s="9"/>
      <c r="O607" s="9"/>
      <c r="P607" s="9"/>
      <c r="Q607" s="9"/>
      <c r="R607" s="9"/>
      <c r="S607" s="9"/>
      <c r="T607" s="9"/>
      <c r="U607" s="9"/>
      <c r="V607" s="9"/>
      <c r="W607" s="9"/>
      <c r="X607" s="9"/>
      <c r="Y607" s="9"/>
      <c r="Z607" s="9"/>
      <c r="AA607" s="9"/>
      <c r="AB607" s="9"/>
      <c r="AC607" s="9"/>
      <c r="AD607" s="9"/>
      <c r="AE607" s="9"/>
      <c r="AF607" s="9"/>
      <c r="AG607" s="9"/>
      <c r="AH607" s="9"/>
    </row>
    <row r="608" spans="1:34" x14ac:dyDescent="0.25">
      <c r="A608" s="9" t="s">
        <v>10</v>
      </c>
      <c r="B608" s="9" t="s">
        <v>26</v>
      </c>
      <c r="C608" s="9" t="s">
        <v>19</v>
      </c>
      <c r="D608" s="9" t="s">
        <v>12</v>
      </c>
      <c r="E608" s="9">
        <v>2012</v>
      </c>
      <c r="F608" s="9"/>
      <c r="G608" s="11"/>
      <c r="H608" s="11"/>
      <c r="I608" s="11"/>
      <c r="J608" s="11"/>
      <c r="K608" s="9"/>
      <c r="L608" s="9"/>
      <c r="M608" s="9"/>
      <c r="N608" s="9"/>
      <c r="O608" s="9"/>
      <c r="P608" s="9"/>
      <c r="Q608" s="9"/>
      <c r="R608" s="9"/>
      <c r="S608" s="9"/>
      <c r="T608" s="9"/>
      <c r="U608" s="9"/>
      <c r="V608" s="9"/>
      <c r="W608" s="9"/>
      <c r="X608" s="9"/>
      <c r="Y608" s="9"/>
      <c r="Z608" s="9"/>
      <c r="AA608" s="9"/>
      <c r="AB608" s="9"/>
      <c r="AC608" s="9"/>
      <c r="AD608" s="9"/>
      <c r="AE608" s="9"/>
      <c r="AF608" s="9"/>
      <c r="AG608" s="9"/>
      <c r="AH608" s="9"/>
    </row>
    <row r="609" spans="1:34" x14ac:dyDescent="0.25">
      <c r="A609" s="9" t="s">
        <v>10</v>
      </c>
      <c r="B609" s="9" t="s">
        <v>27</v>
      </c>
      <c r="C609" s="9" t="s">
        <v>19</v>
      </c>
      <c r="D609" s="9" t="s">
        <v>12</v>
      </c>
      <c r="E609" s="9">
        <v>2012</v>
      </c>
      <c r="F609" s="9"/>
      <c r="G609" s="11"/>
      <c r="H609" s="11"/>
      <c r="I609" s="11"/>
      <c r="J609" s="11"/>
      <c r="K609" s="9"/>
      <c r="L609" s="9"/>
      <c r="M609" s="9"/>
      <c r="N609" s="9"/>
      <c r="O609" s="9"/>
      <c r="P609" s="9"/>
      <c r="Q609" s="9"/>
      <c r="R609" s="9"/>
      <c r="S609" s="9"/>
      <c r="T609" s="9"/>
      <c r="U609" s="9"/>
      <c r="V609" s="9"/>
      <c r="W609" s="9"/>
      <c r="X609" s="9"/>
      <c r="Y609" s="9"/>
      <c r="Z609" s="9"/>
      <c r="AA609" s="9"/>
      <c r="AB609" s="9"/>
      <c r="AC609" s="9"/>
      <c r="AD609" s="9"/>
      <c r="AE609" s="9"/>
      <c r="AF609" s="9"/>
      <c r="AG609" s="9"/>
      <c r="AH609" s="9"/>
    </row>
    <row r="610" spans="1:34" x14ac:dyDescent="0.25">
      <c r="A610" s="9" t="s">
        <v>10</v>
      </c>
      <c r="B610" s="9" t="s">
        <v>28</v>
      </c>
      <c r="C610" s="9" t="s">
        <v>19</v>
      </c>
      <c r="D610" s="9" t="s">
        <v>12</v>
      </c>
      <c r="E610" s="9">
        <v>2012</v>
      </c>
      <c r="F610" s="9"/>
      <c r="G610" s="11"/>
      <c r="H610" s="11"/>
      <c r="I610" s="11"/>
      <c r="J610" s="11"/>
      <c r="K610" s="9"/>
      <c r="L610" s="9"/>
      <c r="M610" s="9"/>
      <c r="N610" s="9"/>
      <c r="O610" s="9"/>
      <c r="P610" s="9"/>
      <c r="Q610" s="9"/>
      <c r="R610" s="9"/>
      <c r="S610" s="9"/>
      <c r="T610" s="9"/>
      <c r="U610" s="9"/>
      <c r="V610" s="9"/>
      <c r="W610" s="9"/>
      <c r="X610" s="9"/>
      <c r="Y610" s="9"/>
      <c r="Z610" s="9"/>
      <c r="AA610" s="9"/>
      <c r="AB610" s="9"/>
      <c r="AC610" s="9"/>
      <c r="AD610" s="9"/>
      <c r="AE610" s="9"/>
      <c r="AF610" s="9"/>
      <c r="AG610" s="9"/>
      <c r="AH610" s="9"/>
    </row>
    <row r="611" spans="1:34" x14ac:dyDescent="0.25">
      <c r="A611" s="9" t="s">
        <v>10</v>
      </c>
      <c r="B611" s="9" t="s">
        <v>29</v>
      </c>
      <c r="C611" s="9" t="s">
        <v>19</v>
      </c>
      <c r="D611" s="9" t="s">
        <v>12</v>
      </c>
      <c r="E611" s="9">
        <v>2012</v>
      </c>
      <c r="F611" s="9"/>
      <c r="G611" s="11"/>
      <c r="H611" s="11"/>
      <c r="I611" s="11"/>
      <c r="J611" s="11"/>
      <c r="K611" s="9"/>
      <c r="L611" s="9"/>
      <c r="M611" s="9"/>
      <c r="N611" s="9"/>
      <c r="O611" s="9"/>
      <c r="P611" s="9"/>
      <c r="Q611" s="9"/>
      <c r="R611" s="9"/>
      <c r="S611" s="9"/>
      <c r="T611" s="9"/>
      <c r="U611" s="9"/>
      <c r="V611" s="9"/>
      <c r="W611" s="9"/>
      <c r="X611" s="9"/>
      <c r="Y611" s="9"/>
      <c r="Z611" s="9"/>
      <c r="AA611" s="9"/>
      <c r="AB611" s="9"/>
      <c r="AC611" s="9"/>
      <c r="AD611" s="9"/>
      <c r="AE611" s="9"/>
      <c r="AF611" s="9"/>
      <c r="AG611" s="9"/>
      <c r="AH611" s="9"/>
    </row>
    <row r="612" spans="1:34" x14ac:dyDescent="0.25">
      <c r="A612" s="9" t="s">
        <v>10</v>
      </c>
      <c r="B612" s="9" t="s">
        <v>30</v>
      </c>
      <c r="C612" s="9" t="s">
        <v>19</v>
      </c>
      <c r="D612" s="9" t="s">
        <v>12</v>
      </c>
      <c r="E612" s="9">
        <v>2012</v>
      </c>
      <c r="F612" s="9"/>
      <c r="G612" s="11"/>
      <c r="H612" s="11"/>
      <c r="I612" s="11"/>
      <c r="J612" s="11"/>
      <c r="K612" s="9"/>
      <c r="L612" s="9"/>
      <c r="M612" s="9"/>
      <c r="N612" s="9"/>
      <c r="O612" s="9"/>
      <c r="P612" s="9"/>
      <c r="Q612" s="9"/>
      <c r="R612" s="9"/>
      <c r="S612" s="9"/>
      <c r="T612" s="9"/>
      <c r="U612" s="9"/>
      <c r="V612" s="9"/>
      <c r="W612" s="9"/>
      <c r="X612" s="9"/>
      <c r="Y612" s="9"/>
      <c r="Z612" s="9"/>
      <c r="AA612" s="9"/>
      <c r="AB612" s="9"/>
      <c r="AC612" s="9"/>
      <c r="AD612" s="9"/>
      <c r="AE612" s="9"/>
      <c r="AF612" s="9"/>
      <c r="AG612" s="9"/>
      <c r="AH612" s="9"/>
    </row>
    <row r="613" spans="1:34" x14ac:dyDescent="0.25">
      <c r="A613" s="9" t="s">
        <v>10</v>
      </c>
      <c r="B613" s="9" t="s">
        <v>26</v>
      </c>
      <c r="C613" s="9" t="s">
        <v>19</v>
      </c>
      <c r="D613" s="9" t="s">
        <v>15</v>
      </c>
      <c r="E613" s="9">
        <v>2012</v>
      </c>
      <c r="F613" s="9"/>
      <c r="G613" s="11"/>
      <c r="H613" s="11"/>
      <c r="I613" s="11"/>
      <c r="J613" s="11"/>
      <c r="K613" s="9"/>
      <c r="L613" s="9"/>
      <c r="M613" s="9"/>
      <c r="N613" s="9"/>
      <c r="O613" s="9"/>
      <c r="P613" s="9"/>
      <c r="Q613" s="9"/>
      <c r="R613" s="9"/>
      <c r="S613" s="9"/>
      <c r="T613" s="9"/>
      <c r="U613" s="9"/>
      <c r="V613" s="9"/>
      <c r="W613" s="9"/>
      <c r="X613" s="9"/>
      <c r="Y613" s="9"/>
      <c r="Z613" s="9"/>
      <c r="AA613" s="9"/>
      <c r="AB613" s="9"/>
      <c r="AC613" s="9"/>
      <c r="AD613" s="9"/>
      <c r="AE613" s="9"/>
      <c r="AF613" s="9"/>
      <c r="AG613" s="9"/>
      <c r="AH613" s="9"/>
    </row>
    <row r="614" spans="1:34" x14ac:dyDescent="0.25">
      <c r="A614" s="9" t="s">
        <v>10</v>
      </c>
      <c r="B614" s="9" t="s">
        <v>28</v>
      </c>
      <c r="C614" s="9" t="s">
        <v>19</v>
      </c>
      <c r="D614" s="9" t="s">
        <v>15</v>
      </c>
      <c r="E614" s="9">
        <v>2012</v>
      </c>
      <c r="F614" s="9"/>
      <c r="G614" s="11"/>
      <c r="H614" s="11"/>
      <c r="I614" s="11"/>
      <c r="J614" s="11"/>
      <c r="K614" s="9"/>
      <c r="L614" s="9"/>
      <c r="M614" s="9"/>
      <c r="N614" s="9"/>
      <c r="O614" s="9"/>
      <c r="P614" s="9"/>
      <c r="Q614" s="9"/>
      <c r="R614" s="9"/>
      <c r="S614" s="9"/>
      <c r="T614" s="9"/>
      <c r="U614" s="9"/>
      <c r="V614" s="9"/>
      <c r="W614" s="9"/>
      <c r="X614" s="9"/>
      <c r="Y614" s="9"/>
      <c r="Z614" s="9"/>
      <c r="AA614" s="9"/>
      <c r="AB614" s="9"/>
      <c r="AC614" s="9"/>
      <c r="AD614" s="9"/>
      <c r="AE614" s="9"/>
      <c r="AF614" s="9"/>
      <c r="AG614" s="9"/>
      <c r="AH614" s="9"/>
    </row>
    <row r="615" spans="1:34" x14ac:dyDescent="0.25">
      <c r="A615" s="9" t="s">
        <v>10</v>
      </c>
      <c r="B615" s="9" t="s">
        <v>29</v>
      </c>
      <c r="C615" s="9" t="s">
        <v>19</v>
      </c>
      <c r="D615" s="9" t="s">
        <v>15</v>
      </c>
      <c r="E615" s="9">
        <v>2012</v>
      </c>
      <c r="F615" s="9"/>
      <c r="G615" s="11"/>
      <c r="H615" s="11"/>
      <c r="I615" s="11"/>
      <c r="J615" s="11"/>
      <c r="K615" s="9"/>
      <c r="L615" s="9"/>
      <c r="M615" s="9"/>
      <c r="N615" s="9"/>
      <c r="O615" s="9"/>
      <c r="P615" s="9"/>
      <c r="Q615" s="9"/>
      <c r="R615" s="9"/>
      <c r="S615" s="9"/>
      <c r="T615" s="9"/>
      <c r="U615" s="9"/>
      <c r="V615" s="9"/>
      <c r="W615" s="9"/>
      <c r="X615" s="9"/>
      <c r="Y615" s="9"/>
      <c r="Z615" s="9"/>
      <c r="AA615" s="9"/>
      <c r="AB615" s="9"/>
      <c r="AC615" s="9"/>
      <c r="AD615" s="9"/>
      <c r="AE615" s="9"/>
      <c r="AF615" s="9"/>
      <c r="AG615" s="9"/>
      <c r="AH615" s="9"/>
    </row>
    <row r="616" spans="1:34" x14ac:dyDescent="0.25">
      <c r="A616" s="9" t="s">
        <v>10</v>
      </c>
      <c r="B616" s="9" t="s">
        <v>30</v>
      </c>
      <c r="C616" s="9" t="s">
        <v>19</v>
      </c>
      <c r="D616" s="9" t="s">
        <v>15</v>
      </c>
      <c r="E616" s="9">
        <v>2012</v>
      </c>
      <c r="F616" s="9"/>
      <c r="G616" s="11"/>
      <c r="H616" s="11"/>
      <c r="I616" s="11"/>
      <c r="J616" s="11"/>
      <c r="K616" s="9"/>
      <c r="L616" s="9"/>
      <c r="M616" s="9"/>
      <c r="N616" s="9"/>
      <c r="O616" s="9"/>
      <c r="P616" s="9"/>
      <c r="Q616" s="9"/>
      <c r="R616" s="9"/>
      <c r="S616" s="9"/>
      <c r="T616" s="9"/>
      <c r="U616" s="9"/>
      <c r="V616" s="9"/>
      <c r="W616" s="9"/>
      <c r="X616" s="9"/>
      <c r="Y616" s="9"/>
      <c r="Z616" s="9"/>
      <c r="AA616" s="9"/>
      <c r="AB616" s="9"/>
      <c r="AC616" s="9"/>
      <c r="AD616" s="9"/>
      <c r="AE616" s="9"/>
      <c r="AF616" s="9"/>
      <c r="AG616" s="9"/>
      <c r="AH616" s="9"/>
    </row>
    <row r="617" spans="1:34" x14ac:dyDescent="0.25">
      <c r="A617" s="9"/>
      <c r="B617" s="9"/>
      <c r="C617" s="9"/>
      <c r="D617" s="9"/>
      <c r="E617" s="9"/>
      <c r="F617" s="9"/>
      <c r="G617" s="11"/>
      <c r="H617" s="11"/>
      <c r="I617" s="11"/>
      <c r="J617" s="11"/>
      <c r="K617" s="9"/>
      <c r="L617" s="9"/>
      <c r="M617" s="9"/>
      <c r="N617" s="9"/>
      <c r="O617" s="9"/>
      <c r="P617" s="9"/>
      <c r="Q617" s="9"/>
      <c r="R617" s="9"/>
      <c r="S617" s="9"/>
      <c r="T617" s="9"/>
      <c r="U617" s="9"/>
      <c r="V617" s="9"/>
      <c r="W617" s="9"/>
      <c r="X617" s="9"/>
      <c r="Y617" s="9"/>
      <c r="Z617" s="9"/>
      <c r="AA617" s="9"/>
      <c r="AB617" s="9"/>
      <c r="AC617" s="9"/>
      <c r="AD617" s="9"/>
      <c r="AE617" s="9"/>
      <c r="AF617" s="9"/>
      <c r="AG617" s="9"/>
      <c r="AH617" s="9"/>
    </row>
    <row r="618" spans="1:34" x14ac:dyDescent="0.25">
      <c r="A618" s="9" t="s">
        <v>10</v>
      </c>
      <c r="B618" s="9" t="s">
        <v>24</v>
      </c>
      <c r="C618" s="9" t="s">
        <v>20</v>
      </c>
      <c r="D618" s="9" t="s">
        <v>12</v>
      </c>
      <c r="E618" s="9">
        <v>2012</v>
      </c>
      <c r="F618" s="9"/>
      <c r="G618" s="11"/>
      <c r="H618" s="11"/>
      <c r="I618" s="11"/>
      <c r="J618" s="11"/>
      <c r="K618" s="9"/>
      <c r="L618" s="9"/>
      <c r="M618" s="9"/>
      <c r="N618" s="9"/>
      <c r="O618" s="9"/>
      <c r="P618" s="9"/>
      <c r="Q618" s="9"/>
      <c r="R618" s="9"/>
      <c r="S618" s="9"/>
      <c r="T618" s="9"/>
      <c r="U618" s="9"/>
      <c r="V618" s="9"/>
      <c r="W618" s="9"/>
      <c r="X618" s="9"/>
      <c r="Y618" s="9"/>
      <c r="Z618" s="9"/>
      <c r="AA618" s="9"/>
      <c r="AB618" s="9"/>
      <c r="AC618" s="9"/>
      <c r="AD618" s="9"/>
      <c r="AE618" s="9"/>
      <c r="AF618" s="9"/>
      <c r="AG618" s="9"/>
      <c r="AH618" s="9"/>
    </row>
    <row r="619" spans="1:34" x14ac:dyDescent="0.25">
      <c r="A619" s="9" t="s">
        <v>10</v>
      </c>
      <c r="B619" s="9" t="s">
        <v>26</v>
      </c>
      <c r="C619" s="9" t="s">
        <v>20</v>
      </c>
      <c r="D619" s="9" t="s">
        <v>12</v>
      </c>
      <c r="E619" s="9">
        <v>2012</v>
      </c>
      <c r="F619" s="9"/>
      <c r="G619" s="11"/>
      <c r="H619" s="11"/>
      <c r="I619" s="11"/>
      <c r="J619" s="11"/>
      <c r="K619" s="9"/>
      <c r="L619" s="9"/>
      <c r="M619" s="9"/>
      <c r="N619" s="9"/>
      <c r="O619" s="9"/>
      <c r="P619" s="9"/>
      <c r="Q619" s="9"/>
      <c r="R619" s="9"/>
      <c r="S619" s="9"/>
      <c r="T619" s="9"/>
      <c r="U619" s="9"/>
      <c r="V619" s="9"/>
      <c r="W619" s="9"/>
      <c r="X619" s="9"/>
      <c r="Y619" s="9"/>
      <c r="Z619" s="9"/>
      <c r="AA619" s="9"/>
      <c r="AB619" s="9"/>
      <c r="AC619" s="9"/>
      <c r="AD619" s="9"/>
      <c r="AE619" s="9"/>
      <c r="AF619" s="9"/>
      <c r="AG619" s="9"/>
      <c r="AH619" s="9"/>
    </row>
    <row r="620" spans="1:34" x14ac:dyDescent="0.25">
      <c r="A620" s="9" t="s">
        <v>10</v>
      </c>
      <c r="B620" s="9" t="s">
        <v>27</v>
      </c>
      <c r="C620" s="9" t="s">
        <v>20</v>
      </c>
      <c r="D620" s="9" t="s">
        <v>12</v>
      </c>
      <c r="E620" s="9">
        <v>2012</v>
      </c>
      <c r="F620" s="9"/>
      <c r="G620" s="11"/>
      <c r="H620" s="11"/>
      <c r="I620" s="11"/>
      <c r="J620" s="11"/>
      <c r="K620" s="9"/>
      <c r="L620" s="9"/>
      <c r="M620" s="9"/>
      <c r="N620" s="9"/>
      <c r="O620" s="9"/>
      <c r="P620" s="9"/>
      <c r="Q620" s="9"/>
      <c r="R620" s="9"/>
      <c r="S620" s="9"/>
      <c r="T620" s="9"/>
      <c r="U620" s="9"/>
      <c r="V620" s="9"/>
      <c r="W620" s="9"/>
      <c r="X620" s="9"/>
      <c r="Y620" s="9"/>
      <c r="Z620" s="9"/>
      <c r="AA620" s="9"/>
      <c r="AB620" s="9"/>
      <c r="AC620" s="9"/>
      <c r="AD620" s="9"/>
      <c r="AE620" s="9"/>
      <c r="AF620" s="9"/>
      <c r="AG620" s="9"/>
      <c r="AH620" s="9"/>
    </row>
    <row r="621" spans="1:34" x14ac:dyDescent="0.25">
      <c r="A621" s="9" t="s">
        <v>10</v>
      </c>
      <c r="B621" s="9" t="s">
        <v>28</v>
      </c>
      <c r="C621" s="9" t="s">
        <v>20</v>
      </c>
      <c r="D621" s="9" t="s">
        <v>12</v>
      </c>
      <c r="E621" s="9">
        <v>2012</v>
      </c>
      <c r="F621" s="9"/>
      <c r="G621" s="11"/>
      <c r="H621" s="11"/>
      <c r="I621" s="11"/>
      <c r="J621" s="11"/>
      <c r="K621" s="9"/>
      <c r="L621" s="9"/>
      <c r="M621" s="9"/>
      <c r="N621" s="9"/>
      <c r="O621" s="9"/>
      <c r="P621" s="9"/>
      <c r="Q621" s="9"/>
      <c r="R621" s="9"/>
      <c r="S621" s="9"/>
      <c r="T621" s="9"/>
      <c r="U621" s="9"/>
      <c r="V621" s="9"/>
      <c r="W621" s="9"/>
      <c r="X621" s="9"/>
      <c r="Y621" s="9"/>
      <c r="Z621" s="9"/>
      <c r="AA621" s="9"/>
      <c r="AB621" s="9"/>
      <c r="AC621" s="9"/>
      <c r="AD621" s="9"/>
      <c r="AE621" s="9"/>
      <c r="AF621" s="9"/>
      <c r="AG621" s="9"/>
      <c r="AH621" s="9"/>
    </row>
    <row r="622" spans="1:34" x14ac:dyDescent="0.25">
      <c r="A622" s="9" t="s">
        <v>10</v>
      </c>
      <c r="B622" s="9" t="s">
        <v>29</v>
      </c>
      <c r="C622" s="9" t="s">
        <v>20</v>
      </c>
      <c r="D622" s="9" t="s">
        <v>12</v>
      </c>
      <c r="E622" s="9">
        <v>2012</v>
      </c>
      <c r="F622" s="9"/>
      <c r="G622" s="11"/>
      <c r="H622" s="11"/>
      <c r="I622" s="11"/>
      <c r="J622" s="11"/>
      <c r="K622" s="9"/>
      <c r="L622" s="9"/>
      <c r="M622" s="9"/>
      <c r="N622" s="9"/>
      <c r="O622" s="9"/>
      <c r="P622" s="9"/>
      <c r="Q622" s="9"/>
      <c r="R622" s="9"/>
      <c r="S622" s="9"/>
      <c r="T622" s="9"/>
      <c r="U622" s="9"/>
      <c r="V622" s="9"/>
      <c r="W622" s="9"/>
      <c r="X622" s="9"/>
      <c r="Y622" s="9"/>
      <c r="Z622" s="9"/>
      <c r="AA622" s="9"/>
      <c r="AB622" s="9"/>
      <c r="AC622" s="9"/>
      <c r="AD622" s="9"/>
      <c r="AE622" s="9"/>
      <c r="AF622" s="9"/>
      <c r="AG622" s="9"/>
      <c r="AH622" s="9"/>
    </row>
    <row r="623" spans="1:34" x14ac:dyDescent="0.25">
      <c r="A623" s="9" t="s">
        <v>10</v>
      </c>
      <c r="B623" s="9" t="s">
        <v>30</v>
      </c>
      <c r="C623" s="9" t="s">
        <v>20</v>
      </c>
      <c r="D623" s="9" t="s">
        <v>12</v>
      </c>
      <c r="E623" s="9">
        <v>2012</v>
      </c>
      <c r="F623" s="9"/>
      <c r="G623" s="11"/>
      <c r="H623" s="11"/>
      <c r="I623" s="11"/>
      <c r="J623" s="11"/>
      <c r="K623" s="9"/>
      <c r="L623" s="9"/>
      <c r="M623" s="9"/>
      <c r="N623" s="9"/>
      <c r="O623" s="9"/>
      <c r="P623" s="9"/>
      <c r="Q623" s="9"/>
      <c r="R623" s="9"/>
      <c r="S623" s="9"/>
      <c r="T623" s="9"/>
      <c r="U623" s="9"/>
      <c r="V623" s="9"/>
      <c r="W623" s="9"/>
      <c r="X623" s="9"/>
      <c r="Y623" s="9"/>
      <c r="Z623" s="9"/>
      <c r="AA623" s="9"/>
      <c r="AB623" s="9"/>
      <c r="AC623" s="9"/>
      <c r="AD623" s="9"/>
      <c r="AE623" s="9"/>
      <c r="AF623" s="9"/>
      <c r="AG623" s="9"/>
      <c r="AH623" s="9"/>
    </row>
    <row r="624" spans="1:34" x14ac:dyDescent="0.25">
      <c r="A624" s="9" t="s">
        <v>10</v>
      </c>
      <c r="B624" s="9" t="s">
        <v>26</v>
      </c>
      <c r="C624" s="9" t="s">
        <v>20</v>
      </c>
      <c r="D624" s="9" t="s">
        <v>15</v>
      </c>
      <c r="E624" s="9">
        <v>2012</v>
      </c>
      <c r="F624" s="9"/>
      <c r="G624" s="11"/>
      <c r="H624" s="11"/>
      <c r="I624" s="11"/>
      <c r="J624" s="11"/>
      <c r="K624" s="9"/>
      <c r="L624" s="9"/>
      <c r="M624" s="9"/>
      <c r="N624" s="9"/>
      <c r="O624" s="9"/>
      <c r="P624" s="9"/>
      <c r="Q624" s="9"/>
      <c r="R624" s="9"/>
      <c r="S624" s="9"/>
      <c r="T624" s="9"/>
      <c r="U624" s="9"/>
      <c r="V624" s="9"/>
      <c r="W624" s="9"/>
      <c r="X624" s="9"/>
      <c r="Y624" s="9"/>
      <c r="Z624" s="9"/>
      <c r="AA624" s="9"/>
      <c r="AB624" s="9"/>
      <c r="AC624" s="9"/>
      <c r="AD624" s="9"/>
      <c r="AE624" s="9"/>
      <c r="AF624" s="9"/>
      <c r="AG624" s="9"/>
      <c r="AH624" s="9"/>
    </row>
    <row r="625" spans="1:34" x14ac:dyDescent="0.25">
      <c r="A625" s="9" t="s">
        <v>10</v>
      </c>
      <c r="B625" s="9" t="s">
        <v>28</v>
      </c>
      <c r="C625" s="9" t="s">
        <v>20</v>
      </c>
      <c r="D625" s="9" t="s">
        <v>15</v>
      </c>
      <c r="E625" s="9">
        <v>2012</v>
      </c>
      <c r="F625" s="9"/>
      <c r="G625" s="11"/>
      <c r="H625" s="11"/>
      <c r="I625" s="11"/>
      <c r="J625" s="11"/>
      <c r="K625" s="9"/>
      <c r="L625" s="9"/>
      <c r="M625" s="9"/>
      <c r="N625" s="9"/>
      <c r="O625" s="9"/>
      <c r="P625" s="9"/>
      <c r="Q625" s="9"/>
      <c r="R625" s="9"/>
      <c r="S625" s="9"/>
      <c r="T625" s="9"/>
      <c r="U625" s="9"/>
      <c r="V625" s="9"/>
      <c r="W625" s="9"/>
      <c r="X625" s="9"/>
      <c r="Y625" s="9"/>
      <c r="Z625" s="9"/>
      <c r="AA625" s="9"/>
      <c r="AB625" s="9"/>
      <c r="AC625" s="9"/>
      <c r="AD625" s="9"/>
      <c r="AE625" s="9"/>
      <c r="AF625" s="9"/>
      <c r="AG625" s="9"/>
      <c r="AH625" s="9"/>
    </row>
    <row r="626" spans="1:34" x14ac:dyDescent="0.25">
      <c r="A626" s="9" t="s">
        <v>10</v>
      </c>
      <c r="B626" s="9" t="s">
        <v>29</v>
      </c>
      <c r="C626" s="9" t="s">
        <v>20</v>
      </c>
      <c r="D626" s="9" t="s">
        <v>15</v>
      </c>
      <c r="E626" s="9">
        <v>2012</v>
      </c>
      <c r="F626" s="9"/>
      <c r="G626" s="11"/>
      <c r="H626" s="11"/>
      <c r="I626" s="11"/>
      <c r="J626" s="11"/>
      <c r="K626" s="9"/>
      <c r="L626" s="9"/>
      <c r="M626" s="9"/>
      <c r="N626" s="9"/>
      <c r="O626" s="9"/>
      <c r="P626" s="9"/>
      <c r="Q626" s="9"/>
      <c r="R626" s="9"/>
      <c r="S626" s="9"/>
      <c r="T626" s="9"/>
      <c r="U626" s="9"/>
      <c r="V626" s="9"/>
      <c r="W626" s="9"/>
      <c r="X626" s="9"/>
      <c r="Y626" s="9"/>
      <c r="Z626" s="9"/>
      <c r="AA626" s="9"/>
      <c r="AB626" s="9"/>
      <c r="AC626" s="9"/>
      <c r="AD626" s="9"/>
      <c r="AE626" s="9"/>
      <c r="AF626" s="9"/>
      <c r="AG626" s="9"/>
      <c r="AH626" s="9"/>
    </row>
    <row r="627" spans="1:34" x14ac:dyDescent="0.25">
      <c r="A627" s="9" t="s">
        <v>10</v>
      </c>
      <c r="B627" s="9" t="s">
        <v>30</v>
      </c>
      <c r="C627" s="9" t="s">
        <v>20</v>
      </c>
      <c r="D627" s="9" t="s">
        <v>15</v>
      </c>
      <c r="E627" s="9">
        <v>2012</v>
      </c>
      <c r="F627" s="9"/>
      <c r="G627" s="11"/>
      <c r="H627" s="11"/>
      <c r="I627" s="11"/>
      <c r="J627" s="11"/>
      <c r="K627" s="9"/>
      <c r="L627" s="9"/>
      <c r="M627" s="9"/>
      <c r="N627" s="9"/>
      <c r="O627" s="9"/>
      <c r="P627" s="9"/>
      <c r="Q627" s="9"/>
      <c r="R627" s="9"/>
      <c r="S627" s="9"/>
      <c r="T627" s="9"/>
      <c r="U627" s="9"/>
      <c r="V627" s="9"/>
      <c r="W627" s="9"/>
      <c r="X627" s="9"/>
      <c r="Y627" s="9"/>
      <c r="Z627" s="9"/>
      <c r="AA627" s="9"/>
      <c r="AB627" s="9"/>
      <c r="AC627" s="9"/>
      <c r="AD627" s="9"/>
      <c r="AE627" s="9"/>
      <c r="AF627" s="9"/>
      <c r="AG627" s="9"/>
      <c r="AH627" s="9"/>
    </row>
    <row r="628" spans="1:34" x14ac:dyDescent="0.25">
      <c r="A628" s="9"/>
      <c r="B628" s="9"/>
      <c r="C628" s="9"/>
      <c r="D628" s="9"/>
      <c r="E628" s="9"/>
      <c r="F628" s="9"/>
      <c r="G628" s="11"/>
      <c r="H628" s="11"/>
      <c r="I628" s="11"/>
      <c r="J628" s="11"/>
      <c r="K628" s="9"/>
      <c r="L628" s="9"/>
      <c r="M628" s="9"/>
      <c r="N628" s="9"/>
      <c r="O628" s="9"/>
      <c r="P628" s="9"/>
      <c r="Q628" s="9"/>
      <c r="R628" s="9"/>
      <c r="S628" s="9"/>
      <c r="T628" s="9"/>
      <c r="U628" s="9"/>
      <c r="V628" s="9"/>
      <c r="W628" s="9"/>
      <c r="X628" s="9"/>
      <c r="Y628" s="9"/>
      <c r="Z628" s="9"/>
      <c r="AA628" s="9"/>
      <c r="AB628" s="9"/>
      <c r="AC628" s="9"/>
      <c r="AD628" s="9"/>
      <c r="AE628" s="9"/>
      <c r="AF628" s="9"/>
      <c r="AG628" s="9"/>
      <c r="AH628" s="9"/>
    </row>
    <row r="629" spans="1:34" x14ac:dyDescent="0.25">
      <c r="A629" s="9"/>
      <c r="B629" s="9"/>
      <c r="C629" s="9"/>
      <c r="D629" s="9"/>
      <c r="E629" s="9"/>
      <c r="F629" s="9"/>
      <c r="G629" s="11"/>
      <c r="H629" s="11"/>
      <c r="I629" s="11"/>
      <c r="J629" s="11"/>
      <c r="K629" s="9"/>
      <c r="L629" s="9"/>
      <c r="M629" s="9"/>
      <c r="N629" s="9"/>
      <c r="O629" s="9"/>
      <c r="P629" s="9"/>
      <c r="Q629" s="9"/>
      <c r="R629" s="9"/>
      <c r="S629" s="9"/>
      <c r="T629" s="9"/>
      <c r="U629" s="9"/>
      <c r="V629" s="9"/>
      <c r="W629" s="9"/>
      <c r="X629" s="9"/>
      <c r="Y629" s="9"/>
      <c r="Z629" s="9"/>
      <c r="AA629" s="9"/>
      <c r="AB629" s="9"/>
      <c r="AC629" s="9"/>
      <c r="AD629" s="9"/>
      <c r="AE629" s="9"/>
      <c r="AF629" s="9"/>
      <c r="AG629" s="9"/>
      <c r="AH629" s="9"/>
    </row>
    <row r="630" spans="1:34" x14ac:dyDescent="0.25">
      <c r="A630" s="9"/>
      <c r="B630" s="9"/>
      <c r="C630" s="9"/>
      <c r="D630" s="9"/>
      <c r="E630" s="9"/>
      <c r="F630" s="9"/>
      <c r="G630" s="11"/>
      <c r="H630" s="11"/>
      <c r="I630" s="11"/>
      <c r="J630" s="11"/>
      <c r="K630" s="9"/>
      <c r="L630" s="9"/>
      <c r="M630" s="9"/>
      <c r="N630" s="9"/>
      <c r="O630" s="9"/>
      <c r="P630" s="9"/>
      <c r="Q630" s="9"/>
      <c r="R630" s="9"/>
      <c r="S630" s="9"/>
      <c r="T630" s="9"/>
      <c r="U630" s="9"/>
      <c r="V630" s="9"/>
      <c r="W630" s="9"/>
      <c r="X630" s="9"/>
      <c r="Y630" s="9"/>
      <c r="Z630" s="9"/>
      <c r="AA630" s="9"/>
      <c r="AB630" s="9"/>
      <c r="AC630" s="9"/>
      <c r="AD630" s="9"/>
      <c r="AE630" s="9"/>
      <c r="AF630" s="9"/>
      <c r="AG630" s="9"/>
      <c r="AH630" s="9"/>
    </row>
    <row r="631" spans="1:34" x14ac:dyDescent="0.25">
      <c r="A631" s="9" t="s">
        <v>21</v>
      </c>
      <c r="B631" s="9" t="s">
        <v>24</v>
      </c>
      <c r="C631" s="9" t="s">
        <v>11</v>
      </c>
      <c r="D631" s="9" t="s">
        <v>12</v>
      </c>
      <c r="E631" s="9">
        <v>2011</v>
      </c>
      <c r="F631" s="9"/>
      <c r="G631" s="11"/>
      <c r="H631" s="11"/>
      <c r="I631" s="11"/>
      <c r="J631" s="11"/>
      <c r="K631" s="9"/>
      <c r="L631" s="9"/>
      <c r="M631" s="9"/>
      <c r="N631" s="9"/>
      <c r="O631" s="9"/>
      <c r="P631" s="9"/>
      <c r="Q631" s="9"/>
      <c r="R631" s="9"/>
      <c r="S631" s="9"/>
      <c r="T631" s="9"/>
      <c r="U631" s="9"/>
      <c r="V631" s="10"/>
      <c r="W631" s="10"/>
      <c r="X631" s="10"/>
      <c r="Y631" s="10"/>
      <c r="Z631" s="10"/>
      <c r="AA631" s="10"/>
      <c r="AB631" s="10"/>
      <c r="AC631" s="10"/>
      <c r="AD631" s="10"/>
      <c r="AE631" s="9" t="s">
        <v>12</v>
      </c>
      <c r="AF631" s="9" t="s">
        <v>31</v>
      </c>
      <c r="AG631" s="9"/>
      <c r="AH631" s="9"/>
    </row>
    <row r="632" spans="1:34" x14ac:dyDescent="0.25">
      <c r="A632" s="9" t="s">
        <v>21</v>
      </c>
      <c r="B632" s="9" t="s">
        <v>26</v>
      </c>
      <c r="C632" s="9" t="s">
        <v>11</v>
      </c>
      <c r="D632" s="9" t="s">
        <v>12</v>
      </c>
      <c r="E632" s="9">
        <v>2011</v>
      </c>
      <c r="F632" s="9"/>
      <c r="G632" s="11"/>
      <c r="H632" s="11"/>
      <c r="I632" s="11"/>
      <c r="J632" s="11"/>
      <c r="K632" s="9"/>
      <c r="L632" s="9"/>
      <c r="M632" s="9"/>
      <c r="N632" s="9"/>
      <c r="O632" s="9"/>
      <c r="P632" s="9"/>
      <c r="Q632" s="9"/>
      <c r="R632" s="9"/>
      <c r="S632" s="9"/>
      <c r="T632" s="9"/>
      <c r="U632" s="9"/>
      <c r="V632" s="10"/>
      <c r="W632" s="10"/>
      <c r="X632" s="10"/>
      <c r="Y632" s="10"/>
      <c r="Z632" s="10"/>
      <c r="AA632" s="10"/>
      <c r="AB632" s="10"/>
      <c r="AC632" s="10"/>
      <c r="AD632" s="10"/>
      <c r="AE632" s="9"/>
      <c r="AF632" s="9" t="s">
        <v>19</v>
      </c>
      <c r="AG632" s="9"/>
      <c r="AH632" s="9"/>
    </row>
    <row r="633" spans="1:34" x14ac:dyDescent="0.25">
      <c r="A633" s="9" t="s">
        <v>21</v>
      </c>
      <c r="B633" s="9" t="s">
        <v>27</v>
      </c>
      <c r="C633" s="9" t="s">
        <v>11</v>
      </c>
      <c r="D633" s="9" t="s">
        <v>12</v>
      </c>
      <c r="E633" s="9">
        <v>2011</v>
      </c>
      <c r="F633" s="9"/>
      <c r="G633" s="11"/>
      <c r="H633" s="11"/>
      <c r="I633" s="11"/>
      <c r="J633" s="11"/>
      <c r="K633" s="9"/>
      <c r="L633" s="9"/>
      <c r="M633" s="9"/>
      <c r="N633" s="9"/>
      <c r="O633" s="9"/>
      <c r="P633" s="9"/>
      <c r="Q633" s="9"/>
      <c r="R633" s="9"/>
      <c r="S633" s="9"/>
      <c r="T633" s="9"/>
      <c r="U633" s="9"/>
      <c r="V633" s="10"/>
      <c r="W633" s="10"/>
      <c r="X633" s="10"/>
      <c r="Y633" s="10"/>
      <c r="Z633" s="10"/>
      <c r="AA633" s="10"/>
      <c r="AB633" s="10"/>
      <c r="AC633" s="10"/>
      <c r="AD633" s="10"/>
      <c r="AE633" s="9"/>
      <c r="AF633" s="9" t="s">
        <v>20</v>
      </c>
      <c r="AG633" s="9"/>
      <c r="AH633" s="9"/>
    </row>
    <row r="634" spans="1:34" x14ac:dyDescent="0.25">
      <c r="A634" s="9" t="s">
        <v>21</v>
      </c>
      <c r="B634" s="9" t="s">
        <v>28</v>
      </c>
      <c r="C634" s="9" t="s">
        <v>11</v>
      </c>
      <c r="D634" s="9" t="s">
        <v>12</v>
      </c>
      <c r="E634" s="9">
        <v>2011</v>
      </c>
      <c r="F634" s="9"/>
      <c r="G634" s="11"/>
      <c r="H634" s="11"/>
      <c r="I634" s="11"/>
      <c r="J634" s="11"/>
      <c r="K634" s="9"/>
      <c r="L634" s="9"/>
      <c r="M634" s="9"/>
      <c r="N634" s="9"/>
      <c r="O634" s="9"/>
      <c r="P634" s="9"/>
      <c r="Q634" s="9"/>
      <c r="R634" s="9"/>
      <c r="S634" s="9"/>
      <c r="T634" s="9"/>
      <c r="U634" s="9"/>
      <c r="V634" s="10"/>
      <c r="W634" s="10"/>
      <c r="X634" s="10"/>
      <c r="Y634" s="10"/>
      <c r="Z634" s="10"/>
      <c r="AA634" s="10"/>
      <c r="AB634" s="10"/>
      <c r="AC634" s="10"/>
      <c r="AD634" s="10"/>
      <c r="AE634" s="9" t="s">
        <v>15</v>
      </c>
      <c r="AF634" s="9" t="s">
        <v>31</v>
      </c>
      <c r="AG634" s="9"/>
      <c r="AH634" s="9"/>
    </row>
    <row r="635" spans="1:34" x14ac:dyDescent="0.25">
      <c r="A635" s="9" t="s">
        <v>21</v>
      </c>
      <c r="B635" s="9" t="s">
        <v>29</v>
      </c>
      <c r="C635" s="9" t="s">
        <v>11</v>
      </c>
      <c r="D635" s="9" t="s">
        <v>12</v>
      </c>
      <c r="E635" s="9">
        <v>2011</v>
      </c>
      <c r="F635" s="9"/>
      <c r="G635" s="11"/>
      <c r="H635" s="11"/>
      <c r="I635" s="11"/>
      <c r="J635" s="11"/>
      <c r="K635" s="9"/>
      <c r="L635" s="9"/>
      <c r="M635" s="9"/>
      <c r="N635" s="9"/>
      <c r="O635" s="9"/>
      <c r="P635" s="9"/>
      <c r="Q635" s="9"/>
      <c r="R635" s="9"/>
      <c r="S635" s="9"/>
      <c r="T635" s="9"/>
      <c r="U635" s="9"/>
      <c r="V635" s="10"/>
      <c r="W635" s="10"/>
      <c r="X635" s="10"/>
      <c r="Y635" s="10"/>
      <c r="Z635" s="10"/>
      <c r="AA635" s="10"/>
      <c r="AB635" s="10"/>
      <c r="AC635" s="10"/>
      <c r="AD635" s="10"/>
      <c r="AE635" s="9"/>
      <c r="AF635" s="9" t="s">
        <v>19</v>
      </c>
      <c r="AG635" s="9"/>
      <c r="AH635" s="9"/>
    </row>
    <row r="636" spans="1:34" x14ac:dyDescent="0.25">
      <c r="A636" s="9" t="s">
        <v>21</v>
      </c>
      <c r="B636" s="9" t="s">
        <v>30</v>
      </c>
      <c r="C636" s="9" t="s">
        <v>11</v>
      </c>
      <c r="D636" s="9" t="s">
        <v>12</v>
      </c>
      <c r="E636" s="9">
        <v>2011</v>
      </c>
      <c r="F636" s="9"/>
      <c r="G636" s="11"/>
      <c r="H636" s="11"/>
      <c r="I636" s="11"/>
      <c r="J636" s="11"/>
      <c r="K636" s="9"/>
      <c r="L636" s="9"/>
      <c r="M636" s="9"/>
      <c r="N636" s="9"/>
      <c r="O636" s="9"/>
      <c r="P636" s="9"/>
      <c r="Q636" s="9"/>
      <c r="R636" s="9"/>
      <c r="S636" s="9"/>
      <c r="T636" s="9"/>
      <c r="U636" s="9"/>
      <c r="V636" s="10"/>
      <c r="W636" s="10"/>
      <c r="X636" s="10"/>
      <c r="Y636" s="10"/>
      <c r="Z636" s="10"/>
      <c r="AA636" s="10"/>
      <c r="AB636" s="10"/>
      <c r="AC636" s="10"/>
      <c r="AD636" s="10"/>
      <c r="AE636" s="9"/>
      <c r="AF636" s="9" t="s">
        <v>20</v>
      </c>
      <c r="AG636" s="9"/>
      <c r="AH636" s="9"/>
    </row>
    <row r="637" spans="1:34" x14ac:dyDescent="0.25">
      <c r="A637" s="9" t="s">
        <v>21</v>
      </c>
      <c r="B637" s="9" t="s">
        <v>26</v>
      </c>
      <c r="C637" s="9" t="s">
        <v>11</v>
      </c>
      <c r="D637" s="9" t="s">
        <v>15</v>
      </c>
      <c r="E637" s="9">
        <v>2011</v>
      </c>
      <c r="F637" s="9"/>
      <c r="G637" s="11"/>
      <c r="H637" s="11"/>
      <c r="I637" s="11"/>
      <c r="J637" s="11"/>
      <c r="K637" s="9"/>
      <c r="L637" s="9"/>
      <c r="M637" s="9"/>
      <c r="N637" s="9"/>
      <c r="O637" s="9"/>
      <c r="P637" s="9"/>
      <c r="Q637" s="9"/>
      <c r="R637" s="9"/>
      <c r="S637" s="9"/>
      <c r="T637" s="9"/>
      <c r="U637" s="9"/>
      <c r="V637" s="10"/>
      <c r="W637" s="10"/>
      <c r="X637" s="10"/>
      <c r="Y637" s="10"/>
      <c r="Z637" s="10"/>
      <c r="AA637" s="10"/>
      <c r="AB637" s="10"/>
      <c r="AC637" s="10"/>
      <c r="AD637" s="10"/>
      <c r="AE637" s="9"/>
      <c r="AF637" s="9"/>
      <c r="AG637" s="9"/>
      <c r="AH637" s="9"/>
    </row>
    <row r="638" spans="1:34" x14ac:dyDescent="0.25">
      <c r="A638" s="9" t="s">
        <v>21</v>
      </c>
      <c r="B638" s="9" t="s">
        <v>28</v>
      </c>
      <c r="C638" s="9" t="s">
        <v>11</v>
      </c>
      <c r="D638" s="9" t="s">
        <v>15</v>
      </c>
      <c r="E638" s="9">
        <v>2011</v>
      </c>
      <c r="F638" s="9"/>
      <c r="G638" s="11"/>
      <c r="H638" s="11"/>
      <c r="I638" s="11"/>
      <c r="J638" s="11"/>
      <c r="K638" s="9"/>
      <c r="L638" s="9"/>
      <c r="M638" s="9"/>
      <c r="N638" s="9"/>
      <c r="O638" s="9"/>
      <c r="P638" s="9"/>
      <c r="Q638" s="9"/>
      <c r="R638" s="9"/>
      <c r="S638" s="9"/>
      <c r="T638" s="9"/>
      <c r="U638" s="9"/>
      <c r="V638" s="10"/>
      <c r="W638" s="10"/>
      <c r="X638" s="10"/>
      <c r="Y638" s="10"/>
      <c r="Z638" s="10"/>
      <c r="AA638" s="10"/>
      <c r="AB638" s="10"/>
      <c r="AC638" s="10"/>
      <c r="AD638" s="10"/>
      <c r="AE638" s="9"/>
      <c r="AF638" s="9"/>
      <c r="AG638" s="9"/>
      <c r="AH638" s="9"/>
    </row>
    <row r="639" spans="1:34" x14ac:dyDescent="0.25">
      <c r="A639" s="9" t="s">
        <v>21</v>
      </c>
      <c r="B639" s="9" t="s">
        <v>29</v>
      </c>
      <c r="C639" s="9" t="s">
        <v>11</v>
      </c>
      <c r="D639" s="9" t="s">
        <v>15</v>
      </c>
      <c r="E639" s="9">
        <v>2011</v>
      </c>
      <c r="F639" s="9"/>
      <c r="G639" s="11"/>
      <c r="H639" s="11"/>
      <c r="I639" s="11"/>
      <c r="J639" s="11"/>
      <c r="K639" s="9"/>
      <c r="L639" s="9"/>
      <c r="M639" s="9"/>
      <c r="N639" s="9"/>
      <c r="O639" s="9"/>
      <c r="P639" s="9"/>
      <c r="Q639" s="9"/>
      <c r="R639" s="9"/>
      <c r="S639" s="9"/>
      <c r="T639" s="9"/>
      <c r="U639" s="9"/>
      <c r="V639" s="10"/>
      <c r="W639" s="10"/>
      <c r="X639" s="10"/>
      <c r="Y639" s="10"/>
      <c r="Z639" s="10"/>
      <c r="AA639" s="10"/>
      <c r="AB639" s="10"/>
      <c r="AC639" s="10"/>
      <c r="AD639" s="10"/>
      <c r="AE639" s="9"/>
      <c r="AF639" s="9"/>
      <c r="AG639" s="9"/>
      <c r="AH639" s="9"/>
    </row>
    <row r="640" spans="1:34" x14ac:dyDescent="0.25">
      <c r="A640" s="9" t="s">
        <v>21</v>
      </c>
      <c r="B640" s="9" t="s">
        <v>30</v>
      </c>
      <c r="C640" s="9" t="s">
        <v>11</v>
      </c>
      <c r="D640" s="9" t="s">
        <v>15</v>
      </c>
      <c r="E640" s="9">
        <v>2011</v>
      </c>
      <c r="F640" s="9"/>
      <c r="G640" s="11"/>
      <c r="H640" s="11"/>
      <c r="I640" s="11"/>
      <c r="J640" s="11"/>
      <c r="K640" s="9"/>
      <c r="L640" s="9"/>
      <c r="M640" s="9"/>
      <c r="N640" s="9"/>
      <c r="O640" s="9"/>
      <c r="P640" s="9"/>
      <c r="Q640" s="9"/>
      <c r="R640" s="9"/>
      <c r="S640" s="9"/>
      <c r="T640" s="9"/>
      <c r="U640" s="9"/>
      <c r="V640" s="10"/>
      <c r="W640" s="10"/>
      <c r="X640" s="10"/>
      <c r="Y640" s="10"/>
      <c r="Z640" s="10"/>
      <c r="AA640" s="10"/>
      <c r="AB640" s="10"/>
      <c r="AC640" s="10"/>
      <c r="AD640" s="10"/>
      <c r="AE640" s="9"/>
      <c r="AF640" s="9"/>
      <c r="AG640" s="9"/>
      <c r="AH640" s="9"/>
    </row>
    <row r="641" spans="1:34" x14ac:dyDescent="0.25">
      <c r="A641" s="9"/>
      <c r="B641" s="9"/>
      <c r="C641" s="9"/>
      <c r="D641" s="9"/>
      <c r="E641" s="9"/>
      <c r="F641" s="9"/>
      <c r="G641" s="11"/>
      <c r="H641" s="11"/>
      <c r="I641" s="11"/>
      <c r="J641" s="11"/>
      <c r="K641" s="9"/>
      <c r="L641" s="9"/>
      <c r="M641" s="9"/>
      <c r="N641" s="9"/>
      <c r="O641" s="9"/>
      <c r="P641" s="9"/>
      <c r="Q641" s="9"/>
      <c r="R641" s="9"/>
      <c r="S641" s="9"/>
      <c r="T641" s="9"/>
      <c r="U641" s="9"/>
      <c r="V641" s="9"/>
      <c r="W641" s="9"/>
      <c r="X641" s="9"/>
      <c r="Y641" s="9"/>
      <c r="Z641" s="9"/>
      <c r="AA641" s="9"/>
      <c r="AB641" s="9"/>
      <c r="AC641" s="9"/>
      <c r="AD641" s="9"/>
      <c r="AE641" s="9"/>
      <c r="AF641" s="9"/>
      <c r="AG641" s="9"/>
      <c r="AH641" s="9"/>
    </row>
    <row r="642" spans="1:34" x14ac:dyDescent="0.25">
      <c r="A642" s="9" t="s">
        <v>21</v>
      </c>
      <c r="B642" s="9" t="s">
        <v>24</v>
      </c>
      <c r="C642" s="9" t="s">
        <v>31</v>
      </c>
      <c r="D642" s="9" t="s">
        <v>12</v>
      </c>
      <c r="E642" s="9">
        <v>2011</v>
      </c>
      <c r="F642" s="9"/>
      <c r="G642" s="11"/>
      <c r="H642" s="11"/>
      <c r="I642" s="11"/>
      <c r="J642" s="11"/>
      <c r="K642" s="9"/>
      <c r="L642" s="9"/>
      <c r="M642" s="9"/>
      <c r="N642" s="9"/>
      <c r="O642" s="9"/>
      <c r="P642" s="9"/>
      <c r="Q642" s="9"/>
      <c r="R642" s="9"/>
      <c r="S642" s="9"/>
      <c r="T642" s="9"/>
      <c r="U642" s="9"/>
      <c r="V642" s="9">
        <v>396</v>
      </c>
      <c r="W642" s="9"/>
      <c r="X642" s="9"/>
      <c r="Y642" s="9"/>
      <c r="Z642" s="9"/>
      <c r="AA642" s="9"/>
      <c r="AB642" s="9"/>
      <c r="AC642" s="9"/>
      <c r="AD642" s="9"/>
      <c r="AE642" s="9"/>
      <c r="AF642" s="9"/>
      <c r="AG642" s="9"/>
      <c r="AH642" s="9"/>
    </row>
    <row r="643" spans="1:34" x14ac:dyDescent="0.25">
      <c r="A643" s="9" t="s">
        <v>21</v>
      </c>
      <c r="B643" s="9" t="s">
        <v>26</v>
      </c>
      <c r="C643" s="9" t="s">
        <v>31</v>
      </c>
      <c r="D643" s="9" t="s">
        <v>12</v>
      </c>
      <c r="E643" s="9">
        <v>2011</v>
      </c>
      <c r="F643" s="9"/>
      <c r="G643" s="11"/>
      <c r="H643" s="11"/>
      <c r="I643" s="11"/>
      <c r="J643" s="11"/>
      <c r="K643" s="9"/>
      <c r="L643" s="9"/>
      <c r="M643" s="9"/>
      <c r="N643" s="9"/>
      <c r="O643" s="9"/>
      <c r="P643" s="9"/>
      <c r="Q643" s="9"/>
      <c r="R643" s="9"/>
      <c r="S643" s="9"/>
      <c r="T643" s="9"/>
      <c r="U643" s="9"/>
      <c r="V643" s="9">
        <v>9</v>
      </c>
      <c r="W643" s="9"/>
      <c r="X643" s="9"/>
      <c r="Y643" s="9"/>
      <c r="Z643" s="9"/>
      <c r="AA643" s="9"/>
      <c r="AB643" s="9"/>
      <c r="AC643" s="9"/>
      <c r="AD643" s="9"/>
      <c r="AE643" s="9"/>
      <c r="AF643" s="9"/>
      <c r="AG643" s="9"/>
      <c r="AH643" s="9"/>
    </row>
    <row r="644" spans="1:34" x14ac:dyDescent="0.25">
      <c r="A644" s="9" t="s">
        <v>21</v>
      </c>
      <c r="B644" s="9" t="s">
        <v>27</v>
      </c>
      <c r="C644" s="9" t="s">
        <v>31</v>
      </c>
      <c r="D644" s="9" t="s">
        <v>12</v>
      </c>
      <c r="E644" s="9">
        <v>2011</v>
      </c>
      <c r="F644" s="9"/>
      <c r="G644" s="11"/>
      <c r="H644" s="11"/>
      <c r="I644" s="11"/>
      <c r="J644" s="11"/>
      <c r="K644" s="9"/>
      <c r="L644" s="9"/>
      <c r="M644" s="9"/>
      <c r="N644" s="9"/>
      <c r="O644" s="9"/>
      <c r="P644" s="9"/>
      <c r="Q644" s="9"/>
      <c r="R644" s="9"/>
      <c r="S644" s="9"/>
      <c r="T644" s="9"/>
      <c r="U644" s="9"/>
      <c r="V644" s="9">
        <v>15</v>
      </c>
      <c r="W644" s="9"/>
      <c r="X644" s="9"/>
      <c r="Y644" s="9"/>
      <c r="Z644" s="9"/>
      <c r="AA644" s="9"/>
      <c r="AB644" s="9"/>
      <c r="AC644" s="9"/>
      <c r="AD644" s="9"/>
      <c r="AE644" s="9"/>
      <c r="AF644" s="9"/>
      <c r="AG644" s="9"/>
      <c r="AH644" s="9"/>
    </row>
    <row r="645" spans="1:34" x14ac:dyDescent="0.25">
      <c r="A645" s="9" t="s">
        <v>21</v>
      </c>
      <c r="B645" s="9" t="s">
        <v>28</v>
      </c>
      <c r="C645" s="9" t="s">
        <v>31</v>
      </c>
      <c r="D645" s="9" t="s">
        <v>12</v>
      </c>
      <c r="E645" s="9">
        <v>2011</v>
      </c>
      <c r="F645" s="9"/>
      <c r="G645" s="11"/>
      <c r="H645" s="11"/>
      <c r="I645" s="11"/>
      <c r="J645" s="11"/>
      <c r="K645" s="9"/>
      <c r="L645" s="9"/>
      <c r="M645" s="9"/>
      <c r="N645" s="9"/>
      <c r="O645" s="9"/>
      <c r="P645" s="9"/>
      <c r="Q645" s="9"/>
      <c r="R645" s="9"/>
      <c r="S645" s="9"/>
      <c r="T645" s="9"/>
      <c r="U645" s="9"/>
      <c r="V645" s="11">
        <v>0</v>
      </c>
      <c r="W645" s="11"/>
      <c r="X645" s="11"/>
      <c r="Y645" s="11"/>
      <c r="Z645" s="11"/>
      <c r="AA645" s="11"/>
      <c r="AB645" s="11"/>
      <c r="AC645" s="11"/>
      <c r="AD645" s="11"/>
      <c r="AE645" s="9"/>
      <c r="AF645" s="9"/>
      <c r="AG645" s="9"/>
      <c r="AH645" s="9"/>
    </row>
    <row r="646" spans="1:34" x14ac:dyDescent="0.25">
      <c r="A646" s="9" t="s">
        <v>21</v>
      </c>
      <c r="B646" s="9" t="s">
        <v>29</v>
      </c>
      <c r="C646" s="9" t="s">
        <v>31</v>
      </c>
      <c r="D646" s="9" t="s">
        <v>12</v>
      </c>
      <c r="E646" s="9">
        <v>2011</v>
      </c>
      <c r="F646" s="9"/>
      <c r="G646" s="11"/>
      <c r="H646" s="11"/>
      <c r="I646" s="11"/>
      <c r="J646" s="11"/>
      <c r="K646" s="9"/>
      <c r="L646" s="9"/>
      <c r="M646" s="9"/>
      <c r="N646" s="9"/>
      <c r="O646" s="9"/>
      <c r="P646" s="9"/>
      <c r="Q646" s="9"/>
      <c r="R646" s="9"/>
      <c r="S646" s="9"/>
      <c r="T646" s="9"/>
      <c r="U646" s="9"/>
      <c r="V646" s="11">
        <v>0</v>
      </c>
      <c r="W646" s="11"/>
      <c r="X646" s="11"/>
      <c r="Y646" s="11"/>
      <c r="Z646" s="11"/>
      <c r="AA646" s="11"/>
      <c r="AB646" s="11"/>
      <c r="AC646" s="11"/>
      <c r="AD646" s="11"/>
      <c r="AE646" s="9"/>
      <c r="AF646" s="9"/>
      <c r="AG646" s="9"/>
      <c r="AH646" s="9"/>
    </row>
    <row r="647" spans="1:34" x14ac:dyDescent="0.25">
      <c r="A647" s="9" t="s">
        <v>21</v>
      </c>
      <c r="B647" s="9" t="s">
        <v>30</v>
      </c>
      <c r="C647" s="9" t="s">
        <v>31</v>
      </c>
      <c r="D647" s="9" t="s">
        <v>12</v>
      </c>
      <c r="E647" s="9">
        <v>2011</v>
      </c>
      <c r="F647" s="9"/>
      <c r="G647" s="11"/>
      <c r="H647" s="11"/>
      <c r="I647" s="11"/>
      <c r="J647" s="11"/>
      <c r="K647" s="9"/>
      <c r="L647" s="9"/>
      <c r="M647" s="9"/>
      <c r="N647" s="9"/>
      <c r="O647" s="9"/>
      <c r="P647" s="9"/>
      <c r="Q647" s="9"/>
      <c r="R647" s="9"/>
      <c r="S647" s="9"/>
      <c r="T647" s="9"/>
      <c r="U647" s="9"/>
      <c r="V647" s="11">
        <v>0</v>
      </c>
      <c r="W647" s="11"/>
      <c r="X647" s="11"/>
      <c r="Y647" s="11"/>
      <c r="Z647" s="11"/>
      <c r="AA647" s="11"/>
      <c r="AB647" s="11"/>
      <c r="AC647" s="11"/>
      <c r="AD647" s="11"/>
      <c r="AE647" s="9"/>
      <c r="AF647" s="9"/>
      <c r="AG647" s="9"/>
      <c r="AH647" s="9"/>
    </row>
    <row r="648" spans="1:34" x14ac:dyDescent="0.25">
      <c r="A648" s="9" t="s">
        <v>21</v>
      </c>
      <c r="B648" s="9" t="s">
        <v>26</v>
      </c>
      <c r="C648" s="9" t="s">
        <v>31</v>
      </c>
      <c r="D648" s="9" t="s">
        <v>15</v>
      </c>
      <c r="E648" s="9">
        <v>2011</v>
      </c>
      <c r="F648" s="9"/>
      <c r="G648" s="11"/>
      <c r="H648" s="11"/>
      <c r="I648" s="11"/>
      <c r="J648" s="11"/>
      <c r="K648" s="9"/>
      <c r="L648" s="9"/>
      <c r="M648" s="9"/>
      <c r="N648" s="9"/>
      <c r="O648" s="9"/>
      <c r="P648" s="9"/>
      <c r="Q648" s="9"/>
      <c r="R648" s="9"/>
      <c r="S648" s="9"/>
      <c r="T648" s="9"/>
      <c r="U648" s="9"/>
      <c r="V648" s="9">
        <v>6</v>
      </c>
      <c r="W648" s="9"/>
      <c r="X648" s="9"/>
      <c r="Y648" s="9"/>
      <c r="Z648" s="9"/>
      <c r="AA648" s="9"/>
      <c r="AB648" s="9"/>
      <c r="AC648" s="9"/>
      <c r="AD648" s="9"/>
      <c r="AE648" s="9"/>
      <c r="AF648" s="9"/>
      <c r="AG648" s="9"/>
      <c r="AH648" s="9"/>
    </row>
    <row r="649" spans="1:34" x14ac:dyDescent="0.25">
      <c r="A649" s="9" t="s">
        <v>21</v>
      </c>
      <c r="B649" s="9" t="s">
        <v>28</v>
      </c>
      <c r="C649" s="9" t="s">
        <v>31</v>
      </c>
      <c r="D649" s="9" t="s">
        <v>15</v>
      </c>
      <c r="E649" s="9">
        <v>2011</v>
      </c>
      <c r="F649" s="9"/>
      <c r="G649" s="11"/>
      <c r="H649" s="11"/>
      <c r="I649" s="11"/>
      <c r="J649" s="11"/>
      <c r="K649" s="9"/>
      <c r="L649" s="9"/>
      <c r="M649" s="9"/>
      <c r="N649" s="9"/>
      <c r="O649" s="9"/>
      <c r="P649" s="9"/>
      <c r="Q649" s="9"/>
      <c r="R649" s="9"/>
      <c r="S649" s="9"/>
      <c r="T649" s="9"/>
      <c r="U649" s="9"/>
      <c r="V649" s="9">
        <v>17</v>
      </c>
      <c r="W649" s="9"/>
      <c r="X649" s="9"/>
      <c r="Y649" s="9"/>
      <c r="Z649" s="9"/>
      <c r="AA649" s="9"/>
      <c r="AB649" s="9"/>
      <c r="AC649" s="9"/>
      <c r="AD649" s="9"/>
      <c r="AE649" s="9"/>
      <c r="AF649" s="9"/>
      <c r="AG649" s="9"/>
      <c r="AH649" s="9"/>
    </row>
    <row r="650" spans="1:34" x14ac:dyDescent="0.25">
      <c r="A650" s="9" t="s">
        <v>21</v>
      </c>
      <c r="B650" s="9" t="s">
        <v>29</v>
      </c>
      <c r="C650" s="9" t="s">
        <v>31</v>
      </c>
      <c r="D650" s="9" t="s">
        <v>15</v>
      </c>
      <c r="E650" s="9">
        <v>2011</v>
      </c>
      <c r="F650" s="9"/>
      <c r="G650" s="11"/>
      <c r="H650" s="11"/>
      <c r="I650" s="11"/>
      <c r="J650" s="11"/>
      <c r="K650" s="9"/>
      <c r="L650" s="9"/>
      <c r="M650" s="9"/>
      <c r="N650" s="9"/>
      <c r="O650" s="9"/>
      <c r="P650" s="9"/>
      <c r="Q650" s="9"/>
      <c r="R650" s="9"/>
      <c r="S650" s="9"/>
      <c r="T650" s="9"/>
      <c r="U650" s="9"/>
      <c r="V650" s="11">
        <v>0</v>
      </c>
      <c r="W650" s="11"/>
      <c r="X650" s="11"/>
      <c r="Y650" s="11"/>
      <c r="Z650" s="11"/>
      <c r="AA650" s="11"/>
      <c r="AB650" s="11"/>
      <c r="AC650" s="11"/>
      <c r="AD650" s="11"/>
      <c r="AE650" s="9"/>
      <c r="AF650" s="9"/>
      <c r="AG650" s="9"/>
      <c r="AH650" s="9"/>
    </row>
    <row r="651" spans="1:34" x14ac:dyDescent="0.25">
      <c r="A651" s="9" t="s">
        <v>21</v>
      </c>
      <c r="B651" s="9" t="s">
        <v>30</v>
      </c>
      <c r="C651" s="9" t="s">
        <v>31</v>
      </c>
      <c r="D651" s="9" t="s">
        <v>15</v>
      </c>
      <c r="E651" s="9">
        <v>2011</v>
      </c>
      <c r="F651" s="9"/>
      <c r="G651" s="11"/>
      <c r="H651" s="11"/>
      <c r="I651" s="11"/>
      <c r="J651" s="11"/>
      <c r="K651" s="9"/>
      <c r="L651" s="9"/>
      <c r="M651" s="9"/>
      <c r="N651" s="9"/>
      <c r="O651" s="9"/>
      <c r="P651" s="9"/>
      <c r="Q651" s="9"/>
      <c r="R651" s="9"/>
      <c r="S651" s="9"/>
      <c r="T651" s="9"/>
      <c r="U651" s="9"/>
      <c r="V651" s="11">
        <v>0</v>
      </c>
      <c r="W651" s="11"/>
      <c r="X651" s="11"/>
      <c r="Y651" s="11"/>
      <c r="Z651" s="11"/>
      <c r="AA651" s="11"/>
      <c r="AB651" s="11"/>
      <c r="AC651" s="11"/>
      <c r="AD651" s="11"/>
      <c r="AE651" s="9"/>
      <c r="AF651" s="9"/>
      <c r="AG651" s="9"/>
      <c r="AH651" s="9"/>
    </row>
    <row r="652" spans="1:34" x14ac:dyDescent="0.25">
      <c r="A652" s="9"/>
      <c r="B652" s="9"/>
      <c r="C652" s="9"/>
      <c r="D652" s="9"/>
      <c r="E652" s="9"/>
      <c r="F652" s="9"/>
      <c r="G652" s="11"/>
      <c r="H652" s="11"/>
      <c r="I652" s="11"/>
      <c r="J652" s="11"/>
      <c r="K652" s="9"/>
      <c r="L652" s="9"/>
      <c r="M652" s="9"/>
      <c r="N652" s="9"/>
      <c r="O652" s="9"/>
      <c r="P652" s="9"/>
      <c r="Q652" s="9"/>
      <c r="R652" s="9"/>
      <c r="S652" s="9"/>
      <c r="T652" s="9"/>
      <c r="U652" s="9"/>
      <c r="V652" s="9"/>
      <c r="W652" s="9"/>
      <c r="X652" s="9"/>
      <c r="Y652" s="9"/>
      <c r="Z652" s="9"/>
      <c r="AA652" s="9"/>
      <c r="AB652" s="9"/>
      <c r="AC652" s="9"/>
      <c r="AD652" s="9"/>
      <c r="AE652" s="9"/>
      <c r="AF652" s="9"/>
      <c r="AG652" s="9"/>
      <c r="AH652" s="9"/>
    </row>
    <row r="653" spans="1:34" x14ac:dyDescent="0.25">
      <c r="A653" s="9" t="s">
        <v>21</v>
      </c>
      <c r="B653" s="9" t="s">
        <v>24</v>
      </c>
      <c r="C653" s="9" t="s">
        <v>19</v>
      </c>
      <c r="D653" s="9" t="s">
        <v>12</v>
      </c>
      <c r="E653" s="9">
        <v>2011</v>
      </c>
      <c r="F653" s="9"/>
      <c r="G653" s="11"/>
      <c r="H653" s="11"/>
      <c r="I653" s="11"/>
      <c r="J653" s="11"/>
      <c r="K653" s="9"/>
      <c r="L653" s="9"/>
      <c r="M653" s="9"/>
      <c r="N653" s="9"/>
      <c r="O653" s="9"/>
      <c r="P653" s="9"/>
      <c r="Q653" s="9"/>
      <c r="R653" s="9"/>
      <c r="S653" s="9"/>
      <c r="T653" s="9"/>
      <c r="U653" s="9"/>
      <c r="V653" s="9">
        <v>321</v>
      </c>
      <c r="W653" s="9"/>
      <c r="X653" s="9"/>
      <c r="Y653" s="9"/>
      <c r="Z653" s="9"/>
      <c r="AA653" s="9"/>
      <c r="AB653" s="9"/>
      <c r="AC653" s="9"/>
      <c r="AD653" s="9"/>
      <c r="AE653" s="9"/>
      <c r="AF653" s="9"/>
      <c r="AG653" s="9"/>
      <c r="AH653" s="9"/>
    </row>
    <row r="654" spans="1:34" x14ac:dyDescent="0.25">
      <c r="A654" s="9" t="s">
        <v>21</v>
      </c>
      <c r="B654" s="9" t="s">
        <v>26</v>
      </c>
      <c r="C654" s="9" t="s">
        <v>19</v>
      </c>
      <c r="D654" s="9" t="s">
        <v>12</v>
      </c>
      <c r="E654" s="9">
        <v>2011</v>
      </c>
      <c r="F654" s="9"/>
      <c r="G654" s="11"/>
      <c r="H654" s="11"/>
      <c r="I654" s="11"/>
      <c r="J654" s="11"/>
      <c r="K654" s="9"/>
      <c r="L654" s="9"/>
      <c r="M654" s="9"/>
      <c r="N654" s="9"/>
      <c r="O654" s="9"/>
      <c r="P654" s="9"/>
      <c r="Q654" s="9"/>
      <c r="R654" s="9"/>
      <c r="S654" s="9"/>
      <c r="T654" s="9"/>
      <c r="U654" s="9"/>
      <c r="V654" s="9">
        <v>10</v>
      </c>
      <c r="W654" s="9"/>
      <c r="X654" s="9"/>
      <c r="Y654" s="9"/>
      <c r="Z654" s="9"/>
      <c r="AA654" s="9"/>
      <c r="AB654" s="9"/>
      <c r="AC654" s="9"/>
      <c r="AD654" s="9"/>
      <c r="AE654" s="9"/>
      <c r="AF654" s="9"/>
      <c r="AG654" s="9"/>
      <c r="AH654" s="9"/>
    </row>
    <row r="655" spans="1:34" x14ac:dyDescent="0.25">
      <c r="A655" s="9" t="s">
        <v>21</v>
      </c>
      <c r="B655" s="9" t="s">
        <v>27</v>
      </c>
      <c r="C655" s="9" t="s">
        <v>19</v>
      </c>
      <c r="D655" s="9" t="s">
        <v>12</v>
      </c>
      <c r="E655" s="9">
        <v>2011</v>
      </c>
      <c r="F655" s="9"/>
      <c r="G655" s="11"/>
      <c r="H655" s="11"/>
      <c r="I655" s="11"/>
      <c r="J655" s="11"/>
      <c r="K655" s="9"/>
      <c r="L655" s="9"/>
      <c r="M655" s="9"/>
      <c r="N655" s="9"/>
      <c r="O655" s="9"/>
      <c r="P655" s="9"/>
      <c r="Q655" s="9"/>
      <c r="R655" s="9"/>
      <c r="S655" s="9"/>
      <c r="T655" s="9"/>
      <c r="U655" s="9"/>
      <c r="V655" s="9">
        <v>15</v>
      </c>
      <c r="W655" s="9"/>
      <c r="X655" s="9"/>
      <c r="Y655" s="9"/>
      <c r="Z655" s="9"/>
      <c r="AA655" s="9"/>
      <c r="AB655" s="9"/>
      <c r="AC655" s="9"/>
      <c r="AD655" s="9"/>
      <c r="AE655" s="9"/>
      <c r="AF655" s="9"/>
      <c r="AG655" s="9"/>
      <c r="AH655" s="9"/>
    </row>
    <row r="656" spans="1:34" x14ac:dyDescent="0.25">
      <c r="A656" s="9" t="s">
        <v>21</v>
      </c>
      <c r="B656" s="9" t="s">
        <v>28</v>
      </c>
      <c r="C656" s="9" t="s">
        <v>19</v>
      </c>
      <c r="D656" s="9" t="s">
        <v>12</v>
      </c>
      <c r="E656" s="9">
        <v>2011</v>
      </c>
      <c r="F656" s="9"/>
      <c r="G656" s="11"/>
      <c r="H656" s="11"/>
      <c r="I656" s="11"/>
      <c r="J656" s="11"/>
      <c r="K656" s="9"/>
      <c r="L656" s="9"/>
      <c r="M656" s="9"/>
      <c r="N656" s="9"/>
      <c r="O656" s="9"/>
      <c r="P656" s="9"/>
      <c r="Q656" s="9"/>
      <c r="R656" s="9"/>
      <c r="S656" s="9"/>
      <c r="T656" s="9"/>
      <c r="U656" s="9"/>
      <c r="V656" s="11">
        <v>6</v>
      </c>
      <c r="W656" s="11"/>
      <c r="X656" s="11"/>
      <c r="Y656" s="11"/>
      <c r="Z656" s="11"/>
      <c r="AA656" s="11"/>
      <c r="AB656" s="11"/>
      <c r="AC656" s="11"/>
      <c r="AD656" s="11"/>
      <c r="AE656" s="9"/>
      <c r="AF656" s="9"/>
      <c r="AG656" s="9"/>
      <c r="AH656" s="9"/>
    </row>
    <row r="657" spans="1:34" x14ac:dyDescent="0.25">
      <c r="A657" s="9" t="s">
        <v>21</v>
      </c>
      <c r="B657" s="9" t="s">
        <v>29</v>
      </c>
      <c r="C657" s="9" t="s">
        <v>19</v>
      </c>
      <c r="D657" s="9" t="s">
        <v>12</v>
      </c>
      <c r="E657" s="9">
        <v>2011</v>
      </c>
      <c r="F657" s="9"/>
      <c r="G657" s="11"/>
      <c r="H657" s="11"/>
      <c r="I657" s="11"/>
      <c r="J657" s="11"/>
      <c r="K657" s="9"/>
      <c r="L657" s="9"/>
      <c r="M657" s="9"/>
      <c r="N657" s="9"/>
      <c r="O657" s="9"/>
      <c r="P657" s="9"/>
      <c r="Q657" s="9"/>
      <c r="R657" s="9"/>
      <c r="S657" s="9"/>
      <c r="T657" s="9"/>
      <c r="U657" s="9"/>
      <c r="V657" s="11">
        <v>2</v>
      </c>
      <c r="W657" s="11"/>
      <c r="X657" s="11"/>
      <c r="Y657" s="11"/>
      <c r="Z657" s="11"/>
      <c r="AA657" s="11"/>
      <c r="AB657" s="11"/>
      <c r="AC657" s="11"/>
      <c r="AD657" s="11"/>
      <c r="AE657" s="9"/>
      <c r="AF657" s="9"/>
      <c r="AG657" s="9"/>
      <c r="AH657" s="9"/>
    </row>
    <row r="658" spans="1:34" x14ac:dyDescent="0.25">
      <c r="A658" s="9" t="s">
        <v>21</v>
      </c>
      <c r="B658" s="9" t="s">
        <v>30</v>
      </c>
      <c r="C658" s="9" t="s">
        <v>19</v>
      </c>
      <c r="D658" s="9" t="s">
        <v>12</v>
      </c>
      <c r="E658" s="9">
        <v>2011</v>
      </c>
      <c r="F658" s="9"/>
      <c r="G658" s="11"/>
      <c r="H658" s="11"/>
      <c r="I658" s="11"/>
      <c r="J658" s="11"/>
      <c r="K658" s="9"/>
      <c r="L658" s="9"/>
      <c r="M658" s="9"/>
      <c r="N658" s="9"/>
      <c r="O658" s="9"/>
      <c r="P658" s="9"/>
      <c r="Q658" s="9"/>
      <c r="R658" s="9"/>
      <c r="S658" s="9"/>
      <c r="T658" s="9"/>
      <c r="U658" s="9"/>
      <c r="V658" s="11">
        <v>0</v>
      </c>
      <c r="W658" s="11"/>
      <c r="X658" s="11"/>
      <c r="Y658" s="11"/>
      <c r="Z658" s="11"/>
      <c r="AA658" s="11"/>
      <c r="AB658" s="11"/>
      <c r="AC658" s="11"/>
      <c r="AD658" s="11"/>
      <c r="AE658" s="9"/>
      <c r="AF658" s="9"/>
      <c r="AG658" s="9"/>
      <c r="AH658" s="9"/>
    </row>
    <row r="659" spans="1:34" x14ac:dyDescent="0.25">
      <c r="A659" s="9" t="s">
        <v>21</v>
      </c>
      <c r="B659" s="9" t="s">
        <v>26</v>
      </c>
      <c r="C659" s="9" t="s">
        <v>19</v>
      </c>
      <c r="D659" s="9" t="s">
        <v>15</v>
      </c>
      <c r="E659" s="9">
        <v>2011</v>
      </c>
      <c r="F659" s="9"/>
      <c r="G659" s="11"/>
      <c r="H659" s="11"/>
      <c r="I659" s="11"/>
      <c r="J659" s="11"/>
      <c r="K659" s="9"/>
      <c r="L659" s="9"/>
      <c r="M659" s="9"/>
      <c r="N659" s="9"/>
      <c r="O659" s="9"/>
      <c r="P659" s="9"/>
      <c r="Q659" s="9"/>
      <c r="R659" s="9"/>
      <c r="S659" s="9"/>
      <c r="T659" s="9"/>
      <c r="U659" s="9"/>
      <c r="V659" s="11">
        <v>13</v>
      </c>
      <c r="W659" s="11"/>
      <c r="X659" s="11"/>
      <c r="Y659" s="11"/>
      <c r="Z659" s="11"/>
      <c r="AA659" s="11"/>
      <c r="AB659" s="11"/>
      <c r="AC659" s="11"/>
      <c r="AD659" s="11"/>
      <c r="AE659" s="9"/>
      <c r="AF659" s="9"/>
      <c r="AG659" s="9"/>
      <c r="AH659" s="9"/>
    </row>
    <row r="660" spans="1:34" x14ac:dyDescent="0.25">
      <c r="A660" s="9" t="s">
        <v>21</v>
      </c>
      <c r="B660" s="9" t="s">
        <v>28</v>
      </c>
      <c r="C660" s="9" t="s">
        <v>19</v>
      </c>
      <c r="D660" s="9" t="s">
        <v>15</v>
      </c>
      <c r="E660" s="9">
        <v>2011</v>
      </c>
      <c r="F660" s="9"/>
      <c r="G660" s="11"/>
      <c r="H660" s="11"/>
      <c r="I660" s="11"/>
      <c r="J660" s="11"/>
      <c r="K660" s="9"/>
      <c r="L660" s="9"/>
      <c r="M660" s="9"/>
      <c r="N660" s="9"/>
      <c r="O660" s="9"/>
      <c r="P660" s="9"/>
      <c r="Q660" s="9"/>
      <c r="R660" s="9"/>
      <c r="S660" s="9"/>
      <c r="T660" s="9"/>
      <c r="U660" s="9"/>
      <c r="V660" s="11">
        <v>57</v>
      </c>
      <c r="W660" s="11"/>
      <c r="X660" s="11"/>
      <c r="Y660" s="11"/>
      <c r="Z660" s="11"/>
      <c r="AA660" s="11"/>
      <c r="AB660" s="11"/>
      <c r="AC660" s="11"/>
      <c r="AD660" s="11"/>
      <c r="AE660" s="9"/>
      <c r="AF660" s="9"/>
      <c r="AG660" s="9"/>
      <c r="AH660" s="9"/>
    </row>
    <row r="661" spans="1:34" x14ac:dyDescent="0.25">
      <c r="A661" s="9" t="s">
        <v>21</v>
      </c>
      <c r="B661" s="9" t="s">
        <v>29</v>
      </c>
      <c r="C661" s="9" t="s">
        <v>19</v>
      </c>
      <c r="D661" s="9" t="s">
        <v>15</v>
      </c>
      <c r="E661" s="9">
        <v>2011</v>
      </c>
      <c r="F661" s="9"/>
      <c r="G661" s="11"/>
      <c r="H661" s="11"/>
      <c r="I661" s="11"/>
      <c r="J661" s="11"/>
      <c r="K661" s="9"/>
      <c r="L661" s="9"/>
      <c r="M661" s="9"/>
      <c r="N661" s="9"/>
      <c r="O661" s="9"/>
      <c r="P661" s="9"/>
      <c r="Q661" s="9"/>
      <c r="R661" s="9"/>
      <c r="S661" s="9"/>
      <c r="T661" s="9"/>
      <c r="U661" s="9"/>
      <c r="V661" s="11">
        <v>0</v>
      </c>
      <c r="W661" s="11"/>
      <c r="X661" s="11"/>
      <c r="Y661" s="11"/>
      <c r="Z661" s="11"/>
      <c r="AA661" s="11"/>
      <c r="AB661" s="11"/>
      <c r="AC661" s="11"/>
      <c r="AD661" s="11"/>
      <c r="AE661" s="9"/>
      <c r="AF661" s="9"/>
      <c r="AG661" s="9"/>
      <c r="AH661" s="9"/>
    </row>
    <row r="662" spans="1:34" x14ac:dyDescent="0.25">
      <c r="A662" s="9" t="s">
        <v>21</v>
      </c>
      <c r="B662" s="9" t="s">
        <v>30</v>
      </c>
      <c r="C662" s="9" t="s">
        <v>19</v>
      </c>
      <c r="D662" s="9" t="s">
        <v>15</v>
      </c>
      <c r="E662" s="9">
        <v>2011</v>
      </c>
      <c r="F662" s="9"/>
      <c r="G662" s="11"/>
      <c r="H662" s="11"/>
      <c r="I662" s="11"/>
      <c r="J662" s="11"/>
      <c r="K662" s="9"/>
      <c r="L662" s="9"/>
      <c r="M662" s="9"/>
      <c r="N662" s="9"/>
      <c r="O662" s="9"/>
      <c r="P662" s="9"/>
      <c r="Q662" s="9"/>
      <c r="R662" s="9"/>
      <c r="S662" s="9"/>
      <c r="T662" s="9"/>
      <c r="U662" s="9"/>
      <c r="V662" s="11">
        <v>0</v>
      </c>
      <c r="W662" s="11"/>
      <c r="X662" s="11"/>
      <c r="Y662" s="11"/>
      <c r="Z662" s="11"/>
      <c r="AA662" s="11"/>
      <c r="AB662" s="11"/>
      <c r="AC662" s="11"/>
      <c r="AD662" s="11"/>
      <c r="AE662" s="9"/>
      <c r="AF662" s="9"/>
      <c r="AG662" s="9"/>
      <c r="AH662" s="9"/>
    </row>
    <row r="663" spans="1:34" x14ac:dyDescent="0.25">
      <c r="A663" s="9"/>
      <c r="B663" s="9"/>
      <c r="C663" s="9"/>
      <c r="D663" s="9"/>
      <c r="E663" s="9"/>
      <c r="F663" s="9"/>
      <c r="G663" s="11"/>
      <c r="H663" s="11"/>
      <c r="I663" s="11"/>
      <c r="J663" s="11"/>
      <c r="K663" s="9"/>
      <c r="L663" s="9"/>
      <c r="M663" s="9"/>
      <c r="N663" s="9"/>
      <c r="O663" s="9"/>
      <c r="P663" s="9"/>
      <c r="Q663" s="9"/>
      <c r="R663" s="9"/>
      <c r="S663" s="9"/>
      <c r="T663" s="9"/>
      <c r="U663" s="9"/>
      <c r="V663" s="9"/>
      <c r="W663" s="9"/>
      <c r="X663" s="9"/>
      <c r="Y663" s="9"/>
      <c r="Z663" s="9"/>
      <c r="AA663" s="9"/>
      <c r="AB663" s="9"/>
      <c r="AC663" s="9"/>
      <c r="AD663" s="9"/>
      <c r="AE663" s="9"/>
      <c r="AF663" s="9"/>
      <c r="AG663" s="9"/>
      <c r="AH663" s="9"/>
    </row>
    <row r="664" spans="1:34" x14ac:dyDescent="0.25">
      <c r="A664" s="9" t="s">
        <v>21</v>
      </c>
      <c r="B664" s="9" t="s">
        <v>24</v>
      </c>
      <c r="C664" s="9" t="s">
        <v>20</v>
      </c>
      <c r="D664" s="9" t="s">
        <v>12</v>
      </c>
      <c r="E664" s="9">
        <v>2011</v>
      </c>
      <c r="F664" s="9"/>
      <c r="G664" s="11"/>
      <c r="H664" s="11"/>
      <c r="I664" s="11"/>
      <c r="J664" s="11"/>
      <c r="K664" s="9"/>
      <c r="L664" s="9"/>
      <c r="M664" s="9"/>
      <c r="N664" s="9"/>
      <c r="O664" s="9"/>
      <c r="P664" s="9"/>
      <c r="Q664" s="9"/>
      <c r="R664" s="9"/>
      <c r="S664" s="9"/>
      <c r="T664" s="9"/>
      <c r="U664" s="9"/>
      <c r="V664" s="11">
        <v>771</v>
      </c>
      <c r="W664" s="11"/>
      <c r="X664" s="11"/>
      <c r="Y664" s="11"/>
      <c r="Z664" s="11"/>
      <c r="AA664" s="11"/>
      <c r="AB664" s="11"/>
      <c r="AC664" s="11"/>
      <c r="AD664" s="11"/>
      <c r="AE664" s="9"/>
      <c r="AF664" s="9"/>
      <c r="AG664" s="9"/>
      <c r="AH664" s="9"/>
    </row>
    <row r="665" spans="1:34" x14ac:dyDescent="0.25">
      <c r="A665" s="9" t="s">
        <v>21</v>
      </c>
      <c r="B665" s="9" t="s">
        <v>26</v>
      </c>
      <c r="C665" s="9" t="s">
        <v>20</v>
      </c>
      <c r="D665" s="9" t="s">
        <v>12</v>
      </c>
      <c r="E665" s="9">
        <v>2011</v>
      </c>
      <c r="F665" s="9"/>
      <c r="G665" s="11"/>
      <c r="H665" s="11"/>
      <c r="I665" s="11"/>
      <c r="J665" s="11"/>
      <c r="K665" s="9"/>
      <c r="L665" s="9"/>
      <c r="M665" s="9"/>
      <c r="N665" s="9"/>
      <c r="O665" s="9"/>
      <c r="P665" s="9"/>
      <c r="Q665" s="9"/>
      <c r="R665" s="9"/>
      <c r="S665" s="9"/>
      <c r="T665" s="9"/>
      <c r="U665" s="9"/>
      <c r="V665" s="11">
        <v>16</v>
      </c>
      <c r="W665" s="11"/>
      <c r="X665" s="11"/>
      <c r="Y665" s="11"/>
      <c r="Z665" s="11"/>
      <c r="AA665" s="11"/>
      <c r="AB665" s="11"/>
      <c r="AC665" s="11"/>
      <c r="AD665" s="11"/>
      <c r="AE665" s="9"/>
      <c r="AF665" s="9"/>
      <c r="AG665" s="9"/>
      <c r="AH665" s="9"/>
    </row>
    <row r="666" spans="1:34" x14ac:dyDescent="0.25">
      <c r="A666" s="9" t="s">
        <v>21</v>
      </c>
      <c r="B666" s="9" t="s">
        <v>27</v>
      </c>
      <c r="C666" s="9" t="s">
        <v>20</v>
      </c>
      <c r="D666" s="9" t="s">
        <v>12</v>
      </c>
      <c r="E666" s="9">
        <v>2011</v>
      </c>
      <c r="F666" s="9"/>
      <c r="G666" s="11"/>
      <c r="H666" s="11"/>
      <c r="I666" s="11"/>
      <c r="J666" s="11"/>
      <c r="K666" s="9"/>
      <c r="L666" s="9"/>
      <c r="M666" s="9"/>
      <c r="N666" s="9"/>
      <c r="O666" s="9"/>
      <c r="P666" s="9"/>
      <c r="Q666" s="9"/>
      <c r="R666" s="9"/>
      <c r="S666" s="9"/>
      <c r="T666" s="9"/>
      <c r="U666" s="9"/>
      <c r="V666" s="11">
        <v>28</v>
      </c>
      <c r="W666" s="11"/>
      <c r="X666" s="11"/>
      <c r="Y666" s="11"/>
      <c r="Z666" s="11"/>
      <c r="AA666" s="11"/>
      <c r="AB666" s="11"/>
      <c r="AC666" s="11"/>
      <c r="AD666" s="11"/>
      <c r="AE666" s="9"/>
      <c r="AF666" s="9"/>
      <c r="AG666" s="9"/>
      <c r="AH666" s="9"/>
    </row>
    <row r="667" spans="1:34" x14ac:dyDescent="0.25">
      <c r="A667" s="9" t="s">
        <v>21</v>
      </c>
      <c r="B667" s="9" t="s">
        <v>28</v>
      </c>
      <c r="C667" s="9" t="s">
        <v>20</v>
      </c>
      <c r="D667" s="9" t="s">
        <v>12</v>
      </c>
      <c r="E667" s="9">
        <v>2011</v>
      </c>
      <c r="F667" s="9"/>
      <c r="G667" s="11"/>
      <c r="H667" s="11"/>
      <c r="I667" s="11"/>
      <c r="J667" s="11"/>
      <c r="K667" s="9"/>
      <c r="L667" s="9"/>
      <c r="M667" s="9"/>
      <c r="N667" s="9"/>
      <c r="O667" s="9"/>
      <c r="P667" s="9"/>
      <c r="Q667" s="9"/>
      <c r="R667" s="9"/>
      <c r="S667" s="9"/>
      <c r="T667" s="9"/>
      <c r="U667" s="9"/>
      <c r="V667" s="11">
        <v>5</v>
      </c>
      <c r="W667" s="11"/>
      <c r="X667" s="11"/>
      <c r="Y667" s="11"/>
      <c r="Z667" s="11"/>
      <c r="AA667" s="11"/>
      <c r="AB667" s="11"/>
      <c r="AC667" s="11"/>
      <c r="AD667" s="11"/>
      <c r="AE667" s="9"/>
      <c r="AF667" s="9"/>
      <c r="AG667" s="9"/>
      <c r="AH667" s="9"/>
    </row>
    <row r="668" spans="1:34" x14ac:dyDescent="0.25">
      <c r="A668" s="9" t="s">
        <v>21</v>
      </c>
      <c r="B668" s="9" t="s">
        <v>29</v>
      </c>
      <c r="C668" s="9" t="s">
        <v>20</v>
      </c>
      <c r="D668" s="9" t="s">
        <v>12</v>
      </c>
      <c r="E668" s="9">
        <v>2011</v>
      </c>
      <c r="F668" s="9"/>
      <c r="G668" s="11"/>
      <c r="H668" s="11"/>
      <c r="I668" s="11"/>
      <c r="J668" s="11"/>
      <c r="K668" s="9"/>
      <c r="L668" s="9"/>
      <c r="M668" s="9"/>
      <c r="N668" s="9"/>
      <c r="O668" s="9"/>
      <c r="P668" s="9"/>
      <c r="Q668" s="9"/>
      <c r="R668" s="9"/>
      <c r="S668" s="9"/>
      <c r="T668" s="9"/>
      <c r="U668" s="9"/>
      <c r="V668" s="11">
        <v>0</v>
      </c>
      <c r="W668" s="11"/>
      <c r="X668" s="11"/>
      <c r="Y668" s="11"/>
      <c r="Z668" s="11"/>
      <c r="AA668" s="11"/>
      <c r="AB668" s="11"/>
      <c r="AC668" s="11"/>
      <c r="AD668" s="11"/>
      <c r="AE668" s="9"/>
      <c r="AF668" s="9"/>
      <c r="AG668" s="9"/>
      <c r="AH668" s="9"/>
    </row>
    <row r="669" spans="1:34" x14ac:dyDescent="0.25">
      <c r="A669" s="9" t="s">
        <v>21</v>
      </c>
      <c r="B669" s="9" t="s">
        <v>30</v>
      </c>
      <c r="C669" s="9" t="s">
        <v>20</v>
      </c>
      <c r="D669" s="9" t="s">
        <v>12</v>
      </c>
      <c r="E669" s="9">
        <v>2011</v>
      </c>
      <c r="F669" s="9"/>
      <c r="G669" s="11"/>
      <c r="H669" s="11"/>
      <c r="I669" s="11"/>
      <c r="J669" s="11"/>
      <c r="K669" s="9"/>
      <c r="L669" s="9"/>
      <c r="M669" s="9"/>
      <c r="N669" s="9"/>
      <c r="O669" s="9"/>
      <c r="P669" s="9"/>
      <c r="Q669" s="9"/>
      <c r="R669" s="9"/>
      <c r="S669" s="9"/>
      <c r="T669" s="9"/>
      <c r="U669" s="9"/>
      <c r="V669" s="11">
        <v>0</v>
      </c>
      <c r="W669" s="11"/>
      <c r="X669" s="11"/>
      <c r="Y669" s="11"/>
      <c r="Z669" s="11"/>
      <c r="AA669" s="11"/>
      <c r="AB669" s="11"/>
      <c r="AC669" s="11"/>
      <c r="AD669" s="11"/>
      <c r="AE669" s="9"/>
      <c r="AF669" s="9"/>
      <c r="AG669" s="9"/>
      <c r="AH669" s="9"/>
    </row>
    <row r="670" spans="1:34" x14ac:dyDescent="0.25">
      <c r="A670" s="9" t="s">
        <v>21</v>
      </c>
      <c r="B670" s="9" t="s">
        <v>26</v>
      </c>
      <c r="C670" s="9" t="s">
        <v>20</v>
      </c>
      <c r="D670" s="9" t="s">
        <v>15</v>
      </c>
      <c r="E670" s="9">
        <v>2011</v>
      </c>
      <c r="F670" s="9"/>
      <c r="G670" s="11"/>
      <c r="H670" s="11"/>
      <c r="I670" s="11"/>
      <c r="J670" s="11"/>
      <c r="K670" s="9"/>
      <c r="L670" s="9"/>
      <c r="M670" s="9"/>
      <c r="N670" s="9"/>
      <c r="O670" s="9"/>
      <c r="P670" s="9"/>
      <c r="Q670" s="9"/>
      <c r="R670" s="9"/>
      <c r="S670" s="9"/>
      <c r="T670" s="9"/>
      <c r="U670" s="9"/>
      <c r="V670" s="11">
        <v>11</v>
      </c>
      <c r="W670" s="11"/>
      <c r="X670" s="11"/>
      <c r="Y670" s="11"/>
      <c r="Z670" s="11"/>
      <c r="AA670" s="11"/>
      <c r="AB670" s="11"/>
      <c r="AC670" s="11"/>
      <c r="AD670" s="11"/>
      <c r="AE670" s="9"/>
      <c r="AF670" s="9"/>
      <c r="AG670" s="9"/>
      <c r="AH670" s="9"/>
    </row>
    <row r="671" spans="1:34" x14ac:dyDescent="0.25">
      <c r="A671" s="9" t="s">
        <v>21</v>
      </c>
      <c r="B671" s="9" t="s">
        <v>28</v>
      </c>
      <c r="C671" s="9" t="s">
        <v>20</v>
      </c>
      <c r="D671" s="9" t="s">
        <v>15</v>
      </c>
      <c r="E671" s="9">
        <v>2011</v>
      </c>
      <c r="F671" s="9"/>
      <c r="G671" s="11"/>
      <c r="H671" s="11"/>
      <c r="I671" s="11"/>
      <c r="J671" s="11"/>
      <c r="K671" s="9"/>
      <c r="L671" s="9"/>
      <c r="M671" s="9"/>
      <c r="N671" s="9"/>
      <c r="O671" s="9"/>
      <c r="P671" s="9"/>
      <c r="Q671" s="9"/>
      <c r="R671" s="9"/>
      <c r="S671" s="9"/>
      <c r="T671" s="9"/>
      <c r="U671" s="9"/>
      <c r="V671" s="11">
        <v>77</v>
      </c>
      <c r="W671" s="11"/>
      <c r="X671" s="11"/>
      <c r="Y671" s="11"/>
      <c r="Z671" s="11"/>
      <c r="AA671" s="11"/>
      <c r="AB671" s="11"/>
      <c r="AC671" s="11"/>
      <c r="AD671" s="11"/>
      <c r="AE671" s="9"/>
      <c r="AF671" s="9"/>
      <c r="AG671" s="9"/>
      <c r="AH671" s="9"/>
    </row>
    <row r="672" spans="1:34" x14ac:dyDescent="0.25">
      <c r="A672" s="9" t="s">
        <v>21</v>
      </c>
      <c r="B672" s="9" t="s">
        <v>29</v>
      </c>
      <c r="C672" s="9" t="s">
        <v>20</v>
      </c>
      <c r="D672" s="9" t="s">
        <v>15</v>
      </c>
      <c r="E672" s="9">
        <v>2011</v>
      </c>
      <c r="F672" s="9"/>
      <c r="G672" s="11"/>
      <c r="H672" s="11"/>
      <c r="I672" s="11"/>
      <c r="J672" s="11"/>
      <c r="K672" s="9"/>
      <c r="L672" s="9"/>
      <c r="M672" s="9"/>
      <c r="N672" s="9"/>
      <c r="O672" s="9"/>
      <c r="P672" s="9"/>
      <c r="Q672" s="9"/>
      <c r="R672" s="9"/>
      <c r="S672" s="9"/>
      <c r="T672" s="9"/>
      <c r="U672" s="9"/>
      <c r="V672" s="11">
        <v>0</v>
      </c>
      <c r="W672" s="11"/>
      <c r="X672" s="11"/>
      <c r="Y672" s="11"/>
      <c r="Z672" s="11"/>
      <c r="AA672" s="11"/>
      <c r="AB672" s="11"/>
      <c r="AC672" s="11"/>
      <c r="AD672" s="11"/>
      <c r="AE672" s="9"/>
      <c r="AF672" s="9"/>
      <c r="AG672" s="9"/>
      <c r="AH672" s="9"/>
    </row>
    <row r="673" spans="1:34" x14ac:dyDescent="0.25">
      <c r="A673" s="9" t="s">
        <v>21</v>
      </c>
      <c r="B673" s="9" t="s">
        <v>30</v>
      </c>
      <c r="C673" s="9" t="s">
        <v>20</v>
      </c>
      <c r="D673" s="9" t="s">
        <v>15</v>
      </c>
      <c r="E673" s="9">
        <v>2011</v>
      </c>
      <c r="F673" s="9"/>
      <c r="G673" s="11"/>
      <c r="H673" s="11"/>
      <c r="I673" s="11"/>
      <c r="J673" s="11"/>
      <c r="K673" s="9"/>
      <c r="L673" s="9"/>
      <c r="M673" s="9"/>
      <c r="N673" s="9"/>
      <c r="O673" s="9"/>
      <c r="P673" s="9"/>
      <c r="Q673" s="9"/>
      <c r="R673" s="9"/>
      <c r="S673" s="9"/>
      <c r="T673" s="9"/>
      <c r="U673" s="9"/>
      <c r="V673" s="11">
        <v>0</v>
      </c>
      <c r="W673" s="11"/>
      <c r="X673" s="11"/>
      <c r="Y673" s="11"/>
      <c r="Z673" s="11"/>
      <c r="AA673" s="11"/>
      <c r="AB673" s="11"/>
      <c r="AC673" s="11"/>
      <c r="AD673" s="11"/>
      <c r="AE673" s="9"/>
      <c r="AF673" s="9"/>
      <c r="AG673" s="9"/>
      <c r="AH673" s="9"/>
    </row>
    <row r="674" spans="1:34" x14ac:dyDescent="0.25">
      <c r="A674" s="9"/>
      <c r="B674" s="9"/>
      <c r="C674" s="9"/>
      <c r="D674" s="9"/>
      <c r="E674" s="9"/>
      <c r="F674" s="9"/>
      <c r="G674" s="11"/>
      <c r="H674" s="11"/>
      <c r="I674" s="11"/>
      <c r="J674" s="11"/>
      <c r="K674" s="9"/>
      <c r="L674" s="9"/>
      <c r="M674" s="9"/>
      <c r="N674" s="9"/>
      <c r="O674" s="9"/>
      <c r="P674" s="9"/>
      <c r="Q674" s="9"/>
      <c r="R674" s="9"/>
      <c r="S674" s="9"/>
      <c r="T674" s="9"/>
      <c r="U674" s="9"/>
      <c r="V674" s="9"/>
      <c r="W674" s="9"/>
      <c r="X674" s="9"/>
      <c r="Y674" s="9"/>
      <c r="Z674" s="9"/>
      <c r="AA674" s="9"/>
      <c r="AB674" s="9"/>
      <c r="AC674" s="9"/>
      <c r="AD674" s="9"/>
      <c r="AE674" s="9"/>
      <c r="AF674" s="9"/>
      <c r="AG674" s="9"/>
      <c r="AH674" s="9"/>
    </row>
    <row r="675" spans="1:34" x14ac:dyDescent="0.25">
      <c r="A675" s="9"/>
      <c r="B675" s="9"/>
      <c r="C675" s="9"/>
      <c r="D675" s="9"/>
      <c r="E675" s="9"/>
      <c r="F675" s="9"/>
      <c r="G675" s="11"/>
      <c r="H675" s="11"/>
      <c r="I675" s="11"/>
      <c r="J675" s="11"/>
      <c r="K675" s="9"/>
      <c r="L675" s="9"/>
      <c r="M675" s="9"/>
      <c r="N675" s="9"/>
      <c r="O675" s="9"/>
      <c r="P675" s="9"/>
      <c r="Q675" s="9"/>
      <c r="R675" s="9"/>
      <c r="S675" s="9"/>
      <c r="T675" s="9"/>
      <c r="U675" s="9"/>
      <c r="V675" s="9"/>
      <c r="W675" s="9"/>
      <c r="X675" s="9"/>
      <c r="Y675" s="9"/>
      <c r="Z675" s="9"/>
      <c r="AA675" s="9"/>
      <c r="AB675" s="9"/>
      <c r="AC675" s="9"/>
      <c r="AD675" s="9"/>
      <c r="AE675" s="9"/>
      <c r="AF675" s="9"/>
      <c r="AG675" s="9"/>
      <c r="AH675" s="9"/>
    </row>
    <row r="676" spans="1:34" x14ac:dyDescent="0.25">
      <c r="A676" s="9" t="s">
        <v>22</v>
      </c>
      <c r="B676" s="9" t="s">
        <v>24</v>
      </c>
      <c r="C676" s="9" t="s">
        <v>11</v>
      </c>
      <c r="D676" s="9" t="s">
        <v>12</v>
      </c>
      <c r="E676" s="9">
        <v>2011</v>
      </c>
      <c r="F676" s="9"/>
      <c r="G676" s="11"/>
      <c r="H676" s="11"/>
      <c r="I676" s="11"/>
      <c r="J676" s="11"/>
      <c r="K676" s="9"/>
      <c r="L676" s="9"/>
      <c r="M676" s="9"/>
      <c r="N676" s="9"/>
      <c r="O676" s="9"/>
      <c r="P676" s="9"/>
      <c r="Q676" s="9"/>
      <c r="R676" s="9"/>
      <c r="S676" s="9"/>
      <c r="T676" s="9"/>
      <c r="U676" s="9"/>
      <c r="V676" s="9"/>
      <c r="W676" s="9"/>
      <c r="X676" s="9"/>
      <c r="Y676" s="9"/>
      <c r="Z676" s="9"/>
      <c r="AA676" s="9"/>
      <c r="AB676" s="9"/>
      <c r="AC676" s="9"/>
      <c r="AD676" s="9"/>
      <c r="AE676" s="9" t="s">
        <v>12</v>
      </c>
      <c r="AF676" s="9" t="s">
        <v>31</v>
      </c>
      <c r="AG676" s="9"/>
      <c r="AH676" s="9"/>
    </row>
    <row r="677" spans="1:34" x14ac:dyDescent="0.25">
      <c r="A677" s="9" t="s">
        <v>22</v>
      </c>
      <c r="B677" s="9" t="s">
        <v>26</v>
      </c>
      <c r="C677" s="9" t="s">
        <v>11</v>
      </c>
      <c r="D677" s="9" t="s">
        <v>12</v>
      </c>
      <c r="E677" s="9">
        <v>2011</v>
      </c>
      <c r="F677" s="9"/>
      <c r="G677" s="11"/>
      <c r="H677" s="11"/>
      <c r="I677" s="11"/>
      <c r="J677" s="11"/>
      <c r="K677" s="9"/>
      <c r="L677" s="9"/>
      <c r="M677" s="9"/>
      <c r="N677" s="9"/>
      <c r="O677" s="9"/>
      <c r="P677" s="9"/>
      <c r="Q677" s="9"/>
      <c r="R677" s="9"/>
      <c r="S677" s="9"/>
      <c r="T677" s="9"/>
      <c r="U677" s="9"/>
      <c r="V677" s="9"/>
      <c r="W677" s="9"/>
      <c r="X677" s="9"/>
      <c r="Y677" s="9"/>
      <c r="Z677" s="9"/>
      <c r="AA677" s="9"/>
      <c r="AB677" s="9"/>
      <c r="AC677" s="9"/>
      <c r="AD677" s="9"/>
      <c r="AE677" s="9"/>
      <c r="AF677" s="9" t="s">
        <v>19</v>
      </c>
      <c r="AG677" s="9"/>
      <c r="AH677" s="9"/>
    </row>
    <row r="678" spans="1:34" x14ac:dyDescent="0.25">
      <c r="A678" s="9" t="s">
        <v>22</v>
      </c>
      <c r="B678" s="9" t="s">
        <v>27</v>
      </c>
      <c r="C678" s="9" t="s">
        <v>11</v>
      </c>
      <c r="D678" s="9" t="s">
        <v>12</v>
      </c>
      <c r="E678" s="9">
        <v>2011</v>
      </c>
      <c r="F678" s="9"/>
      <c r="G678" s="11"/>
      <c r="H678" s="11"/>
      <c r="I678" s="11"/>
      <c r="J678" s="11"/>
      <c r="K678" s="9"/>
      <c r="L678" s="9"/>
      <c r="M678" s="9"/>
      <c r="N678" s="9"/>
      <c r="O678" s="9"/>
      <c r="P678" s="9"/>
      <c r="Q678" s="9"/>
      <c r="R678" s="9"/>
      <c r="S678" s="9"/>
      <c r="T678" s="9"/>
      <c r="U678" s="9"/>
      <c r="V678" s="9"/>
      <c r="W678" s="9"/>
      <c r="X678" s="9"/>
      <c r="Y678" s="9"/>
      <c r="Z678" s="9"/>
      <c r="AA678" s="9"/>
      <c r="AB678" s="9"/>
      <c r="AC678" s="9"/>
      <c r="AD678" s="9"/>
      <c r="AE678" s="9"/>
      <c r="AF678" s="9" t="s">
        <v>20</v>
      </c>
      <c r="AG678" s="9"/>
      <c r="AH678" s="9"/>
    </row>
    <row r="679" spans="1:34" x14ac:dyDescent="0.25">
      <c r="A679" s="9" t="s">
        <v>22</v>
      </c>
      <c r="B679" s="9" t="s">
        <v>28</v>
      </c>
      <c r="C679" s="9" t="s">
        <v>11</v>
      </c>
      <c r="D679" s="9" t="s">
        <v>12</v>
      </c>
      <c r="E679" s="9">
        <v>2011</v>
      </c>
      <c r="F679" s="9"/>
      <c r="G679" s="11"/>
      <c r="H679" s="11"/>
      <c r="I679" s="11"/>
      <c r="J679" s="11"/>
      <c r="K679" s="9"/>
      <c r="L679" s="9"/>
      <c r="M679" s="9"/>
      <c r="N679" s="9"/>
      <c r="O679" s="9"/>
      <c r="P679" s="9"/>
      <c r="Q679" s="9"/>
      <c r="R679" s="9"/>
      <c r="S679" s="9"/>
      <c r="T679" s="9"/>
      <c r="U679" s="9"/>
      <c r="V679" s="9"/>
      <c r="W679" s="9"/>
      <c r="X679" s="9"/>
      <c r="Y679" s="9"/>
      <c r="Z679" s="9"/>
      <c r="AA679" s="9"/>
      <c r="AB679" s="9"/>
      <c r="AC679" s="9"/>
      <c r="AD679" s="9"/>
      <c r="AE679" s="9" t="s">
        <v>15</v>
      </c>
      <c r="AF679" s="9" t="s">
        <v>31</v>
      </c>
      <c r="AG679" s="9"/>
      <c r="AH679" s="9"/>
    </row>
    <row r="680" spans="1:34" x14ac:dyDescent="0.25">
      <c r="A680" s="9" t="s">
        <v>22</v>
      </c>
      <c r="B680" s="9" t="s">
        <v>29</v>
      </c>
      <c r="C680" s="9" t="s">
        <v>11</v>
      </c>
      <c r="D680" s="9" t="s">
        <v>12</v>
      </c>
      <c r="E680" s="9">
        <v>2011</v>
      </c>
      <c r="F680" s="9"/>
      <c r="G680" s="11"/>
      <c r="H680" s="11"/>
      <c r="I680" s="11"/>
      <c r="J680" s="11"/>
      <c r="K680" s="9"/>
      <c r="L680" s="9"/>
      <c r="M680" s="9"/>
      <c r="N680" s="9"/>
      <c r="O680" s="9"/>
      <c r="P680" s="9"/>
      <c r="Q680" s="9"/>
      <c r="R680" s="9"/>
      <c r="S680" s="9"/>
      <c r="T680" s="9"/>
      <c r="U680" s="9"/>
      <c r="V680" s="9"/>
      <c r="W680" s="9"/>
      <c r="X680" s="9"/>
      <c r="Y680" s="9"/>
      <c r="Z680" s="9"/>
      <c r="AA680" s="9"/>
      <c r="AB680" s="9"/>
      <c r="AC680" s="9"/>
      <c r="AD680" s="9"/>
      <c r="AE680" s="9"/>
      <c r="AF680" s="9" t="s">
        <v>19</v>
      </c>
      <c r="AG680" s="9"/>
      <c r="AH680" s="9"/>
    </row>
    <row r="681" spans="1:34" x14ac:dyDescent="0.25">
      <c r="A681" s="9" t="s">
        <v>22</v>
      </c>
      <c r="B681" s="9" t="s">
        <v>30</v>
      </c>
      <c r="C681" s="9" t="s">
        <v>11</v>
      </c>
      <c r="D681" s="9" t="s">
        <v>12</v>
      </c>
      <c r="E681" s="9">
        <v>2011</v>
      </c>
      <c r="F681" s="9"/>
      <c r="G681" s="11"/>
      <c r="H681" s="11"/>
      <c r="I681" s="11"/>
      <c r="J681" s="11"/>
      <c r="K681" s="9"/>
      <c r="L681" s="9"/>
      <c r="M681" s="9"/>
      <c r="N681" s="9"/>
      <c r="O681" s="9"/>
      <c r="P681" s="9"/>
      <c r="Q681" s="9"/>
      <c r="R681" s="9"/>
      <c r="S681" s="9"/>
      <c r="T681" s="9"/>
      <c r="U681" s="9"/>
      <c r="V681" s="9"/>
      <c r="W681" s="9"/>
      <c r="X681" s="9"/>
      <c r="Y681" s="9"/>
      <c r="Z681" s="9"/>
      <c r="AA681" s="9"/>
      <c r="AB681" s="9"/>
      <c r="AC681" s="9"/>
      <c r="AD681" s="9"/>
      <c r="AE681" s="9"/>
      <c r="AF681" s="9" t="s">
        <v>20</v>
      </c>
      <c r="AG681" s="9"/>
      <c r="AH681" s="9"/>
    </row>
    <row r="682" spans="1:34" x14ac:dyDescent="0.25">
      <c r="A682" s="9" t="s">
        <v>22</v>
      </c>
      <c r="B682" s="9" t="s">
        <v>26</v>
      </c>
      <c r="C682" s="9" t="s">
        <v>11</v>
      </c>
      <c r="D682" s="9" t="s">
        <v>15</v>
      </c>
      <c r="E682" s="9">
        <v>2011</v>
      </c>
      <c r="F682" s="9"/>
      <c r="G682" s="11"/>
      <c r="H682" s="11"/>
      <c r="I682" s="11"/>
      <c r="J682" s="11"/>
      <c r="K682" s="9"/>
      <c r="L682" s="9"/>
      <c r="M682" s="9"/>
      <c r="N682" s="9"/>
      <c r="O682" s="9"/>
      <c r="P682" s="9"/>
      <c r="Q682" s="9"/>
      <c r="R682" s="9"/>
      <c r="S682" s="9"/>
      <c r="T682" s="9"/>
      <c r="U682" s="9"/>
      <c r="V682" s="9"/>
      <c r="W682" s="9"/>
      <c r="X682" s="9"/>
      <c r="Y682" s="9"/>
      <c r="Z682" s="9"/>
      <c r="AA682" s="9"/>
      <c r="AB682" s="9"/>
      <c r="AC682" s="9"/>
      <c r="AD682" s="9"/>
      <c r="AE682" s="9"/>
      <c r="AF682" s="9"/>
      <c r="AG682" s="9"/>
      <c r="AH682" s="9"/>
    </row>
    <row r="683" spans="1:34" x14ac:dyDescent="0.25">
      <c r="A683" s="9" t="s">
        <v>22</v>
      </c>
      <c r="B683" s="9" t="s">
        <v>28</v>
      </c>
      <c r="C683" s="9" t="s">
        <v>11</v>
      </c>
      <c r="D683" s="9" t="s">
        <v>15</v>
      </c>
      <c r="E683" s="9">
        <v>2011</v>
      </c>
      <c r="F683" s="9"/>
      <c r="G683" s="11"/>
      <c r="H683" s="11"/>
      <c r="I683" s="11"/>
      <c r="J683" s="11"/>
      <c r="K683" s="9"/>
      <c r="L683" s="9"/>
      <c r="M683" s="9"/>
      <c r="N683" s="9"/>
      <c r="O683" s="9"/>
      <c r="P683" s="9"/>
      <c r="Q683" s="9"/>
      <c r="R683" s="9"/>
      <c r="S683" s="9"/>
      <c r="T683" s="9"/>
      <c r="U683" s="9"/>
      <c r="V683" s="9"/>
      <c r="W683" s="9"/>
      <c r="X683" s="9"/>
      <c r="Y683" s="9"/>
      <c r="Z683" s="9"/>
      <c r="AA683" s="9"/>
      <c r="AB683" s="9"/>
      <c r="AC683" s="9"/>
      <c r="AD683" s="9"/>
      <c r="AE683" s="9"/>
      <c r="AF683" s="9"/>
      <c r="AG683" s="9"/>
      <c r="AH683" s="9"/>
    </row>
    <row r="684" spans="1:34" x14ac:dyDescent="0.25">
      <c r="A684" s="9" t="s">
        <v>22</v>
      </c>
      <c r="B684" s="9" t="s">
        <v>29</v>
      </c>
      <c r="C684" s="9" t="s">
        <v>11</v>
      </c>
      <c r="D684" s="9" t="s">
        <v>15</v>
      </c>
      <c r="E684" s="9">
        <v>2011</v>
      </c>
      <c r="F684" s="9"/>
      <c r="G684" s="11"/>
      <c r="H684" s="11"/>
      <c r="I684" s="11"/>
      <c r="J684" s="11"/>
      <c r="K684" s="9"/>
      <c r="L684" s="9"/>
      <c r="M684" s="9"/>
      <c r="N684" s="9"/>
      <c r="O684" s="9"/>
      <c r="P684" s="9"/>
      <c r="Q684" s="9"/>
      <c r="R684" s="9"/>
      <c r="S684" s="9"/>
      <c r="T684" s="9"/>
      <c r="U684" s="9"/>
      <c r="V684" s="9"/>
      <c r="W684" s="9"/>
      <c r="X684" s="9"/>
      <c r="Y684" s="9"/>
      <c r="Z684" s="9"/>
      <c r="AA684" s="9"/>
      <c r="AB684" s="9"/>
      <c r="AC684" s="9"/>
      <c r="AD684" s="9"/>
      <c r="AE684" s="9"/>
      <c r="AF684" s="9"/>
      <c r="AG684" s="9"/>
      <c r="AH684" s="9"/>
    </row>
    <row r="685" spans="1:34" x14ac:dyDescent="0.25">
      <c r="A685" s="9" t="s">
        <v>22</v>
      </c>
      <c r="B685" s="9" t="s">
        <v>30</v>
      </c>
      <c r="C685" s="9" t="s">
        <v>11</v>
      </c>
      <c r="D685" s="9" t="s">
        <v>15</v>
      </c>
      <c r="E685" s="9">
        <v>2011</v>
      </c>
      <c r="F685" s="9"/>
      <c r="G685" s="11"/>
      <c r="H685" s="11"/>
      <c r="I685" s="11"/>
      <c r="J685" s="11"/>
      <c r="K685" s="9"/>
      <c r="L685" s="9"/>
      <c r="M685" s="9"/>
      <c r="N685" s="9"/>
      <c r="O685" s="9"/>
      <c r="P685" s="9"/>
      <c r="Q685" s="9"/>
      <c r="R685" s="9"/>
      <c r="S685" s="9"/>
      <c r="T685" s="9"/>
      <c r="U685" s="9"/>
      <c r="V685" s="9"/>
      <c r="W685" s="9"/>
      <c r="X685" s="9"/>
      <c r="Y685" s="9"/>
      <c r="Z685" s="9"/>
      <c r="AA685" s="9"/>
      <c r="AB685" s="9"/>
      <c r="AC685" s="9"/>
      <c r="AD685" s="9"/>
      <c r="AE685" s="9"/>
      <c r="AF685" s="9"/>
      <c r="AG685" s="9"/>
      <c r="AH685" s="9"/>
    </row>
    <row r="686" spans="1:34" x14ac:dyDescent="0.25">
      <c r="A686" s="9"/>
      <c r="B686" s="9"/>
      <c r="C686" s="9"/>
      <c r="D686" s="9"/>
      <c r="E686" s="9"/>
      <c r="F686" s="9"/>
      <c r="G686" s="11"/>
      <c r="H686" s="11"/>
      <c r="I686" s="11"/>
      <c r="J686" s="11"/>
      <c r="K686" s="9"/>
      <c r="L686" s="9"/>
      <c r="M686" s="9"/>
      <c r="N686" s="9"/>
      <c r="O686" s="9"/>
      <c r="P686" s="9"/>
      <c r="Q686" s="9"/>
      <c r="R686" s="9"/>
      <c r="S686" s="9"/>
      <c r="T686" s="9"/>
      <c r="U686" s="9"/>
      <c r="V686" s="9"/>
      <c r="W686" s="9"/>
      <c r="X686" s="9"/>
      <c r="Y686" s="9"/>
      <c r="Z686" s="9"/>
      <c r="AA686" s="9"/>
      <c r="AB686" s="9"/>
      <c r="AC686" s="9"/>
      <c r="AD686" s="9"/>
      <c r="AE686" s="9"/>
      <c r="AF686" s="9"/>
      <c r="AG686" s="9"/>
      <c r="AH686" s="9"/>
    </row>
    <row r="687" spans="1:34" x14ac:dyDescent="0.25">
      <c r="A687" s="9" t="s">
        <v>22</v>
      </c>
      <c r="B687" s="9" t="s">
        <v>24</v>
      </c>
      <c r="C687" s="9" t="s">
        <v>31</v>
      </c>
      <c r="D687" s="9" t="s">
        <v>12</v>
      </c>
      <c r="E687" s="9">
        <v>2011</v>
      </c>
      <c r="F687" s="9"/>
      <c r="G687" s="11"/>
      <c r="H687" s="11"/>
      <c r="I687" s="11"/>
      <c r="J687" s="11"/>
      <c r="K687" s="9"/>
      <c r="L687" s="9"/>
      <c r="M687" s="9"/>
      <c r="N687" s="9"/>
      <c r="O687" s="9"/>
      <c r="P687" s="9"/>
      <c r="Q687" s="9"/>
      <c r="R687" s="9"/>
      <c r="S687" s="9"/>
      <c r="T687" s="9"/>
      <c r="U687" s="9"/>
      <c r="V687" s="9"/>
      <c r="W687" s="9"/>
      <c r="X687" s="9"/>
      <c r="Y687" s="9"/>
      <c r="Z687" s="9"/>
      <c r="AA687" s="9"/>
      <c r="AB687" s="9"/>
      <c r="AC687" s="9"/>
      <c r="AD687" s="9"/>
      <c r="AE687" s="9"/>
      <c r="AF687" s="9"/>
      <c r="AG687" s="9"/>
      <c r="AH687" s="9"/>
    </row>
    <row r="688" spans="1:34" x14ac:dyDescent="0.25">
      <c r="A688" s="9" t="s">
        <v>22</v>
      </c>
      <c r="B688" s="9" t="s">
        <v>26</v>
      </c>
      <c r="C688" s="9" t="s">
        <v>31</v>
      </c>
      <c r="D688" s="9" t="s">
        <v>12</v>
      </c>
      <c r="E688" s="9">
        <v>2011</v>
      </c>
      <c r="F688" s="9"/>
      <c r="G688" s="11"/>
      <c r="H688" s="11"/>
      <c r="I688" s="11"/>
      <c r="J688" s="11"/>
      <c r="K688" s="9"/>
      <c r="L688" s="9"/>
      <c r="M688" s="9"/>
      <c r="N688" s="9"/>
      <c r="O688" s="9"/>
      <c r="P688" s="9"/>
      <c r="Q688" s="9"/>
      <c r="R688" s="9"/>
      <c r="S688" s="9"/>
      <c r="T688" s="9"/>
      <c r="U688" s="9"/>
      <c r="V688" s="9"/>
      <c r="W688" s="9"/>
      <c r="X688" s="9"/>
      <c r="Y688" s="9"/>
      <c r="Z688" s="9"/>
      <c r="AA688" s="9"/>
      <c r="AB688" s="9"/>
      <c r="AC688" s="9"/>
      <c r="AD688" s="9"/>
      <c r="AE688" s="9"/>
      <c r="AF688" s="9"/>
      <c r="AG688" s="9"/>
      <c r="AH688" s="9"/>
    </row>
    <row r="689" spans="1:34" x14ac:dyDescent="0.25">
      <c r="A689" s="9" t="s">
        <v>22</v>
      </c>
      <c r="B689" s="9" t="s">
        <v>27</v>
      </c>
      <c r="C689" s="9" t="s">
        <v>31</v>
      </c>
      <c r="D689" s="9" t="s">
        <v>12</v>
      </c>
      <c r="E689" s="9">
        <v>2011</v>
      </c>
      <c r="F689" s="9"/>
      <c r="G689" s="11"/>
      <c r="H689" s="11"/>
      <c r="I689" s="11"/>
      <c r="J689" s="11"/>
      <c r="K689" s="9"/>
      <c r="L689" s="9"/>
      <c r="M689" s="9"/>
      <c r="N689" s="9"/>
      <c r="O689" s="9"/>
      <c r="P689" s="9"/>
      <c r="Q689" s="9"/>
      <c r="R689" s="9"/>
      <c r="S689" s="9"/>
      <c r="T689" s="9"/>
      <c r="U689" s="9"/>
      <c r="V689" s="9"/>
      <c r="W689" s="9"/>
      <c r="X689" s="9"/>
      <c r="Y689" s="9"/>
      <c r="Z689" s="9"/>
      <c r="AA689" s="9"/>
      <c r="AB689" s="9"/>
      <c r="AC689" s="9"/>
      <c r="AD689" s="9"/>
      <c r="AE689" s="9"/>
      <c r="AF689" s="9"/>
      <c r="AG689" s="9"/>
      <c r="AH689" s="9"/>
    </row>
    <row r="690" spans="1:34" x14ac:dyDescent="0.25">
      <c r="A690" s="9" t="s">
        <v>22</v>
      </c>
      <c r="B690" s="9" t="s">
        <v>28</v>
      </c>
      <c r="C690" s="9" t="s">
        <v>31</v>
      </c>
      <c r="D690" s="9" t="s">
        <v>12</v>
      </c>
      <c r="E690" s="9">
        <v>2011</v>
      </c>
      <c r="F690" s="9"/>
      <c r="G690" s="11"/>
      <c r="H690" s="11"/>
      <c r="I690" s="11"/>
      <c r="J690" s="11"/>
      <c r="K690" s="9"/>
      <c r="L690" s="9"/>
      <c r="M690" s="9"/>
      <c r="N690" s="9"/>
      <c r="O690" s="9"/>
      <c r="P690" s="9"/>
      <c r="Q690" s="9"/>
      <c r="R690" s="9"/>
      <c r="S690" s="9"/>
      <c r="T690" s="9"/>
      <c r="U690" s="9"/>
      <c r="V690" s="9"/>
      <c r="W690" s="9"/>
      <c r="X690" s="9"/>
      <c r="Y690" s="9"/>
      <c r="Z690" s="9"/>
      <c r="AA690" s="9"/>
      <c r="AB690" s="9"/>
      <c r="AC690" s="9"/>
      <c r="AD690" s="9"/>
      <c r="AE690" s="9"/>
      <c r="AF690" s="9"/>
      <c r="AG690" s="9"/>
      <c r="AH690" s="9"/>
    </row>
    <row r="691" spans="1:34" x14ac:dyDescent="0.25">
      <c r="A691" s="9" t="s">
        <v>22</v>
      </c>
      <c r="B691" s="9" t="s">
        <v>29</v>
      </c>
      <c r="C691" s="9" t="s">
        <v>31</v>
      </c>
      <c r="D691" s="9" t="s">
        <v>12</v>
      </c>
      <c r="E691" s="9">
        <v>2011</v>
      </c>
      <c r="F691" s="9"/>
      <c r="G691" s="11"/>
      <c r="H691" s="11"/>
      <c r="I691" s="11"/>
      <c r="J691" s="11"/>
      <c r="K691" s="9"/>
      <c r="L691" s="9"/>
      <c r="M691" s="9"/>
      <c r="N691" s="9"/>
      <c r="O691" s="9"/>
      <c r="P691" s="9"/>
      <c r="Q691" s="9"/>
      <c r="R691" s="9"/>
      <c r="S691" s="9"/>
      <c r="T691" s="9"/>
      <c r="U691" s="9"/>
      <c r="V691" s="9"/>
      <c r="W691" s="9"/>
      <c r="X691" s="9"/>
      <c r="Y691" s="9"/>
      <c r="Z691" s="9"/>
      <c r="AA691" s="9"/>
      <c r="AB691" s="9"/>
      <c r="AC691" s="9"/>
      <c r="AD691" s="9"/>
      <c r="AE691" s="9"/>
      <c r="AF691" s="9"/>
      <c r="AG691" s="9"/>
      <c r="AH691" s="9"/>
    </row>
    <row r="692" spans="1:34" x14ac:dyDescent="0.25">
      <c r="A692" s="9" t="s">
        <v>22</v>
      </c>
      <c r="B692" s="9" t="s">
        <v>30</v>
      </c>
      <c r="C692" s="9" t="s">
        <v>31</v>
      </c>
      <c r="D692" s="9" t="s">
        <v>12</v>
      </c>
      <c r="E692" s="9">
        <v>2011</v>
      </c>
      <c r="F692" s="9"/>
      <c r="G692" s="11"/>
      <c r="H692" s="11"/>
      <c r="I692" s="11"/>
      <c r="J692" s="11"/>
      <c r="K692" s="9"/>
      <c r="L692" s="9"/>
      <c r="M692" s="9"/>
      <c r="N692" s="9"/>
      <c r="O692" s="9"/>
      <c r="P692" s="9"/>
      <c r="Q692" s="9"/>
      <c r="R692" s="9"/>
      <c r="S692" s="9"/>
      <c r="T692" s="9"/>
      <c r="U692" s="9"/>
      <c r="V692" s="9"/>
      <c r="W692" s="9"/>
      <c r="X692" s="9"/>
      <c r="Y692" s="9"/>
      <c r="Z692" s="9"/>
      <c r="AA692" s="9"/>
      <c r="AB692" s="9"/>
      <c r="AC692" s="9"/>
      <c r="AD692" s="9"/>
      <c r="AE692" s="9"/>
      <c r="AF692" s="9"/>
      <c r="AG692" s="9"/>
      <c r="AH692" s="9"/>
    </row>
    <row r="693" spans="1:34" x14ac:dyDescent="0.25">
      <c r="A693" s="9" t="s">
        <v>22</v>
      </c>
      <c r="B693" s="9" t="s">
        <v>26</v>
      </c>
      <c r="C693" s="9" t="s">
        <v>31</v>
      </c>
      <c r="D693" s="9" t="s">
        <v>15</v>
      </c>
      <c r="E693" s="9">
        <v>2011</v>
      </c>
      <c r="F693" s="9"/>
      <c r="G693" s="11"/>
      <c r="H693" s="11"/>
      <c r="I693" s="11"/>
      <c r="J693" s="11"/>
      <c r="K693" s="9"/>
      <c r="L693" s="9"/>
      <c r="M693" s="9"/>
      <c r="N693" s="9"/>
      <c r="O693" s="9"/>
      <c r="P693" s="9"/>
      <c r="Q693" s="9"/>
      <c r="R693" s="9"/>
      <c r="S693" s="9"/>
      <c r="T693" s="9"/>
      <c r="U693" s="9"/>
      <c r="V693" s="9"/>
      <c r="W693" s="9"/>
      <c r="X693" s="9"/>
      <c r="Y693" s="9"/>
      <c r="Z693" s="9"/>
      <c r="AA693" s="9"/>
      <c r="AB693" s="9"/>
      <c r="AC693" s="9"/>
      <c r="AD693" s="9"/>
      <c r="AE693" s="9"/>
      <c r="AF693" s="9"/>
      <c r="AG693" s="9"/>
      <c r="AH693" s="9"/>
    </row>
    <row r="694" spans="1:34" x14ac:dyDescent="0.25">
      <c r="A694" s="9" t="s">
        <v>22</v>
      </c>
      <c r="B694" s="9" t="s">
        <v>28</v>
      </c>
      <c r="C694" s="9" t="s">
        <v>31</v>
      </c>
      <c r="D694" s="9" t="s">
        <v>15</v>
      </c>
      <c r="E694" s="9">
        <v>2011</v>
      </c>
      <c r="F694" s="9"/>
      <c r="G694" s="11"/>
      <c r="H694" s="11"/>
      <c r="I694" s="11"/>
      <c r="J694" s="11"/>
      <c r="K694" s="9"/>
      <c r="L694" s="9"/>
      <c r="M694" s="9"/>
      <c r="N694" s="9"/>
      <c r="O694" s="9"/>
      <c r="P694" s="9"/>
      <c r="Q694" s="9"/>
      <c r="R694" s="9"/>
      <c r="S694" s="9"/>
      <c r="T694" s="9"/>
      <c r="U694" s="9"/>
      <c r="V694" s="9"/>
      <c r="W694" s="9"/>
      <c r="X694" s="9"/>
      <c r="Y694" s="9"/>
      <c r="Z694" s="9"/>
      <c r="AA694" s="9"/>
      <c r="AB694" s="9"/>
      <c r="AC694" s="9"/>
      <c r="AD694" s="9"/>
      <c r="AE694" s="9"/>
      <c r="AF694" s="9"/>
      <c r="AG694" s="9"/>
      <c r="AH694" s="9"/>
    </row>
    <row r="695" spans="1:34" x14ac:dyDescent="0.25">
      <c r="A695" s="9" t="s">
        <v>22</v>
      </c>
      <c r="B695" s="9" t="s">
        <v>29</v>
      </c>
      <c r="C695" s="9" t="s">
        <v>31</v>
      </c>
      <c r="D695" s="9" t="s">
        <v>15</v>
      </c>
      <c r="E695" s="9">
        <v>2011</v>
      </c>
      <c r="F695" s="9"/>
      <c r="G695" s="11"/>
      <c r="H695" s="11"/>
      <c r="I695" s="11"/>
      <c r="J695" s="11"/>
      <c r="K695" s="9"/>
      <c r="L695" s="9"/>
      <c r="M695" s="9"/>
      <c r="N695" s="9"/>
      <c r="O695" s="9"/>
      <c r="P695" s="9"/>
      <c r="Q695" s="9"/>
      <c r="R695" s="9"/>
      <c r="S695" s="9"/>
      <c r="T695" s="9"/>
      <c r="U695" s="9"/>
      <c r="V695" s="9"/>
      <c r="W695" s="9"/>
      <c r="X695" s="9"/>
      <c r="Y695" s="9"/>
      <c r="Z695" s="9"/>
      <c r="AA695" s="9"/>
      <c r="AB695" s="9"/>
      <c r="AC695" s="9"/>
      <c r="AD695" s="9"/>
      <c r="AE695" s="9"/>
      <c r="AF695" s="9"/>
      <c r="AG695" s="9"/>
      <c r="AH695" s="9"/>
    </row>
    <row r="696" spans="1:34" x14ac:dyDescent="0.25">
      <c r="A696" s="9" t="s">
        <v>22</v>
      </c>
      <c r="B696" s="9" t="s">
        <v>30</v>
      </c>
      <c r="C696" s="9" t="s">
        <v>31</v>
      </c>
      <c r="D696" s="9" t="s">
        <v>15</v>
      </c>
      <c r="E696" s="9">
        <v>2011</v>
      </c>
      <c r="F696" s="9"/>
      <c r="G696" s="11"/>
      <c r="H696" s="11"/>
      <c r="I696" s="11"/>
      <c r="J696" s="11"/>
      <c r="K696" s="9"/>
      <c r="L696" s="9"/>
      <c r="M696" s="9"/>
      <c r="N696" s="9"/>
      <c r="O696" s="9"/>
      <c r="P696" s="9"/>
      <c r="Q696" s="9"/>
      <c r="R696" s="9"/>
      <c r="S696" s="9"/>
      <c r="T696" s="9"/>
      <c r="U696" s="9"/>
      <c r="V696" s="9"/>
      <c r="W696" s="9"/>
      <c r="X696" s="9"/>
      <c r="Y696" s="9"/>
      <c r="Z696" s="9"/>
      <c r="AA696" s="9"/>
      <c r="AB696" s="9"/>
      <c r="AC696" s="9"/>
      <c r="AD696" s="9"/>
      <c r="AE696" s="9"/>
      <c r="AF696" s="9"/>
      <c r="AG696" s="9"/>
      <c r="AH696" s="9"/>
    </row>
    <row r="697" spans="1:34" x14ac:dyDescent="0.25">
      <c r="A697" s="9"/>
      <c r="B697" s="9"/>
      <c r="C697" s="9"/>
      <c r="D697" s="9"/>
      <c r="E697" s="9"/>
      <c r="F697" s="9"/>
      <c r="G697" s="11"/>
      <c r="H697" s="11"/>
      <c r="I697" s="11"/>
      <c r="J697" s="11"/>
      <c r="K697" s="9"/>
      <c r="L697" s="9"/>
      <c r="M697" s="9"/>
      <c r="N697" s="9"/>
      <c r="O697" s="9"/>
      <c r="P697" s="9"/>
      <c r="Q697" s="9"/>
      <c r="R697" s="9"/>
      <c r="S697" s="9"/>
      <c r="T697" s="9"/>
      <c r="U697" s="9"/>
      <c r="V697" s="9"/>
      <c r="W697" s="9"/>
      <c r="X697" s="9"/>
      <c r="Y697" s="9"/>
      <c r="Z697" s="9"/>
      <c r="AA697" s="9"/>
      <c r="AB697" s="9"/>
      <c r="AC697" s="9"/>
      <c r="AD697" s="9"/>
      <c r="AE697" s="9"/>
      <c r="AF697" s="9"/>
      <c r="AG697" s="9"/>
      <c r="AH697" s="9"/>
    </row>
    <row r="698" spans="1:34" x14ac:dyDescent="0.25">
      <c r="A698" s="9" t="s">
        <v>22</v>
      </c>
      <c r="B698" s="9" t="s">
        <v>24</v>
      </c>
      <c r="C698" s="9" t="s">
        <v>19</v>
      </c>
      <c r="D698" s="9" t="s">
        <v>12</v>
      </c>
      <c r="E698" s="9">
        <v>2011</v>
      </c>
      <c r="F698" s="9"/>
      <c r="G698" s="11"/>
      <c r="H698" s="11"/>
      <c r="I698" s="11"/>
      <c r="J698" s="11"/>
      <c r="K698" s="9"/>
      <c r="L698" s="9"/>
      <c r="M698" s="9"/>
      <c r="N698" s="9"/>
      <c r="O698" s="9"/>
      <c r="P698" s="9"/>
      <c r="Q698" s="9"/>
      <c r="R698" s="9"/>
      <c r="S698" s="9"/>
      <c r="T698" s="9"/>
      <c r="U698" s="9"/>
      <c r="V698" s="9"/>
      <c r="W698" s="9"/>
      <c r="X698" s="9"/>
      <c r="Y698" s="9"/>
      <c r="Z698" s="9"/>
      <c r="AA698" s="9"/>
      <c r="AB698" s="9"/>
      <c r="AC698" s="9"/>
      <c r="AD698" s="9"/>
      <c r="AE698" s="9"/>
      <c r="AF698" s="9"/>
      <c r="AG698" s="9"/>
      <c r="AH698" s="9"/>
    </row>
    <row r="699" spans="1:34" x14ac:dyDescent="0.25">
      <c r="A699" s="9" t="s">
        <v>22</v>
      </c>
      <c r="B699" s="9" t="s">
        <v>26</v>
      </c>
      <c r="C699" s="9" t="s">
        <v>19</v>
      </c>
      <c r="D699" s="9" t="s">
        <v>12</v>
      </c>
      <c r="E699" s="9">
        <v>2011</v>
      </c>
      <c r="F699" s="9"/>
      <c r="G699" s="11"/>
      <c r="H699" s="11"/>
      <c r="I699" s="11"/>
      <c r="J699" s="11"/>
      <c r="K699" s="9"/>
      <c r="L699" s="9"/>
      <c r="M699" s="9"/>
      <c r="N699" s="9"/>
      <c r="O699" s="9"/>
      <c r="P699" s="9"/>
      <c r="Q699" s="9"/>
      <c r="R699" s="9"/>
      <c r="S699" s="9"/>
      <c r="T699" s="9"/>
      <c r="U699" s="9"/>
      <c r="V699" s="9"/>
      <c r="W699" s="9"/>
      <c r="X699" s="9"/>
      <c r="Y699" s="9"/>
      <c r="Z699" s="9"/>
      <c r="AA699" s="9"/>
      <c r="AB699" s="9"/>
      <c r="AC699" s="9"/>
      <c r="AD699" s="9"/>
      <c r="AE699" s="9"/>
      <c r="AF699" s="9"/>
      <c r="AG699" s="9"/>
      <c r="AH699" s="9"/>
    </row>
    <row r="700" spans="1:34" x14ac:dyDescent="0.25">
      <c r="A700" s="9" t="s">
        <v>22</v>
      </c>
      <c r="B700" s="9" t="s">
        <v>27</v>
      </c>
      <c r="C700" s="9" t="s">
        <v>19</v>
      </c>
      <c r="D700" s="9" t="s">
        <v>12</v>
      </c>
      <c r="E700" s="9">
        <v>2011</v>
      </c>
      <c r="F700" s="9"/>
      <c r="G700" s="11"/>
      <c r="H700" s="11"/>
      <c r="I700" s="11"/>
      <c r="J700" s="11"/>
      <c r="K700" s="9"/>
      <c r="L700" s="9"/>
      <c r="M700" s="9"/>
      <c r="N700" s="9"/>
      <c r="O700" s="9"/>
      <c r="P700" s="9"/>
      <c r="Q700" s="9"/>
      <c r="R700" s="9"/>
      <c r="S700" s="9"/>
      <c r="T700" s="9"/>
      <c r="U700" s="9"/>
      <c r="V700" s="9"/>
      <c r="W700" s="9"/>
      <c r="X700" s="9"/>
      <c r="Y700" s="9"/>
      <c r="Z700" s="9"/>
      <c r="AA700" s="9"/>
      <c r="AB700" s="9"/>
      <c r="AC700" s="9"/>
      <c r="AD700" s="9"/>
      <c r="AE700" s="9"/>
      <c r="AF700" s="9"/>
      <c r="AG700" s="9"/>
      <c r="AH700" s="9"/>
    </row>
    <row r="701" spans="1:34" x14ac:dyDescent="0.25">
      <c r="A701" s="9" t="s">
        <v>22</v>
      </c>
      <c r="B701" s="9" t="s">
        <v>28</v>
      </c>
      <c r="C701" s="9" t="s">
        <v>19</v>
      </c>
      <c r="D701" s="9" t="s">
        <v>12</v>
      </c>
      <c r="E701" s="9">
        <v>2011</v>
      </c>
      <c r="F701" s="9"/>
      <c r="G701" s="11"/>
      <c r="H701" s="11"/>
      <c r="I701" s="11"/>
      <c r="J701" s="11"/>
      <c r="K701" s="9"/>
      <c r="L701" s="9"/>
      <c r="M701" s="9"/>
      <c r="N701" s="9"/>
      <c r="O701" s="9"/>
      <c r="P701" s="9"/>
      <c r="Q701" s="9"/>
      <c r="R701" s="9"/>
      <c r="S701" s="9"/>
      <c r="T701" s="9"/>
      <c r="U701" s="9"/>
      <c r="V701" s="9"/>
      <c r="W701" s="9"/>
      <c r="X701" s="9"/>
      <c r="Y701" s="9"/>
      <c r="Z701" s="9"/>
      <c r="AA701" s="9"/>
      <c r="AB701" s="9"/>
      <c r="AC701" s="9"/>
      <c r="AD701" s="9"/>
      <c r="AE701" s="9"/>
      <c r="AF701" s="9"/>
      <c r="AG701" s="9"/>
      <c r="AH701" s="9"/>
    </row>
    <row r="702" spans="1:34" x14ac:dyDescent="0.25">
      <c r="A702" s="9" t="s">
        <v>22</v>
      </c>
      <c r="B702" s="9" t="s">
        <v>29</v>
      </c>
      <c r="C702" s="9" t="s">
        <v>19</v>
      </c>
      <c r="D702" s="9" t="s">
        <v>12</v>
      </c>
      <c r="E702" s="9">
        <v>2011</v>
      </c>
      <c r="F702" s="9"/>
      <c r="G702" s="11"/>
      <c r="H702" s="11"/>
      <c r="I702" s="11"/>
      <c r="J702" s="11"/>
      <c r="K702" s="9"/>
      <c r="L702" s="9"/>
      <c r="M702" s="9"/>
      <c r="N702" s="9"/>
      <c r="O702" s="9"/>
      <c r="P702" s="9"/>
      <c r="Q702" s="9"/>
      <c r="R702" s="9"/>
      <c r="S702" s="9"/>
      <c r="T702" s="9"/>
      <c r="U702" s="9"/>
      <c r="V702" s="9"/>
      <c r="W702" s="9"/>
      <c r="X702" s="9"/>
      <c r="Y702" s="9"/>
      <c r="Z702" s="9"/>
      <c r="AA702" s="9"/>
      <c r="AB702" s="9"/>
      <c r="AC702" s="9"/>
      <c r="AD702" s="9"/>
      <c r="AE702" s="9"/>
      <c r="AF702" s="9"/>
      <c r="AG702" s="9"/>
      <c r="AH702" s="9"/>
    </row>
    <row r="703" spans="1:34" x14ac:dyDescent="0.25">
      <c r="A703" s="9" t="s">
        <v>22</v>
      </c>
      <c r="B703" s="9" t="s">
        <v>30</v>
      </c>
      <c r="C703" s="9" t="s">
        <v>19</v>
      </c>
      <c r="D703" s="9" t="s">
        <v>12</v>
      </c>
      <c r="E703" s="9">
        <v>2011</v>
      </c>
      <c r="F703" s="9"/>
      <c r="G703" s="11"/>
      <c r="H703" s="11"/>
      <c r="I703" s="11"/>
      <c r="J703" s="11"/>
      <c r="K703" s="9"/>
      <c r="L703" s="9"/>
      <c r="M703" s="9"/>
      <c r="N703" s="9"/>
      <c r="O703" s="9"/>
      <c r="P703" s="9"/>
      <c r="Q703" s="9"/>
      <c r="R703" s="9"/>
      <c r="S703" s="9"/>
      <c r="T703" s="9"/>
      <c r="U703" s="9"/>
      <c r="V703" s="9"/>
      <c r="W703" s="9"/>
      <c r="X703" s="9"/>
      <c r="Y703" s="9"/>
      <c r="Z703" s="9"/>
      <c r="AA703" s="9"/>
      <c r="AB703" s="9"/>
      <c r="AC703" s="9"/>
      <c r="AD703" s="9"/>
      <c r="AE703" s="9"/>
      <c r="AF703" s="9"/>
      <c r="AG703" s="9"/>
      <c r="AH703" s="9"/>
    </row>
    <row r="704" spans="1:34" x14ac:dyDescent="0.25">
      <c r="A704" s="9" t="s">
        <v>22</v>
      </c>
      <c r="B704" s="9" t="s">
        <v>26</v>
      </c>
      <c r="C704" s="9" t="s">
        <v>19</v>
      </c>
      <c r="D704" s="9" t="s">
        <v>15</v>
      </c>
      <c r="E704" s="9">
        <v>2011</v>
      </c>
      <c r="F704" s="9"/>
      <c r="G704" s="11"/>
      <c r="H704" s="11"/>
      <c r="I704" s="11"/>
      <c r="J704" s="11"/>
      <c r="K704" s="9"/>
      <c r="L704" s="9"/>
      <c r="M704" s="9"/>
      <c r="N704" s="9"/>
      <c r="O704" s="9"/>
      <c r="P704" s="9"/>
      <c r="Q704" s="9"/>
      <c r="R704" s="9"/>
      <c r="S704" s="9"/>
      <c r="T704" s="9"/>
      <c r="U704" s="9"/>
      <c r="V704" s="9"/>
      <c r="W704" s="9"/>
      <c r="X704" s="9"/>
      <c r="Y704" s="9"/>
      <c r="Z704" s="9"/>
      <c r="AA704" s="9"/>
      <c r="AB704" s="9"/>
      <c r="AC704" s="9"/>
      <c r="AD704" s="9"/>
      <c r="AE704" s="9"/>
      <c r="AF704" s="9"/>
      <c r="AG704" s="9"/>
      <c r="AH704" s="9"/>
    </row>
    <row r="705" spans="1:34" x14ac:dyDescent="0.25">
      <c r="A705" s="9" t="s">
        <v>22</v>
      </c>
      <c r="B705" s="9" t="s">
        <v>28</v>
      </c>
      <c r="C705" s="9" t="s">
        <v>19</v>
      </c>
      <c r="D705" s="9" t="s">
        <v>15</v>
      </c>
      <c r="E705" s="9">
        <v>2011</v>
      </c>
      <c r="F705" s="9"/>
      <c r="G705" s="11"/>
      <c r="H705" s="11"/>
      <c r="I705" s="11"/>
      <c r="J705" s="11"/>
      <c r="K705" s="9"/>
      <c r="L705" s="9"/>
      <c r="M705" s="9"/>
      <c r="N705" s="9"/>
      <c r="O705" s="9"/>
      <c r="P705" s="9"/>
      <c r="Q705" s="9"/>
      <c r="R705" s="9"/>
      <c r="S705" s="9"/>
      <c r="T705" s="9"/>
      <c r="U705" s="9"/>
      <c r="V705" s="9"/>
      <c r="W705" s="9"/>
      <c r="X705" s="9"/>
      <c r="Y705" s="9"/>
      <c r="Z705" s="9"/>
      <c r="AA705" s="9"/>
      <c r="AB705" s="9"/>
      <c r="AC705" s="9"/>
      <c r="AD705" s="9"/>
      <c r="AE705" s="9"/>
      <c r="AF705" s="9"/>
      <c r="AG705" s="9"/>
      <c r="AH705" s="9"/>
    </row>
    <row r="706" spans="1:34" x14ac:dyDescent="0.25">
      <c r="A706" s="9" t="s">
        <v>22</v>
      </c>
      <c r="B706" s="9" t="s">
        <v>29</v>
      </c>
      <c r="C706" s="9" t="s">
        <v>19</v>
      </c>
      <c r="D706" s="9" t="s">
        <v>15</v>
      </c>
      <c r="E706" s="9">
        <v>2011</v>
      </c>
      <c r="F706" s="9"/>
      <c r="G706" s="11"/>
      <c r="H706" s="11"/>
      <c r="I706" s="11"/>
      <c r="J706" s="11"/>
      <c r="K706" s="9"/>
      <c r="L706" s="9"/>
      <c r="M706" s="9"/>
      <c r="N706" s="9"/>
      <c r="O706" s="9"/>
      <c r="P706" s="9"/>
      <c r="Q706" s="9"/>
      <c r="R706" s="9"/>
      <c r="S706" s="9"/>
      <c r="T706" s="9"/>
      <c r="U706" s="9"/>
      <c r="V706" s="9"/>
      <c r="W706" s="9"/>
      <c r="X706" s="9"/>
      <c r="Y706" s="9"/>
      <c r="Z706" s="9"/>
      <c r="AA706" s="9"/>
      <c r="AB706" s="9"/>
      <c r="AC706" s="9"/>
      <c r="AD706" s="9"/>
      <c r="AE706" s="9"/>
      <c r="AF706" s="9"/>
      <c r="AG706" s="9"/>
      <c r="AH706" s="9"/>
    </row>
    <row r="707" spans="1:34" x14ac:dyDescent="0.25">
      <c r="A707" s="9" t="s">
        <v>22</v>
      </c>
      <c r="B707" s="9" t="s">
        <v>30</v>
      </c>
      <c r="C707" s="9" t="s">
        <v>19</v>
      </c>
      <c r="D707" s="9" t="s">
        <v>15</v>
      </c>
      <c r="E707" s="9">
        <v>2011</v>
      </c>
      <c r="F707" s="9"/>
      <c r="G707" s="11"/>
      <c r="H707" s="11"/>
      <c r="I707" s="11"/>
      <c r="J707" s="11"/>
      <c r="K707" s="9"/>
      <c r="L707" s="9"/>
      <c r="M707" s="9"/>
      <c r="N707" s="9"/>
      <c r="O707" s="9"/>
      <c r="P707" s="9"/>
      <c r="Q707" s="9"/>
      <c r="R707" s="9"/>
      <c r="S707" s="9"/>
      <c r="T707" s="9"/>
      <c r="U707" s="9"/>
      <c r="V707" s="9"/>
      <c r="W707" s="9"/>
      <c r="X707" s="9"/>
      <c r="Y707" s="9"/>
      <c r="Z707" s="9"/>
      <c r="AA707" s="9"/>
      <c r="AB707" s="9"/>
      <c r="AC707" s="9"/>
      <c r="AD707" s="9"/>
      <c r="AE707" s="9"/>
      <c r="AF707" s="9"/>
      <c r="AG707" s="9"/>
      <c r="AH707" s="9"/>
    </row>
    <row r="708" spans="1:34" x14ac:dyDescent="0.25">
      <c r="A708" s="9"/>
      <c r="B708" s="9"/>
      <c r="C708" s="9"/>
      <c r="D708" s="9"/>
      <c r="E708" s="9"/>
      <c r="F708" s="9"/>
      <c r="G708" s="11"/>
      <c r="H708" s="11"/>
      <c r="I708" s="11"/>
      <c r="J708" s="11"/>
      <c r="K708" s="9"/>
      <c r="L708" s="9"/>
      <c r="M708" s="9"/>
      <c r="N708" s="9"/>
      <c r="O708" s="9"/>
      <c r="P708" s="9"/>
      <c r="Q708" s="9"/>
      <c r="R708" s="9"/>
      <c r="S708" s="9"/>
      <c r="T708" s="9"/>
      <c r="U708" s="9"/>
      <c r="V708" s="9"/>
      <c r="W708" s="9"/>
      <c r="X708" s="9"/>
      <c r="Y708" s="9"/>
      <c r="Z708" s="9"/>
      <c r="AA708" s="9"/>
      <c r="AB708" s="9"/>
      <c r="AC708" s="9"/>
      <c r="AD708" s="9"/>
      <c r="AE708" s="9"/>
      <c r="AF708" s="9"/>
      <c r="AG708" s="9"/>
      <c r="AH708" s="9"/>
    </row>
    <row r="709" spans="1:34" x14ac:dyDescent="0.25">
      <c r="A709" s="9" t="s">
        <v>22</v>
      </c>
      <c r="B709" s="9" t="s">
        <v>24</v>
      </c>
      <c r="C709" s="9" t="s">
        <v>20</v>
      </c>
      <c r="D709" s="9" t="s">
        <v>12</v>
      </c>
      <c r="E709" s="9">
        <v>2011</v>
      </c>
      <c r="F709" s="9"/>
      <c r="G709" s="11"/>
      <c r="H709" s="11"/>
      <c r="I709" s="11"/>
      <c r="J709" s="11"/>
      <c r="K709" s="9"/>
      <c r="L709" s="9"/>
      <c r="M709" s="9"/>
      <c r="N709" s="9"/>
      <c r="O709" s="9"/>
      <c r="P709" s="9"/>
      <c r="Q709" s="9"/>
      <c r="R709" s="9"/>
      <c r="S709" s="9"/>
      <c r="T709" s="9"/>
      <c r="U709" s="9"/>
      <c r="V709" s="9"/>
      <c r="W709" s="9"/>
      <c r="X709" s="9"/>
      <c r="Y709" s="9"/>
      <c r="Z709" s="9"/>
      <c r="AA709" s="9"/>
      <c r="AB709" s="9"/>
      <c r="AC709" s="9"/>
      <c r="AD709" s="9"/>
      <c r="AE709" s="9"/>
      <c r="AF709" s="9"/>
      <c r="AG709" s="9"/>
      <c r="AH709" s="9"/>
    </row>
    <row r="710" spans="1:34" x14ac:dyDescent="0.25">
      <c r="A710" s="9" t="s">
        <v>22</v>
      </c>
      <c r="B710" s="9" t="s">
        <v>26</v>
      </c>
      <c r="C710" s="9" t="s">
        <v>20</v>
      </c>
      <c r="D710" s="9" t="s">
        <v>12</v>
      </c>
      <c r="E710" s="9">
        <v>2011</v>
      </c>
      <c r="F710" s="9"/>
      <c r="G710" s="11"/>
      <c r="H710" s="11"/>
      <c r="I710" s="11"/>
      <c r="J710" s="11"/>
      <c r="K710" s="9"/>
      <c r="L710" s="9"/>
      <c r="M710" s="9"/>
      <c r="N710" s="9"/>
      <c r="O710" s="9"/>
      <c r="P710" s="9"/>
      <c r="Q710" s="9"/>
      <c r="R710" s="9"/>
      <c r="S710" s="9"/>
      <c r="T710" s="9"/>
      <c r="U710" s="9"/>
      <c r="V710" s="9"/>
      <c r="W710" s="9"/>
      <c r="X710" s="9"/>
      <c r="Y710" s="9"/>
      <c r="Z710" s="9"/>
      <c r="AA710" s="9"/>
      <c r="AB710" s="9"/>
      <c r="AC710" s="9"/>
      <c r="AD710" s="9"/>
      <c r="AE710" s="9"/>
      <c r="AF710" s="9"/>
      <c r="AG710" s="9"/>
      <c r="AH710" s="9"/>
    </row>
    <row r="711" spans="1:34" x14ac:dyDescent="0.25">
      <c r="A711" s="9" t="s">
        <v>22</v>
      </c>
      <c r="B711" s="9" t="s">
        <v>27</v>
      </c>
      <c r="C711" s="9" t="s">
        <v>20</v>
      </c>
      <c r="D711" s="9" t="s">
        <v>12</v>
      </c>
      <c r="E711" s="9">
        <v>2011</v>
      </c>
      <c r="F711" s="9"/>
      <c r="G711" s="11"/>
      <c r="H711" s="11"/>
      <c r="I711" s="11"/>
      <c r="J711" s="11"/>
      <c r="K711" s="9"/>
      <c r="L711" s="9"/>
      <c r="M711" s="9"/>
      <c r="N711" s="9"/>
      <c r="O711" s="9"/>
      <c r="P711" s="9"/>
      <c r="Q711" s="9"/>
      <c r="R711" s="9"/>
      <c r="S711" s="9"/>
      <c r="T711" s="9"/>
      <c r="U711" s="9"/>
      <c r="V711" s="9"/>
      <c r="W711" s="9"/>
      <c r="X711" s="9"/>
      <c r="Y711" s="9"/>
      <c r="Z711" s="9"/>
      <c r="AA711" s="9"/>
      <c r="AB711" s="9"/>
      <c r="AC711" s="9"/>
      <c r="AD711" s="9"/>
      <c r="AE711" s="9"/>
      <c r="AF711" s="9"/>
      <c r="AG711" s="9"/>
      <c r="AH711" s="9"/>
    </row>
    <row r="712" spans="1:34" x14ac:dyDescent="0.25">
      <c r="A712" s="9" t="s">
        <v>22</v>
      </c>
      <c r="B712" s="9" t="s">
        <v>28</v>
      </c>
      <c r="C712" s="9" t="s">
        <v>20</v>
      </c>
      <c r="D712" s="9" t="s">
        <v>12</v>
      </c>
      <c r="E712" s="9">
        <v>2011</v>
      </c>
      <c r="F712" s="9"/>
      <c r="G712" s="11"/>
      <c r="H712" s="11"/>
      <c r="I712" s="11"/>
      <c r="J712" s="11"/>
      <c r="K712" s="9"/>
      <c r="L712" s="9"/>
      <c r="M712" s="9"/>
      <c r="N712" s="9"/>
      <c r="O712" s="9"/>
      <c r="P712" s="9"/>
      <c r="Q712" s="9"/>
      <c r="R712" s="9"/>
      <c r="S712" s="9"/>
      <c r="T712" s="9"/>
      <c r="U712" s="9"/>
      <c r="V712" s="9"/>
      <c r="W712" s="9"/>
      <c r="X712" s="9"/>
      <c r="Y712" s="9"/>
      <c r="Z712" s="9"/>
      <c r="AA712" s="9"/>
      <c r="AB712" s="9"/>
      <c r="AC712" s="9"/>
      <c r="AD712" s="9"/>
      <c r="AE712" s="9"/>
      <c r="AF712" s="9"/>
      <c r="AG712" s="9"/>
      <c r="AH712" s="9"/>
    </row>
    <row r="713" spans="1:34" x14ac:dyDescent="0.25">
      <c r="A713" s="9" t="s">
        <v>22</v>
      </c>
      <c r="B713" s="9" t="s">
        <v>29</v>
      </c>
      <c r="C713" s="9" t="s">
        <v>20</v>
      </c>
      <c r="D713" s="9" t="s">
        <v>12</v>
      </c>
      <c r="E713" s="9">
        <v>2011</v>
      </c>
      <c r="F713" s="9"/>
      <c r="G713" s="11"/>
      <c r="H713" s="11"/>
      <c r="I713" s="11"/>
      <c r="J713" s="11"/>
      <c r="K713" s="9"/>
      <c r="L713" s="9"/>
      <c r="M713" s="9"/>
      <c r="N713" s="9"/>
      <c r="O713" s="9"/>
      <c r="P713" s="9"/>
      <c r="Q713" s="9"/>
      <c r="R713" s="9"/>
      <c r="S713" s="9"/>
      <c r="T713" s="9"/>
      <c r="U713" s="9"/>
      <c r="V713" s="9"/>
      <c r="W713" s="9"/>
      <c r="X713" s="9"/>
      <c r="Y713" s="9"/>
      <c r="Z713" s="9"/>
      <c r="AA713" s="9"/>
      <c r="AB713" s="9"/>
      <c r="AC713" s="9"/>
      <c r="AD713" s="9"/>
      <c r="AE713" s="9"/>
      <c r="AF713" s="9"/>
      <c r="AG713" s="9"/>
      <c r="AH713" s="9"/>
    </row>
    <row r="714" spans="1:34" x14ac:dyDescent="0.25">
      <c r="A714" s="9" t="s">
        <v>22</v>
      </c>
      <c r="B714" s="9" t="s">
        <v>30</v>
      </c>
      <c r="C714" s="9" t="s">
        <v>20</v>
      </c>
      <c r="D714" s="9" t="s">
        <v>12</v>
      </c>
      <c r="E714" s="9">
        <v>2011</v>
      </c>
      <c r="F714" s="9"/>
      <c r="G714" s="11"/>
      <c r="H714" s="11"/>
      <c r="I714" s="11"/>
      <c r="J714" s="11"/>
      <c r="K714" s="9"/>
      <c r="L714" s="9"/>
      <c r="M714" s="9"/>
      <c r="N714" s="9"/>
      <c r="O714" s="9"/>
      <c r="P714" s="9"/>
      <c r="Q714" s="9"/>
      <c r="R714" s="9"/>
      <c r="S714" s="9"/>
      <c r="T714" s="9"/>
      <c r="U714" s="9"/>
      <c r="V714" s="9"/>
      <c r="W714" s="9"/>
      <c r="X714" s="9"/>
      <c r="Y714" s="9"/>
      <c r="Z714" s="9"/>
      <c r="AA714" s="9"/>
      <c r="AB714" s="9"/>
      <c r="AC714" s="9"/>
      <c r="AD714" s="9"/>
      <c r="AE714" s="9"/>
      <c r="AF714" s="9"/>
      <c r="AG714" s="9"/>
      <c r="AH714" s="9"/>
    </row>
    <row r="715" spans="1:34" x14ac:dyDescent="0.25">
      <c r="A715" s="9" t="s">
        <v>22</v>
      </c>
      <c r="B715" s="9" t="s">
        <v>26</v>
      </c>
      <c r="C715" s="9" t="s">
        <v>20</v>
      </c>
      <c r="D715" s="9" t="s">
        <v>15</v>
      </c>
      <c r="E715" s="9">
        <v>2011</v>
      </c>
      <c r="F715" s="9"/>
      <c r="G715" s="11"/>
      <c r="H715" s="11"/>
      <c r="I715" s="11"/>
      <c r="J715" s="11"/>
      <c r="K715" s="9"/>
      <c r="L715" s="9"/>
      <c r="M715" s="9"/>
      <c r="N715" s="9"/>
      <c r="O715" s="9"/>
      <c r="P715" s="9"/>
      <c r="Q715" s="9"/>
      <c r="R715" s="9"/>
      <c r="S715" s="9"/>
      <c r="T715" s="9"/>
      <c r="U715" s="9"/>
      <c r="V715" s="9"/>
      <c r="W715" s="9"/>
      <c r="X715" s="9"/>
      <c r="Y715" s="9"/>
      <c r="Z715" s="9"/>
      <c r="AA715" s="9"/>
      <c r="AB715" s="9"/>
      <c r="AC715" s="9"/>
      <c r="AD715" s="9"/>
      <c r="AE715" s="9"/>
      <c r="AF715" s="9"/>
      <c r="AG715" s="9"/>
      <c r="AH715" s="9"/>
    </row>
    <row r="716" spans="1:34" x14ac:dyDescent="0.25">
      <c r="A716" s="9" t="s">
        <v>22</v>
      </c>
      <c r="B716" s="9" t="s">
        <v>28</v>
      </c>
      <c r="C716" s="9" t="s">
        <v>20</v>
      </c>
      <c r="D716" s="9" t="s">
        <v>15</v>
      </c>
      <c r="E716" s="9">
        <v>2011</v>
      </c>
      <c r="F716" s="9"/>
      <c r="G716" s="11"/>
      <c r="H716" s="11"/>
      <c r="I716" s="11"/>
      <c r="J716" s="11"/>
      <c r="K716" s="9"/>
      <c r="L716" s="9"/>
      <c r="M716" s="9"/>
      <c r="N716" s="9"/>
      <c r="O716" s="9"/>
      <c r="P716" s="9"/>
      <c r="Q716" s="9"/>
      <c r="R716" s="9"/>
      <c r="S716" s="9"/>
      <c r="T716" s="9"/>
      <c r="U716" s="9"/>
      <c r="V716" s="9"/>
      <c r="W716" s="9"/>
      <c r="X716" s="9"/>
      <c r="Y716" s="9"/>
      <c r="Z716" s="9"/>
      <c r="AA716" s="9"/>
      <c r="AB716" s="9"/>
      <c r="AC716" s="9"/>
      <c r="AD716" s="9"/>
      <c r="AE716" s="9"/>
      <c r="AF716" s="9"/>
      <c r="AG716" s="9"/>
      <c r="AH716" s="9"/>
    </row>
    <row r="717" spans="1:34" x14ac:dyDescent="0.25">
      <c r="A717" s="9" t="s">
        <v>22</v>
      </c>
      <c r="B717" s="9" t="s">
        <v>29</v>
      </c>
      <c r="C717" s="9" t="s">
        <v>20</v>
      </c>
      <c r="D717" s="9" t="s">
        <v>15</v>
      </c>
      <c r="E717" s="9">
        <v>2011</v>
      </c>
      <c r="F717" s="9"/>
      <c r="G717" s="11"/>
      <c r="H717" s="11"/>
      <c r="I717" s="11"/>
      <c r="J717" s="11"/>
      <c r="K717" s="9"/>
      <c r="L717" s="9"/>
      <c r="M717" s="9"/>
      <c r="N717" s="9"/>
      <c r="O717" s="9"/>
      <c r="P717" s="9"/>
      <c r="Q717" s="9"/>
      <c r="R717" s="9"/>
      <c r="S717" s="9"/>
      <c r="T717" s="9"/>
      <c r="U717" s="9"/>
      <c r="V717" s="9"/>
      <c r="W717" s="9"/>
      <c r="X717" s="9"/>
      <c r="Y717" s="9"/>
      <c r="Z717" s="9"/>
      <c r="AA717" s="9"/>
      <c r="AB717" s="9"/>
      <c r="AC717" s="9"/>
      <c r="AD717" s="9"/>
      <c r="AE717" s="9"/>
      <c r="AF717" s="9"/>
      <c r="AG717" s="9"/>
      <c r="AH717" s="9"/>
    </row>
    <row r="718" spans="1:34" x14ac:dyDescent="0.25">
      <c r="A718" s="9" t="s">
        <v>22</v>
      </c>
      <c r="B718" s="9" t="s">
        <v>30</v>
      </c>
      <c r="C718" s="9" t="s">
        <v>20</v>
      </c>
      <c r="D718" s="9" t="s">
        <v>15</v>
      </c>
      <c r="E718" s="9">
        <v>2011</v>
      </c>
      <c r="F718" s="9"/>
      <c r="G718" s="11"/>
      <c r="H718" s="11"/>
      <c r="I718" s="11"/>
      <c r="J718" s="11"/>
      <c r="K718" s="9"/>
      <c r="L718" s="9"/>
      <c r="M718" s="9"/>
      <c r="N718" s="9"/>
      <c r="O718" s="9"/>
      <c r="P718" s="9"/>
      <c r="Q718" s="9"/>
      <c r="R718" s="9"/>
      <c r="S718" s="9"/>
      <c r="T718" s="9"/>
      <c r="U718" s="9"/>
      <c r="V718" s="9"/>
      <c r="W718" s="9"/>
      <c r="X718" s="9"/>
      <c r="Y718" s="9"/>
      <c r="Z718" s="9"/>
      <c r="AA718" s="9"/>
      <c r="AB718" s="9"/>
      <c r="AC718" s="9"/>
      <c r="AD718" s="9"/>
      <c r="AE718" s="9"/>
      <c r="AF718" s="9"/>
      <c r="AG718" s="9"/>
      <c r="AH718" s="9"/>
    </row>
    <row r="719" spans="1:34" ht="15.75" thickBot="1" x14ac:dyDescent="0.3">
      <c r="A719" s="6"/>
      <c r="B719" s="6"/>
      <c r="C719" s="6"/>
      <c r="D719" s="6"/>
      <c r="E719" s="6"/>
      <c r="F719" s="6"/>
      <c r="G719" s="34"/>
      <c r="H719" s="34"/>
      <c r="I719" s="34"/>
      <c r="J719" s="34"/>
      <c r="K719" s="6"/>
      <c r="L719" s="6"/>
      <c r="M719" s="6"/>
      <c r="N719" s="6"/>
      <c r="O719" s="6"/>
      <c r="P719" s="6"/>
      <c r="Q719" s="6"/>
      <c r="R719" s="6"/>
      <c r="S719" s="6"/>
      <c r="T719" s="6"/>
      <c r="U719" s="6"/>
      <c r="V719" s="6"/>
      <c r="W719" s="6"/>
      <c r="X719" s="6"/>
      <c r="Y719" s="6"/>
      <c r="Z719" s="6"/>
      <c r="AA719" s="6"/>
      <c r="AB719" s="6"/>
      <c r="AC719" s="6"/>
      <c r="AD719" s="6"/>
      <c r="AE719" s="6"/>
      <c r="AF719" s="6"/>
      <c r="AG719" s="6"/>
      <c r="AH719" s="6"/>
    </row>
    <row r="720" spans="1:34" x14ac:dyDescent="0.25">
      <c r="A720" s="9"/>
      <c r="B720" s="9"/>
      <c r="C720" s="9"/>
      <c r="D720" s="9"/>
      <c r="E720" s="9"/>
      <c r="F720" s="9"/>
      <c r="G720" s="11"/>
      <c r="H720" s="11"/>
      <c r="I720" s="11"/>
      <c r="J720" s="11"/>
      <c r="K720" s="9"/>
      <c r="L720" s="9"/>
      <c r="M720" s="9"/>
      <c r="N720" s="9"/>
      <c r="O720" s="9"/>
      <c r="P720" s="9"/>
      <c r="Q720" s="9"/>
      <c r="R720" s="9"/>
      <c r="S720" s="9"/>
      <c r="T720" s="9"/>
      <c r="U720" s="9"/>
      <c r="V720" s="9"/>
      <c r="W720" s="9"/>
      <c r="X720" s="9"/>
      <c r="Y720" s="9"/>
      <c r="Z720" s="9"/>
      <c r="AA720" s="9"/>
      <c r="AB720" s="9"/>
      <c r="AC720" s="9"/>
      <c r="AD720" s="9"/>
      <c r="AE720" s="9"/>
      <c r="AF720" s="9"/>
      <c r="AG720" s="9"/>
      <c r="AH720" s="9"/>
    </row>
    <row r="722" spans="1:33" x14ac:dyDescent="0.25">
      <c r="A722" t="s">
        <v>10</v>
      </c>
      <c r="B722" t="s">
        <v>24</v>
      </c>
      <c r="C722" t="s">
        <v>11</v>
      </c>
      <c r="D722" t="s">
        <v>12</v>
      </c>
      <c r="E722">
        <v>2013</v>
      </c>
      <c r="V722" s="7"/>
      <c r="W722" s="7"/>
      <c r="X722" s="7"/>
      <c r="Y722" s="7"/>
      <c r="Z722" s="7"/>
      <c r="AA722" s="7"/>
      <c r="AB722" s="7"/>
      <c r="AC722" s="7"/>
      <c r="AD722" s="7"/>
      <c r="AE722" t="s">
        <v>12</v>
      </c>
      <c r="AF722" t="s">
        <v>24</v>
      </c>
      <c r="AG722" t="s">
        <v>31</v>
      </c>
    </row>
    <row r="723" spans="1:33" x14ac:dyDescent="0.25">
      <c r="A723" t="s">
        <v>10</v>
      </c>
      <c r="B723" t="s">
        <v>26</v>
      </c>
      <c r="C723" t="s">
        <v>11</v>
      </c>
      <c r="D723" t="s">
        <v>12</v>
      </c>
      <c r="E723">
        <v>2013</v>
      </c>
      <c r="V723" s="7"/>
      <c r="W723" s="7"/>
      <c r="X723" s="7"/>
      <c r="Y723" s="7"/>
      <c r="Z723" s="7"/>
      <c r="AA723" s="7"/>
      <c r="AB723" s="7"/>
      <c r="AC723" s="7"/>
      <c r="AD723" s="7"/>
      <c r="AG723" t="s">
        <v>19</v>
      </c>
    </row>
    <row r="724" spans="1:33" x14ac:dyDescent="0.25">
      <c r="A724" t="s">
        <v>10</v>
      </c>
      <c r="B724" t="s">
        <v>27</v>
      </c>
      <c r="C724" t="s">
        <v>11</v>
      </c>
      <c r="D724" t="s">
        <v>12</v>
      </c>
      <c r="E724">
        <v>2013</v>
      </c>
      <c r="V724" s="7"/>
      <c r="W724" s="7"/>
      <c r="X724" s="7"/>
      <c r="Y724" s="7"/>
      <c r="Z724" s="7"/>
      <c r="AA724" s="7"/>
      <c r="AB724" s="7"/>
      <c r="AC724" s="7"/>
      <c r="AD724" s="7"/>
      <c r="AG724" t="s">
        <v>20</v>
      </c>
    </row>
    <row r="725" spans="1:33" x14ac:dyDescent="0.25">
      <c r="A725" t="s">
        <v>10</v>
      </c>
      <c r="B725" t="s">
        <v>28</v>
      </c>
      <c r="C725" t="s">
        <v>11</v>
      </c>
      <c r="D725" t="s">
        <v>12</v>
      </c>
      <c r="E725">
        <v>2013</v>
      </c>
      <c r="V725" s="7"/>
      <c r="W725" s="7"/>
      <c r="X725" s="7"/>
      <c r="Y725" s="7"/>
      <c r="Z725" s="7"/>
      <c r="AA725" s="7"/>
      <c r="AB725" s="7"/>
      <c r="AC725" s="7"/>
      <c r="AD725" s="7"/>
      <c r="AF725" t="s">
        <v>26</v>
      </c>
      <c r="AG725" t="s">
        <v>31</v>
      </c>
    </row>
    <row r="726" spans="1:33" x14ac:dyDescent="0.25">
      <c r="A726" t="s">
        <v>10</v>
      </c>
      <c r="B726" t="s">
        <v>29</v>
      </c>
      <c r="C726" t="s">
        <v>11</v>
      </c>
      <c r="D726" t="s">
        <v>12</v>
      </c>
      <c r="E726">
        <v>2013</v>
      </c>
      <c r="V726" s="7"/>
      <c r="W726" s="7"/>
      <c r="X726" s="7"/>
      <c r="Y726" s="7"/>
      <c r="Z726" s="7"/>
      <c r="AA726" s="7"/>
      <c r="AB726" s="7"/>
      <c r="AC726" s="7"/>
      <c r="AD726" s="7"/>
      <c r="AG726" t="s">
        <v>19</v>
      </c>
    </row>
    <row r="727" spans="1:33" x14ac:dyDescent="0.25">
      <c r="A727" t="s">
        <v>10</v>
      </c>
      <c r="B727" t="s">
        <v>30</v>
      </c>
      <c r="C727" t="s">
        <v>11</v>
      </c>
      <c r="D727" t="s">
        <v>12</v>
      </c>
      <c r="E727">
        <v>2013</v>
      </c>
      <c r="V727" s="7"/>
      <c r="W727" s="7"/>
      <c r="X727" s="7"/>
      <c r="Y727" s="7"/>
      <c r="Z727" s="7"/>
      <c r="AA727" s="7"/>
      <c r="AB727" s="7"/>
      <c r="AC727" s="7"/>
      <c r="AD727" s="7"/>
      <c r="AG727" t="s">
        <v>20</v>
      </c>
    </row>
    <row r="728" spans="1:33" x14ac:dyDescent="0.25">
      <c r="A728" t="s">
        <v>10</v>
      </c>
      <c r="B728" t="s">
        <v>26</v>
      </c>
      <c r="C728" t="s">
        <v>11</v>
      </c>
      <c r="D728" t="s">
        <v>15</v>
      </c>
      <c r="E728">
        <v>2013</v>
      </c>
      <c r="V728" s="7"/>
      <c r="W728" s="7"/>
      <c r="X728" s="7"/>
      <c r="Y728" s="7"/>
      <c r="Z728" s="7"/>
      <c r="AA728" s="7"/>
      <c r="AB728" s="7"/>
      <c r="AC728" s="7"/>
      <c r="AD728" s="7"/>
      <c r="AF728" t="s">
        <v>27</v>
      </c>
      <c r="AG728" t="s">
        <v>31</v>
      </c>
    </row>
    <row r="729" spans="1:33" x14ac:dyDescent="0.25">
      <c r="A729" t="s">
        <v>10</v>
      </c>
      <c r="B729" t="s">
        <v>28</v>
      </c>
      <c r="C729" t="s">
        <v>11</v>
      </c>
      <c r="D729" t="s">
        <v>15</v>
      </c>
      <c r="E729">
        <v>2013</v>
      </c>
      <c r="V729" s="7"/>
      <c r="W729" s="7"/>
      <c r="X729" s="7"/>
      <c r="Y729" s="7"/>
      <c r="Z729" s="7"/>
      <c r="AA729" s="7"/>
      <c r="AB729" s="7"/>
      <c r="AC729" s="7"/>
      <c r="AD729" s="7"/>
      <c r="AG729" t="s">
        <v>19</v>
      </c>
    </row>
    <row r="730" spans="1:33" x14ac:dyDescent="0.25">
      <c r="A730" t="s">
        <v>10</v>
      </c>
      <c r="B730" t="s">
        <v>29</v>
      </c>
      <c r="C730" t="s">
        <v>11</v>
      </c>
      <c r="D730" t="s">
        <v>15</v>
      </c>
      <c r="E730">
        <v>2013</v>
      </c>
      <c r="V730" s="7"/>
      <c r="W730" s="7"/>
      <c r="X730" s="7"/>
      <c r="Y730" s="7"/>
      <c r="Z730" s="7"/>
      <c r="AA730" s="7"/>
      <c r="AB730" s="7"/>
      <c r="AC730" s="7"/>
      <c r="AD730" s="7"/>
      <c r="AG730" t="s">
        <v>20</v>
      </c>
    </row>
    <row r="731" spans="1:33" x14ac:dyDescent="0.25">
      <c r="A731" t="s">
        <v>10</v>
      </c>
      <c r="B731" t="s">
        <v>30</v>
      </c>
      <c r="C731" t="s">
        <v>11</v>
      </c>
      <c r="D731" t="s">
        <v>15</v>
      </c>
      <c r="E731">
        <v>2013</v>
      </c>
      <c r="V731" s="7"/>
      <c r="W731" s="7"/>
      <c r="X731" s="7"/>
      <c r="Y731" s="7"/>
      <c r="Z731" s="7"/>
      <c r="AA731" s="7"/>
      <c r="AB731" s="7"/>
      <c r="AC731" s="7"/>
      <c r="AD731" s="7"/>
      <c r="AF731" t="s">
        <v>28</v>
      </c>
      <c r="AG731" t="s">
        <v>31</v>
      </c>
    </row>
    <row r="732" spans="1:33" x14ac:dyDescent="0.25">
      <c r="AG732" t="s">
        <v>19</v>
      </c>
    </row>
    <row r="733" spans="1:33" x14ac:dyDescent="0.25">
      <c r="A733" t="s">
        <v>10</v>
      </c>
      <c r="B733" t="s">
        <v>24</v>
      </c>
      <c r="C733" t="s">
        <v>31</v>
      </c>
      <c r="D733" t="s">
        <v>12</v>
      </c>
      <c r="E733">
        <v>2013</v>
      </c>
      <c r="V733">
        <v>13138</v>
      </c>
      <c r="AG733" t="s">
        <v>20</v>
      </c>
    </row>
    <row r="734" spans="1:33" x14ac:dyDescent="0.25">
      <c r="A734" t="s">
        <v>10</v>
      </c>
      <c r="B734" t="s">
        <v>26</v>
      </c>
      <c r="C734" t="s">
        <v>31</v>
      </c>
      <c r="D734" t="s">
        <v>12</v>
      </c>
      <c r="E734">
        <v>2013</v>
      </c>
      <c r="V734">
        <v>344</v>
      </c>
      <c r="AE734" t="s">
        <v>15</v>
      </c>
      <c r="AF734" t="s">
        <v>26</v>
      </c>
      <c r="AG734" t="s">
        <v>31</v>
      </c>
    </row>
    <row r="735" spans="1:33" x14ac:dyDescent="0.25">
      <c r="A735" t="s">
        <v>10</v>
      </c>
      <c r="B735" t="s">
        <v>27</v>
      </c>
      <c r="C735" t="s">
        <v>31</v>
      </c>
      <c r="D735" t="s">
        <v>12</v>
      </c>
      <c r="E735">
        <v>2013</v>
      </c>
      <c r="V735">
        <v>1153</v>
      </c>
      <c r="AG735" t="s">
        <v>19</v>
      </c>
    </row>
    <row r="736" spans="1:33" x14ac:dyDescent="0.25">
      <c r="A736" t="s">
        <v>10</v>
      </c>
      <c r="B736" t="s">
        <v>28</v>
      </c>
      <c r="C736" t="s">
        <v>31</v>
      </c>
      <c r="D736" t="s">
        <v>12</v>
      </c>
      <c r="E736">
        <v>2013</v>
      </c>
      <c r="V736">
        <v>92</v>
      </c>
      <c r="AG736" t="s">
        <v>20</v>
      </c>
    </row>
    <row r="737" spans="1:33" x14ac:dyDescent="0.25">
      <c r="A737" t="s">
        <v>10</v>
      </c>
      <c r="B737" t="s">
        <v>29</v>
      </c>
      <c r="C737" t="s">
        <v>31</v>
      </c>
      <c r="D737" t="s">
        <v>12</v>
      </c>
      <c r="E737">
        <v>2013</v>
      </c>
      <c r="V737">
        <v>45</v>
      </c>
      <c r="AF737" t="s">
        <v>28</v>
      </c>
      <c r="AG737" t="s">
        <v>31</v>
      </c>
    </row>
    <row r="738" spans="1:33" x14ac:dyDescent="0.25">
      <c r="A738" t="s">
        <v>10</v>
      </c>
      <c r="B738" t="s">
        <v>30</v>
      </c>
      <c r="C738" t="s">
        <v>31</v>
      </c>
      <c r="D738" t="s">
        <v>12</v>
      </c>
      <c r="E738">
        <v>2013</v>
      </c>
      <c r="AG738" t="s">
        <v>19</v>
      </c>
    </row>
    <row r="739" spans="1:33" x14ac:dyDescent="0.25">
      <c r="A739" t="s">
        <v>10</v>
      </c>
      <c r="B739" t="s">
        <v>26</v>
      </c>
      <c r="C739" t="s">
        <v>31</v>
      </c>
      <c r="D739" t="s">
        <v>15</v>
      </c>
      <c r="E739">
        <v>2013</v>
      </c>
      <c r="V739">
        <v>298</v>
      </c>
      <c r="AG739" t="s">
        <v>20</v>
      </c>
    </row>
    <row r="740" spans="1:33" x14ac:dyDescent="0.25">
      <c r="A740" t="s">
        <v>10</v>
      </c>
      <c r="B740" t="s">
        <v>28</v>
      </c>
      <c r="C740" t="s">
        <v>31</v>
      </c>
      <c r="D740" t="s">
        <v>15</v>
      </c>
      <c r="E740">
        <v>2013</v>
      </c>
      <c r="V740">
        <v>478</v>
      </c>
    </row>
    <row r="741" spans="1:33" x14ac:dyDescent="0.25">
      <c r="A741" t="s">
        <v>10</v>
      </c>
      <c r="B741" t="s">
        <v>29</v>
      </c>
      <c r="C741" t="s">
        <v>31</v>
      </c>
      <c r="D741" t="s">
        <v>15</v>
      </c>
      <c r="E741">
        <v>2013</v>
      </c>
      <c r="V741">
        <v>22</v>
      </c>
    </row>
    <row r="742" spans="1:33" x14ac:dyDescent="0.25">
      <c r="A742" t="s">
        <v>10</v>
      </c>
      <c r="B742" t="s">
        <v>30</v>
      </c>
      <c r="C742" t="s">
        <v>31</v>
      </c>
      <c r="D742" t="s">
        <v>15</v>
      </c>
      <c r="E742">
        <v>2013</v>
      </c>
    </row>
    <row r="744" spans="1:33" x14ac:dyDescent="0.25">
      <c r="A744" t="s">
        <v>10</v>
      </c>
      <c r="B744" t="s">
        <v>24</v>
      </c>
      <c r="C744" t="s">
        <v>19</v>
      </c>
      <c r="D744" t="s">
        <v>12</v>
      </c>
      <c r="E744">
        <v>2013</v>
      </c>
      <c r="V744">
        <v>6235</v>
      </c>
    </row>
    <row r="745" spans="1:33" x14ac:dyDescent="0.25">
      <c r="A745" t="s">
        <v>10</v>
      </c>
      <c r="B745" t="s">
        <v>26</v>
      </c>
      <c r="C745" t="s">
        <v>19</v>
      </c>
      <c r="D745" t="s">
        <v>12</v>
      </c>
      <c r="E745">
        <v>2013</v>
      </c>
      <c r="V745">
        <v>432</v>
      </c>
    </row>
    <row r="746" spans="1:33" x14ac:dyDescent="0.25">
      <c r="A746" t="s">
        <v>10</v>
      </c>
      <c r="B746" t="s">
        <v>27</v>
      </c>
      <c r="C746" t="s">
        <v>19</v>
      </c>
      <c r="D746" t="s">
        <v>12</v>
      </c>
      <c r="E746">
        <v>2013</v>
      </c>
      <c r="V746">
        <v>659</v>
      </c>
    </row>
    <row r="747" spans="1:33" x14ac:dyDescent="0.25">
      <c r="A747" t="s">
        <v>10</v>
      </c>
      <c r="B747" t="s">
        <v>28</v>
      </c>
      <c r="C747" t="s">
        <v>19</v>
      </c>
      <c r="D747" t="s">
        <v>12</v>
      </c>
      <c r="E747">
        <v>2013</v>
      </c>
      <c r="V747">
        <v>264</v>
      </c>
    </row>
    <row r="748" spans="1:33" x14ac:dyDescent="0.25">
      <c r="A748" t="s">
        <v>10</v>
      </c>
      <c r="B748" t="s">
        <v>29</v>
      </c>
      <c r="C748" t="s">
        <v>19</v>
      </c>
      <c r="D748" t="s">
        <v>12</v>
      </c>
      <c r="E748">
        <v>2013</v>
      </c>
      <c r="V748">
        <v>61</v>
      </c>
    </row>
    <row r="749" spans="1:33" x14ac:dyDescent="0.25">
      <c r="A749" t="s">
        <v>10</v>
      </c>
      <c r="B749" t="s">
        <v>30</v>
      </c>
      <c r="C749" t="s">
        <v>19</v>
      </c>
      <c r="D749" t="s">
        <v>12</v>
      </c>
      <c r="E749">
        <v>2013</v>
      </c>
    </row>
    <row r="750" spans="1:33" x14ac:dyDescent="0.25">
      <c r="A750" t="s">
        <v>10</v>
      </c>
      <c r="B750" t="s">
        <v>26</v>
      </c>
      <c r="C750" t="s">
        <v>19</v>
      </c>
      <c r="D750" t="s">
        <v>15</v>
      </c>
      <c r="E750">
        <v>2013</v>
      </c>
      <c r="V750">
        <v>448</v>
      </c>
    </row>
    <row r="751" spans="1:33" x14ac:dyDescent="0.25">
      <c r="A751" t="s">
        <v>10</v>
      </c>
      <c r="B751" t="s">
        <v>28</v>
      </c>
      <c r="C751" t="s">
        <v>19</v>
      </c>
      <c r="D751" t="s">
        <v>15</v>
      </c>
      <c r="E751">
        <v>2013</v>
      </c>
      <c r="V751">
        <v>1383</v>
      </c>
    </row>
    <row r="752" spans="1:33" x14ac:dyDescent="0.25">
      <c r="A752" t="s">
        <v>10</v>
      </c>
      <c r="B752" t="s">
        <v>29</v>
      </c>
      <c r="C752" t="s">
        <v>19</v>
      </c>
      <c r="D752" t="s">
        <v>15</v>
      </c>
      <c r="E752">
        <v>2013</v>
      </c>
      <c r="V752">
        <v>65</v>
      </c>
    </row>
    <row r="753" spans="1:32" x14ac:dyDescent="0.25">
      <c r="A753" t="s">
        <v>10</v>
      </c>
      <c r="B753" t="s">
        <v>30</v>
      </c>
      <c r="C753" t="s">
        <v>19</v>
      </c>
      <c r="D753" t="s">
        <v>15</v>
      </c>
      <c r="E753">
        <v>2013</v>
      </c>
    </row>
    <row r="755" spans="1:32" x14ac:dyDescent="0.25">
      <c r="A755" t="s">
        <v>10</v>
      </c>
      <c r="B755" t="s">
        <v>24</v>
      </c>
      <c r="C755" t="s">
        <v>20</v>
      </c>
      <c r="D755" t="s">
        <v>12</v>
      </c>
      <c r="E755">
        <v>2013</v>
      </c>
      <c r="V755">
        <v>15014</v>
      </c>
    </row>
    <row r="756" spans="1:32" x14ac:dyDescent="0.25">
      <c r="A756" t="s">
        <v>10</v>
      </c>
      <c r="B756" t="s">
        <v>26</v>
      </c>
      <c r="C756" t="s">
        <v>20</v>
      </c>
      <c r="D756" t="s">
        <v>12</v>
      </c>
      <c r="E756">
        <v>2013</v>
      </c>
      <c r="V756">
        <v>542</v>
      </c>
    </row>
    <row r="757" spans="1:32" x14ac:dyDescent="0.25">
      <c r="A757" t="s">
        <v>10</v>
      </c>
      <c r="B757" t="s">
        <v>27</v>
      </c>
      <c r="C757" t="s">
        <v>20</v>
      </c>
      <c r="D757" t="s">
        <v>12</v>
      </c>
      <c r="E757">
        <v>2013</v>
      </c>
      <c r="V757">
        <v>976</v>
      </c>
    </row>
    <row r="758" spans="1:32" x14ac:dyDescent="0.25">
      <c r="A758" t="s">
        <v>10</v>
      </c>
      <c r="B758" t="s">
        <v>28</v>
      </c>
      <c r="C758" t="s">
        <v>20</v>
      </c>
      <c r="D758" t="s">
        <v>12</v>
      </c>
      <c r="E758">
        <v>2013</v>
      </c>
      <c r="V758">
        <v>508</v>
      </c>
    </row>
    <row r="759" spans="1:32" x14ac:dyDescent="0.25">
      <c r="A759" t="s">
        <v>10</v>
      </c>
      <c r="B759" t="s">
        <v>29</v>
      </c>
      <c r="C759" t="s">
        <v>20</v>
      </c>
      <c r="D759" t="s">
        <v>12</v>
      </c>
      <c r="E759">
        <v>2013</v>
      </c>
      <c r="V759">
        <v>101</v>
      </c>
    </row>
    <row r="760" spans="1:32" x14ac:dyDescent="0.25">
      <c r="A760" t="s">
        <v>10</v>
      </c>
      <c r="B760" t="s">
        <v>30</v>
      </c>
      <c r="C760" t="s">
        <v>20</v>
      </c>
      <c r="D760" t="s">
        <v>12</v>
      </c>
      <c r="E760">
        <v>2013</v>
      </c>
    </row>
    <row r="761" spans="1:32" x14ac:dyDescent="0.25">
      <c r="A761" t="s">
        <v>10</v>
      </c>
      <c r="B761" t="s">
        <v>26</v>
      </c>
      <c r="C761" t="s">
        <v>20</v>
      </c>
      <c r="D761" t="s">
        <v>15</v>
      </c>
      <c r="E761">
        <v>2013</v>
      </c>
      <c r="V761">
        <v>331</v>
      </c>
    </row>
    <row r="762" spans="1:32" x14ac:dyDescent="0.25">
      <c r="A762" t="s">
        <v>10</v>
      </c>
      <c r="B762" t="s">
        <v>28</v>
      </c>
      <c r="C762" t="s">
        <v>20</v>
      </c>
      <c r="D762" t="s">
        <v>15</v>
      </c>
      <c r="E762">
        <v>2013</v>
      </c>
      <c r="V762">
        <v>1964</v>
      </c>
    </row>
    <row r="763" spans="1:32" x14ac:dyDescent="0.25">
      <c r="A763" t="s">
        <v>10</v>
      </c>
      <c r="B763" t="s">
        <v>29</v>
      </c>
      <c r="C763" t="s">
        <v>20</v>
      </c>
      <c r="D763" t="s">
        <v>15</v>
      </c>
      <c r="E763">
        <v>2013</v>
      </c>
      <c r="V763">
        <v>103</v>
      </c>
    </row>
    <row r="764" spans="1:32" x14ac:dyDescent="0.25">
      <c r="A764" t="s">
        <v>10</v>
      </c>
      <c r="B764" t="s">
        <v>30</v>
      </c>
      <c r="C764" t="s">
        <v>20</v>
      </c>
      <c r="D764" t="s">
        <v>15</v>
      </c>
      <c r="E764">
        <v>2013</v>
      </c>
    </row>
    <row r="768" spans="1:32" x14ac:dyDescent="0.25">
      <c r="A768" t="s">
        <v>21</v>
      </c>
      <c r="B768" t="s">
        <v>24</v>
      </c>
      <c r="C768" t="s">
        <v>11</v>
      </c>
      <c r="D768" t="s">
        <v>12</v>
      </c>
      <c r="E768">
        <v>2012</v>
      </c>
      <c r="V768" s="4"/>
      <c r="W768" s="4"/>
      <c r="X768" s="4"/>
      <c r="Y768" s="4"/>
      <c r="Z768" s="4"/>
      <c r="AA768" s="4"/>
      <c r="AB768" s="4"/>
      <c r="AC768" s="4"/>
      <c r="AD768" s="4"/>
      <c r="AE768" t="s">
        <v>12</v>
      </c>
      <c r="AF768" t="s">
        <v>31</v>
      </c>
    </row>
    <row r="769" spans="1:32" x14ac:dyDescent="0.25">
      <c r="A769" t="s">
        <v>21</v>
      </c>
      <c r="B769" t="s">
        <v>26</v>
      </c>
      <c r="C769" t="s">
        <v>11</v>
      </c>
      <c r="D769" t="s">
        <v>12</v>
      </c>
      <c r="E769">
        <v>2012</v>
      </c>
      <c r="V769" s="4"/>
      <c r="W769" s="4"/>
      <c r="X769" s="4"/>
      <c r="Y769" s="4"/>
      <c r="Z769" s="4"/>
      <c r="AA769" s="4"/>
      <c r="AB769" s="4"/>
      <c r="AC769" s="4"/>
      <c r="AD769" s="4"/>
      <c r="AF769" t="s">
        <v>19</v>
      </c>
    </row>
    <row r="770" spans="1:32" x14ac:dyDescent="0.25">
      <c r="A770" t="s">
        <v>21</v>
      </c>
      <c r="B770" t="s">
        <v>27</v>
      </c>
      <c r="C770" t="s">
        <v>11</v>
      </c>
      <c r="D770" t="s">
        <v>12</v>
      </c>
      <c r="E770">
        <v>2012</v>
      </c>
      <c r="V770" s="4"/>
      <c r="W770" s="4"/>
      <c r="X770" s="4"/>
      <c r="Y770" s="4"/>
      <c r="Z770" s="4"/>
      <c r="AA770" s="4"/>
      <c r="AB770" s="4"/>
      <c r="AC770" s="4"/>
      <c r="AD770" s="4"/>
      <c r="AF770" t="s">
        <v>20</v>
      </c>
    </row>
    <row r="771" spans="1:32" x14ac:dyDescent="0.25">
      <c r="A771" t="s">
        <v>21</v>
      </c>
      <c r="B771" t="s">
        <v>28</v>
      </c>
      <c r="C771" t="s">
        <v>11</v>
      </c>
      <c r="D771" t="s">
        <v>12</v>
      </c>
      <c r="E771">
        <v>2012</v>
      </c>
      <c r="V771" s="4"/>
      <c r="W771" s="4"/>
      <c r="X771" s="4"/>
      <c r="Y771" s="4"/>
      <c r="Z771" s="4"/>
      <c r="AA771" s="4"/>
      <c r="AB771" s="4"/>
      <c r="AC771" s="4"/>
      <c r="AD771" s="4"/>
      <c r="AE771" t="s">
        <v>15</v>
      </c>
      <c r="AF771" t="s">
        <v>31</v>
      </c>
    </row>
    <row r="772" spans="1:32" x14ac:dyDescent="0.25">
      <c r="A772" t="s">
        <v>21</v>
      </c>
      <c r="B772" t="s">
        <v>29</v>
      </c>
      <c r="C772" t="s">
        <v>11</v>
      </c>
      <c r="D772" t="s">
        <v>12</v>
      </c>
      <c r="E772">
        <v>2012</v>
      </c>
      <c r="V772" s="4"/>
      <c r="W772" s="4"/>
      <c r="X772" s="4"/>
      <c r="Y772" s="4"/>
      <c r="Z772" s="4"/>
      <c r="AA772" s="4"/>
      <c r="AB772" s="4"/>
      <c r="AC772" s="4"/>
      <c r="AD772" s="4"/>
      <c r="AF772" t="s">
        <v>19</v>
      </c>
    </row>
    <row r="773" spans="1:32" x14ac:dyDescent="0.25">
      <c r="A773" t="s">
        <v>21</v>
      </c>
      <c r="B773" t="s">
        <v>30</v>
      </c>
      <c r="C773" t="s">
        <v>11</v>
      </c>
      <c r="D773" t="s">
        <v>12</v>
      </c>
      <c r="E773">
        <v>2012</v>
      </c>
      <c r="V773" s="4"/>
      <c r="W773" s="4"/>
      <c r="X773" s="4"/>
      <c r="Y773" s="4"/>
      <c r="Z773" s="4"/>
      <c r="AA773" s="4"/>
      <c r="AB773" s="4"/>
      <c r="AC773" s="4"/>
      <c r="AD773" s="4"/>
      <c r="AF773" t="s">
        <v>20</v>
      </c>
    </row>
    <row r="774" spans="1:32" x14ac:dyDescent="0.25">
      <c r="A774" t="s">
        <v>21</v>
      </c>
      <c r="B774" t="s">
        <v>26</v>
      </c>
      <c r="C774" t="s">
        <v>11</v>
      </c>
      <c r="D774" t="s">
        <v>15</v>
      </c>
      <c r="E774">
        <v>2012</v>
      </c>
      <c r="V774" s="4"/>
      <c r="W774" s="4"/>
      <c r="X774" s="4"/>
      <c r="Y774" s="4"/>
      <c r="Z774" s="4"/>
      <c r="AA774" s="4"/>
      <c r="AB774" s="4"/>
      <c r="AC774" s="4"/>
      <c r="AD774" s="4"/>
    </row>
    <row r="775" spans="1:32" x14ac:dyDescent="0.25">
      <c r="A775" t="s">
        <v>21</v>
      </c>
      <c r="B775" t="s">
        <v>28</v>
      </c>
      <c r="C775" t="s">
        <v>11</v>
      </c>
      <c r="D775" t="s">
        <v>15</v>
      </c>
      <c r="E775">
        <v>2012</v>
      </c>
      <c r="V775" s="4"/>
      <c r="W775" s="4"/>
      <c r="X775" s="4"/>
      <c r="Y775" s="4"/>
      <c r="Z775" s="4"/>
      <c r="AA775" s="4"/>
      <c r="AB775" s="4"/>
      <c r="AC775" s="4"/>
      <c r="AD775" s="4"/>
    </row>
    <row r="776" spans="1:32" x14ac:dyDescent="0.25">
      <c r="A776" t="s">
        <v>21</v>
      </c>
      <c r="B776" t="s">
        <v>29</v>
      </c>
      <c r="C776" t="s">
        <v>11</v>
      </c>
      <c r="D776" t="s">
        <v>15</v>
      </c>
      <c r="E776">
        <v>2012</v>
      </c>
      <c r="V776" s="4"/>
      <c r="W776" s="4"/>
      <c r="X776" s="4"/>
      <c r="Y776" s="4"/>
      <c r="Z776" s="4"/>
      <c r="AA776" s="4"/>
      <c r="AB776" s="4"/>
      <c r="AC776" s="4"/>
      <c r="AD776" s="4"/>
    </row>
    <row r="777" spans="1:32" x14ac:dyDescent="0.25">
      <c r="A777" t="s">
        <v>21</v>
      </c>
      <c r="B777" t="s">
        <v>30</v>
      </c>
      <c r="C777" t="s">
        <v>11</v>
      </c>
      <c r="D777" t="s">
        <v>15</v>
      </c>
      <c r="E777">
        <v>2012</v>
      </c>
      <c r="V777" s="4"/>
      <c r="W777" s="4"/>
      <c r="X777" s="4"/>
      <c r="Y777" s="4"/>
      <c r="Z777" s="4"/>
      <c r="AA777" s="4"/>
      <c r="AB777" s="4"/>
      <c r="AC777" s="4"/>
      <c r="AD777" s="4"/>
    </row>
    <row r="779" spans="1:32" x14ac:dyDescent="0.25">
      <c r="A779" t="s">
        <v>21</v>
      </c>
      <c r="B779" t="s">
        <v>24</v>
      </c>
      <c r="C779" t="s">
        <v>31</v>
      </c>
      <c r="D779" t="s">
        <v>12</v>
      </c>
      <c r="E779">
        <v>2012</v>
      </c>
      <c r="V779">
        <v>388</v>
      </c>
    </row>
    <row r="780" spans="1:32" x14ac:dyDescent="0.25">
      <c r="A780" t="s">
        <v>21</v>
      </c>
      <c r="B780" t="s">
        <v>26</v>
      </c>
      <c r="C780" t="s">
        <v>31</v>
      </c>
      <c r="D780" t="s">
        <v>12</v>
      </c>
      <c r="E780">
        <v>2012</v>
      </c>
      <c r="V780">
        <v>7</v>
      </c>
    </row>
    <row r="781" spans="1:32" x14ac:dyDescent="0.25">
      <c r="A781" t="s">
        <v>21</v>
      </c>
      <c r="B781" t="s">
        <v>27</v>
      </c>
      <c r="C781" t="s">
        <v>31</v>
      </c>
      <c r="D781" t="s">
        <v>12</v>
      </c>
      <c r="E781">
        <v>2012</v>
      </c>
      <c r="V781">
        <v>19</v>
      </c>
    </row>
    <row r="782" spans="1:32" x14ac:dyDescent="0.25">
      <c r="A782" t="s">
        <v>21</v>
      </c>
      <c r="B782" t="s">
        <v>28</v>
      </c>
      <c r="C782" t="s">
        <v>31</v>
      </c>
      <c r="D782" t="s">
        <v>12</v>
      </c>
      <c r="E782">
        <v>2012</v>
      </c>
      <c r="V782" t="s">
        <v>38</v>
      </c>
    </row>
    <row r="783" spans="1:32" x14ac:dyDescent="0.25">
      <c r="A783" t="s">
        <v>21</v>
      </c>
      <c r="B783" t="s">
        <v>29</v>
      </c>
      <c r="C783" t="s">
        <v>31</v>
      </c>
      <c r="D783" t="s">
        <v>12</v>
      </c>
      <c r="E783">
        <v>2012</v>
      </c>
      <c r="V783" t="s">
        <v>38</v>
      </c>
    </row>
    <row r="784" spans="1:32" x14ac:dyDescent="0.25">
      <c r="A784" t="s">
        <v>21</v>
      </c>
      <c r="B784" t="s">
        <v>30</v>
      </c>
      <c r="C784" t="s">
        <v>31</v>
      </c>
      <c r="D784" t="s">
        <v>12</v>
      </c>
      <c r="E784">
        <v>2012</v>
      </c>
      <c r="V784" t="s">
        <v>38</v>
      </c>
    </row>
    <row r="785" spans="1:22" x14ac:dyDescent="0.25">
      <c r="A785" t="s">
        <v>21</v>
      </c>
      <c r="B785" t="s">
        <v>26</v>
      </c>
      <c r="C785" t="s">
        <v>31</v>
      </c>
      <c r="D785" t="s">
        <v>15</v>
      </c>
      <c r="E785">
        <v>2012</v>
      </c>
      <c r="V785">
        <v>8</v>
      </c>
    </row>
    <row r="786" spans="1:22" x14ac:dyDescent="0.25">
      <c r="A786" t="s">
        <v>21</v>
      </c>
      <c r="B786" t="s">
        <v>28</v>
      </c>
      <c r="C786" t="s">
        <v>31</v>
      </c>
      <c r="D786" t="s">
        <v>15</v>
      </c>
      <c r="E786">
        <v>2012</v>
      </c>
      <c r="V786">
        <v>17</v>
      </c>
    </row>
    <row r="787" spans="1:22" x14ac:dyDescent="0.25">
      <c r="A787" t="s">
        <v>21</v>
      </c>
      <c r="B787" t="s">
        <v>29</v>
      </c>
      <c r="C787" t="s">
        <v>31</v>
      </c>
      <c r="D787" t="s">
        <v>15</v>
      </c>
      <c r="E787">
        <v>2012</v>
      </c>
      <c r="V787">
        <v>0</v>
      </c>
    </row>
    <row r="788" spans="1:22" x14ac:dyDescent="0.25">
      <c r="A788" t="s">
        <v>21</v>
      </c>
      <c r="B788" t="s">
        <v>30</v>
      </c>
      <c r="C788" t="s">
        <v>31</v>
      </c>
      <c r="D788" t="s">
        <v>15</v>
      </c>
      <c r="E788">
        <v>2012</v>
      </c>
      <c r="V788">
        <v>0</v>
      </c>
    </row>
    <row r="790" spans="1:22" x14ac:dyDescent="0.25">
      <c r="A790" t="s">
        <v>21</v>
      </c>
      <c r="B790" t="s">
        <v>24</v>
      </c>
      <c r="C790" t="s">
        <v>19</v>
      </c>
      <c r="D790" t="s">
        <v>12</v>
      </c>
      <c r="E790">
        <v>2012</v>
      </c>
      <c r="V790">
        <v>305</v>
      </c>
    </row>
    <row r="791" spans="1:22" x14ac:dyDescent="0.25">
      <c r="A791" t="s">
        <v>21</v>
      </c>
      <c r="B791" t="s">
        <v>26</v>
      </c>
      <c r="C791" t="s">
        <v>19</v>
      </c>
      <c r="D791" t="s">
        <v>12</v>
      </c>
      <c r="E791">
        <v>2012</v>
      </c>
      <c r="V791">
        <v>14</v>
      </c>
    </row>
    <row r="792" spans="1:22" x14ac:dyDescent="0.25">
      <c r="A792" t="s">
        <v>21</v>
      </c>
      <c r="B792" t="s">
        <v>27</v>
      </c>
      <c r="C792" t="s">
        <v>19</v>
      </c>
      <c r="D792" t="s">
        <v>12</v>
      </c>
      <c r="E792">
        <v>2012</v>
      </c>
      <c r="V792">
        <v>13</v>
      </c>
    </row>
    <row r="793" spans="1:22" x14ac:dyDescent="0.25">
      <c r="A793" t="s">
        <v>21</v>
      </c>
      <c r="B793" t="s">
        <v>28</v>
      </c>
      <c r="C793" t="s">
        <v>19</v>
      </c>
      <c r="D793" t="s">
        <v>12</v>
      </c>
      <c r="E793">
        <v>2012</v>
      </c>
      <c r="V793" t="s">
        <v>38</v>
      </c>
    </row>
    <row r="794" spans="1:22" x14ac:dyDescent="0.25">
      <c r="A794" t="s">
        <v>21</v>
      </c>
      <c r="B794" t="s">
        <v>29</v>
      </c>
      <c r="C794" t="s">
        <v>19</v>
      </c>
      <c r="D794" t="s">
        <v>12</v>
      </c>
      <c r="E794">
        <v>2012</v>
      </c>
      <c r="V794" t="s">
        <v>38</v>
      </c>
    </row>
    <row r="795" spans="1:22" x14ac:dyDescent="0.25">
      <c r="A795" t="s">
        <v>21</v>
      </c>
      <c r="B795" t="s">
        <v>30</v>
      </c>
      <c r="C795" t="s">
        <v>19</v>
      </c>
      <c r="D795" t="s">
        <v>12</v>
      </c>
      <c r="E795">
        <v>2012</v>
      </c>
      <c r="V795" t="s">
        <v>38</v>
      </c>
    </row>
    <row r="796" spans="1:22" x14ac:dyDescent="0.25">
      <c r="A796" t="s">
        <v>21</v>
      </c>
      <c r="B796" t="s">
        <v>26</v>
      </c>
      <c r="C796" t="s">
        <v>19</v>
      </c>
      <c r="D796" t="s">
        <v>15</v>
      </c>
      <c r="E796">
        <v>2012</v>
      </c>
      <c r="V796">
        <v>12</v>
      </c>
    </row>
    <row r="797" spans="1:22" x14ac:dyDescent="0.25">
      <c r="A797" t="s">
        <v>21</v>
      </c>
      <c r="B797" t="s">
        <v>28</v>
      </c>
      <c r="C797" t="s">
        <v>19</v>
      </c>
      <c r="D797" t="s">
        <v>15</v>
      </c>
      <c r="E797">
        <v>2012</v>
      </c>
      <c r="V797">
        <v>59</v>
      </c>
    </row>
    <row r="798" spans="1:22" x14ac:dyDescent="0.25">
      <c r="A798" t="s">
        <v>21</v>
      </c>
      <c r="B798" t="s">
        <v>29</v>
      </c>
      <c r="C798" t="s">
        <v>19</v>
      </c>
      <c r="D798" t="s">
        <v>15</v>
      </c>
      <c r="E798">
        <v>2012</v>
      </c>
      <c r="V798">
        <v>2</v>
      </c>
    </row>
    <row r="799" spans="1:22" x14ac:dyDescent="0.25">
      <c r="A799" t="s">
        <v>21</v>
      </c>
      <c r="B799" t="s">
        <v>30</v>
      </c>
      <c r="C799" t="s">
        <v>19</v>
      </c>
      <c r="D799" t="s">
        <v>15</v>
      </c>
      <c r="E799">
        <v>2012</v>
      </c>
    </row>
    <row r="801" spans="1:32" x14ac:dyDescent="0.25">
      <c r="A801" t="s">
        <v>21</v>
      </c>
      <c r="B801" t="s">
        <v>24</v>
      </c>
      <c r="C801" t="s">
        <v>20</v>
      </c>
      <c r="D801" t="s">
        <v>12</v>
      </c>
      <c r="E801">
        <v>2012</v>
      </c>
      <c r="V801">
        <v>803</v>
      </c>
    </row>
    <row r="802" spans="1:32" x14ac:dyDescent="0.25">
      <c r="A802" t="s">
        <v>21</v>
      </c>
      <c r="B802" t="s">
        <v>26</v>
      </c>
      <c r="C802" t="s">
        <v>20</v>
      </c>
      <c r="D802" t="s">
        <v>12</v>
      </c>
      <c r="E802">
        <v>2012</v>
      </c>
      <c r="V802">
        <v>19</v>
      </c>
    </row>
    <row r="803" spans="1:32" x14ac:dyDescent="0.25">
      <c r="A803" t="s">
        <v>21</v>
      </c>
      <c r="B803" t="s">
        <v>27</v>
      </c>
      <c r="C803" t="s">
        <v>20</v>
      </c>
      <c r="D803" t="s">
        <v>12</v>
      </c>
      <c r="E803">
        <v>2012</v>
      </c>
      <c r="V803">
        <v>24</v>
      </c>
    </row>
    <row r="804" spans="1:32" x14ac:dyDescent="0.25">
      <c r="A804" t="s">
        <v>21</v>
      </c>
      <c r="B804" t="s">
        <v>28</v>
      </c>
      <c r="C804" t="s">
        <v>20</v>
      </c>
      <c r="D804" t="s">
        <v>12</v>
      </c>
      <c r="E804">
        <v>2012</v>
      </c>
      <c r="V804">
        <v>7</v>
      </c>
    </row>
    <row r="805" spans="1:32" x14ac:dyDescent="0.25">
      <c r="A805" t="s">
        <v>21</v>
      </c>
      <c r="B805" t="s">
        <v>29</v>
      </c>
      <c r="C805" t="s">
        <v>20</v>
      </c>
      <c r="D805" t="s">
        <v>12</v>
      </c>
      <c r="E805">
        <v>2012</v>
      </c>
      <c r="V805">
        <v>0</v>
      </c>
    </row>
    <row r="806" spans="1:32" x14ac:dyDescent="0.25">
      <c r="A806" t="s">
        <v>21</v>
      </c>
      <c r="B806" t="s">
        <v>30</v>
      </c>
      <c r="C806" t="s">
        <v>20</v>
      </c>
      <c r="D806" t="s">
        <v>12</v>
      </c>
      <c r="E806">
        <v>2012</v>
      </c>
      <c r="V806">
        <v>0</v>
      </c>
    </row>
    <row r="807" spans="1:32" x14ac:dyDescent="0.25">
      <c r="A807" t="s">
        <v>21</v>
      </c>
      <c r="B807" t="s">
        <v>26</v>
      </c>
      <c r="C807" t="s">
        <v>20</v>
      </c>
      <c r="D807" t="s">
        <v>15</v>
      </c>
      <c r="E807">
        <v>2012</v>
      </c>
      <c r="V807">
        <v>7</v>
      </c>
    </row>
    <row r="808" spans="1:32" x14ac:dyDescent="0.25">
      <c r="A808" t="s">
        <v>21</v>
      </c>
      <c r="B808" t="s">
        <v>28</v>
      </c>
      <c r="C808" t="s">
        <v>20</v>
      </c>
      <c r="D808" t="s">
        <v>15</v>
      </c>
      <c r="E808">
        <v>2012</v>
      </c>
      <c r="V808">
        <v>71</v>
      </c>
    </row>
    <row r="809" spans="1:32" x14ac:dyDescent="0.25">
      <c r="A809" t="s">
        <v>21</v>
      </c>
      <c r="B809" t="s">
        <v>29</v>
      </c>
      <c r="C809" t="s">
        <v>20</v>
      </c>
      <c r="D809" t="s">
        <v>15</v>
      </c>
      <c r="E809">
        <v>2012</v>
      </c>
      <c r="V809">
        <v>0</v>
      </c>
    </row>
    <row r="810" spans="1:32" x14ac:dyDescent="0.25">
      <c r="A810" t="s">
        <v>21</v>
      </c>
      <c r="B810" t="s">
        <v>30</v>
      </c>
      <c r="C810" t="s">
        <v>20</v>
      </c>
      <c r="D810" t="s">
        <v>15</v>
      </c>
      <c r="E810">
        <v>2012</v>
      </c>
      <c r="V810">
        <v>0</v>
      </c>
    </row>
    <row r="813" spans="1:32" x14ac:dyDescent="0.25">
      <c r="A813" t="s">
        <v>22</v>
      </c>
      <c r="B813" t="s">
        <v>24</v>
      </c>
      <c r="C813" t="s">
        <v>11</v>
      </c>
      <c r="D813" t="s">
        <v>12</v>
      </c>
      <c r="E813">
        <v>2013</v>
      </c>
      <c r="AE813" t="s">
        <v>12</v>
      </c>
      <c r="AF813" t="s">
        <v>31</v>
      </c>
    </row>
    <row r="814" spans="1:32" x14ac:dyDescent="0.25">
      <c r="A814" t="s">
        <v>22</v>
      </c>
      <c r="B814" t="s">
        <v>26</v>
      </c>
      <c r="C814" t="s">
        <v>11</v>
      </c>
      <c r="D814" t="s">
        <v>12</v>
      </c>
      <c r="E814">
        <v>2013</v>
      </c>
      <c r="AF814" t="s">
        <v>19</v>
      </c>
    </row>
    <row r="815" spans="1:32" x14ac:dyDescent="0.25">
      <c r="A815" t="s">
        <v>22</v>
      </c>
      <c r="B815" t="s">
        <v>27</v>
      </c>
      <c r="C815" t="s">
        <v>11</v>
      </c>
      <c r="D815" t="s">
        <v>12</v>
      </c>
      <c r="E815">
        <v>2013</v>
      </c>
      <c r="AF815" t="s">
        <v>20</v>
      </c>
    </row>
    <row r="816" spans="1:32" x14ac:dyDescent="0.25">
      <c r="A816" t="s">
        <v>22</v>
      </c>
      <c r="B816" t="s">
        <v>28</v>
      </c>
      <c r="C816" t="s">
        <v>11</v>
      </c>
      <c r="D816" t="s">
        <v>12</v>
      </c>
      <c r="E816">
        <v>2013</v>
      </c>
      <c r="AE816" t="s">
        <v>15</v>
      </c>
      <c r="AF816" t="s">
        <v>31</v>
      </c>
    </row>
    <row r="817" spans="1:32" x14ac:dyDescent="0.25">
      <c r="A817" t="s">
        <v>22</v>
      </c>
      <c r="B817" t="s">
        <v>29</v>
      </c>
      <c r="C817" t="s">
        <v>11</v>
      </c>
      <c r="D817" t="s">
        <v>12</v>
      </c>
      <c r="E817">
        <v>2013</v>
      </c>
      <c r="AF817" t="s">
        <v>19</v>
      </c>
    </row>
    <row r="818" spans="1:32" x14ac:dyDescent="0.25">
      <c r="A818" t="s">
        <v>22</v>
      </c>
      <c r="B818" t="s">
        <v>30</v>
      </c>
      <c r="C818" t="s">
        <v>11</v>
      </c>
      <c r="D818" t="s">
        <v>12</v>
      </c>
      <c r="E818">
        <v>2013</v>
      </c>
      <c r="AF818" t="s">
        <v>20</v>
      </c>
    </row>
    <row r="819" spans="1:32" x14ac:dyDescent="0.25">
      <c r="A819" t="s">
        <v>22</v>
      </c>
      <c r="B819" t="s">
        <v>26</v>
      </c>
      <c r="C819" t="s">
        <v>11</v>
      </c>
      <c r="D819" t="s">
        <v>15</v>
      </c>
      <c r="E819">
        <v>2013</v>
      </c>
    </row>
    <row r="820" spans="1:32" x14ac:dyDescent="0.25">
      <c r="A820" t="s">
        <v>22</v>
      </c>
      <c r="B820" t="s">
        <v>28</v>
      </c>
      <c r="C820" t="s">
        <v>11</v>
      </c>
      <c r="D820" t="s">
        <v>15</v>
      </c>
      <c r="E820">
        <v>2013</v>
      </c>
    </row>
    <row r="821" spans="1:32" x14ac:dyDescent="0.25">
      <c r="A821" t="s">
        <v>22</v>
      </c>
      <c r="B821" t="s">
        <v>29</v>
      </c>
      <c r="C821" t="s">
        <v>11</v>
      </c>
      <c r="D821" t="s">
        <v>15</v>
      </c>
      <c r="E821">
        <v>2013</v>
      </c>
    </row>
    <row r="822" spans="1:32" x14ac:dyDescent="0.25">
      <c r="A822" t="s">
        <v>22</v>
      </c>
      <c r="B822" t="s">
        <v>30</v>
      </c>
      <c r="C822" t="s">
        <v>11</v>
      </c>
      <c r="D822" t="s">
        <v>15</v>
      </c>
      <c r="E822">
        <v>2013</v>
      </c>
    </row>
    <row r="824" spans="1:32" x14ac:dyDescent="0.25">
      <c r="A824" t="s">
        <v>22</v>
      </c>
      <c r="B824" t="s">
        <v>24</v>
      </c>
      <c r="C824" t="s">
        <v>31</v>
      </c>
      <c r="D824" t="s">
        <v>12</v>
      </c>
      <c r="E824">
        <v>2013</v>
      </c>
    </row>
    <row r="825" spans="1:32" x14ac:dyDescent="0.25">
      <c r="A825" t="s">
        <v>22</v>
      </c>
      <c r="B825" t="s">
        <v>26</v>
      </c>
      <c r="C825" t="s">
        <v>31</v>
      </c>
      <c r="D825" t="s">
        <v>12</v>
      </c>
      <c r="E825">
        <v>2013</v>
      </c>
    </row>
    <row r="826" spans="1:32" x14ac:dyDescent="0.25">
      <c r="A826" t="s">
        <v>22</v>
      </c>
      <c r="B826" t="s">
        <v>27</v>
      </c>
      <c r="C826" t="s">
        <v>31</v>
      </c>
      <c r="D826" t="s">
        <v>12</v>
      </c>
      <c r="E826">
        <v>2013</v>
      </c>
    </row>
    <row r="827" spans="1:32" x14ac:dyDescent="0.25">
      <c r="A827" t="s">
        <v>22</v>
      </c>
      <c r="B827" t="s">
        <v>28</v>
      </c>
      <c r="C827" t="s">
        <v>31</v>
      </c>
      <c r="D827" t="s">
        <v>12</v>
      </c>
      <c r="E827">
        <v>2013</v>
      </c>
    </row>
    <row r="828" spans="1:32" x14ac:dyDescent="0.25">
      <c r="A828" t="s">
        <v>22</v>
      </c>
      <c r="B828" t="s">
        <v>29</v>
      </c>
      <c r="C828" t="s">
        <v>31</v>
      </c>
      <c r="D828" t="s">
        <v>12</v>
      </c>
      <c r="E828">
        <v>2013</v>
      </c>
    </row>
    <row r="829" spans="1:32" x14ac:dyDescent="0.25">
      <c r="A829" t="s">
        <v>22</v>
      </c>
      <c r="B829" t="s">
        <v>30</v>
      </c>
      <c r="C829" t="s">
        <v>31</v>
      </c>
      <c r="D829" t="s">
        <v>12</v>
      </c>
      <c r="E829">
        <v>2013</v>
      </c>
    </row>
    <row r="830" spans="1:32" x14ac:dyDescent="0.25">
      <c r="A830" t="s">
        <v>22</v>
      </c>
      <c r="B830" t="s">
        <v>26</v>
      </c>
      <c r="C830" t="s">
        <v>31</v>
      </c>
      <c r="D830" t="s">
        <v>15</v>
      </c>
      <c r="E830">
        <v>2013</v>
      </c>
    </row>
    <row r="831" spans="1:32" x14ac:dyDescent="0.25">
      <c r="A831" t="s">
        <v>22</v>
      </c>
      <c r="B831" t="s">
        <v>28</v>
      </c>
      <c r="C831" t="s">
        <v>31</v>
      </c>
      <c r="D831" t="s">
        <v>15</v>
      </c>
      <c r="E831">
        <v>2013</v>
      </c>
    </row>
    <row r="832" spans="1:32" x14ac:dyDescent="0.25">
      <c r="A832" t="s">
        <v>22</v>
      </c>
      <c r="B832" t="s">
        <v>29</v>
      </c>
      <c r="C832" t="s">
        <v>31</v>
      </c>
      <c r="D832" t="s">
        <v>15</v>
      </c>
      <c r="E832">
        <v>2013</v>
      </c>
    </row>
    <row r="833" spans="1:5" x14ac:dyDescent="0.25">
      <c r="A833" t="s">
        <v>22</v>
      </c>
      <c r="B833" t="s">
        <v>30</v>
      </c>
      <c r="C833" t="s">
        <v>31</v>
      </c>
      <c r="D833" t="s">
        <v>15</v>
      </c>
      <c r="E833">
        <v>2013</v>
      </c>
    </row>
    <row r="835" spans="1:5" x14ac:dyDescent="0.25">
      <c r="A835" t="s">
        <v>22</v>
      </c>
      <c r="B835" t="s">
        <v>24</v>
      </c>
      <c r="C835" t="s">
        <v>19</v>
      </c>
      <c r="D835" t="s">
        <v>12</v>
      </c>
      <c r="E835">
        <v>2013</v>
      </c>
    </row>
    <row r="836" spans="1:5" x14ac:dyDescent="0.25">
      <c r="A836" t="s">
        <v>22</v>
      </c>
      <c r="B836" t="s">
        <v>26</v>
      </c>
      <c r="C836" t="s">
        <v>19</v>
      </c>
      <c r="D836" t="s">
        <v>12</v>
      </c>
      <c r="E836">
        <v>2013</v>
      </c>
    </row>
    <row r="837" spans="1:5" x14ac:dyDescent="0.25">
      <c r="A837" t="s">
        <v>22</v>
      </c>
      <c r="B837" t="s">
        <v>27</v>
      </c>
      <c r="C837" t="s">
        <v>19</v>
      </c>
      <c r="D837" t="s">
        <v>12</v>
      </c>
      <c r="E837">
        <v>2013</v>
      </c>
    </row>
    <row r="838" spans="1:5" x14ac:dyDescent="0.25">
      <c r="A838" t="s">
        <v>22</v>
      </c>
      <c r="B838" t="s">
        <v>28</v>
      </c>
      <c r="C838" t="s">
        <v>19</v>
      </c>
      <c r="D838" t="s">
        <v>12</v>
      </c>
      <c r="E838">
        <v>2013</v>
      </c>
    </row>
    <row r="839" spans="1:5" x14ac:dyDescent="0.25">
      <c r="A839" t="s">
        <v>22</v>
      </c>
      <c r="B839" t="s">
        <v>29</v>
      </c>
      <c r="C839" t="s">
        <v>19</v>
      </c>
      <c r="D839" t="s">
        <v>12</v>
      </c>
      <c r="E839">
        <v>2013</v>
      </c>
    </row>
    <row r="840" spans="1:5" x14ac:dyDescent="0.25">
      <c r="A840" t="s">
        <v>22</v>
      </c>
      <c r="B840" t="s">
        <v>30</v>
      </c>
      <c r="C840" t="s">
        <v>19</v>
      </c>
      <c r="D840" t="s">
        <v>12</v>
      </c>
      <c r="E840">
        <v>2013</v>
      </c>
    </row>
    <row r="841" spans="1:5" x14ac:dyDescent="0.25">
      <c r="A841" t="s">
        <v>22</v>
      </c>
      <c r="B841" t="s">
        <v>26</v>
      </c>
      <c r="C841" t="s">
        <v>19</v>
      </c>
      <c r="D841" t="s">
        <v>15</v>
      </c>
      <c r="E841">
        <v>2013</v>
      </c>
    </row>
    <row r="842" spans="1:5" x14ac:dyDescent="0.25">
      <c r="A842" t="s">
        <v>22</v>
      </c>
      <c r="B842" t="s">
        <v>28</v>
      </c>
      <c r="C842" t="s">
        <v>19</v>
      </c>
      <c r="D842" t="s">
        <v>15</v>
      </c>
      <c r="E842">
        <v>2013</v>
      </c>
    </row>
    <row r="843" spans="1:5" x14ac:dyDescent="0.25">
      <c r="A843" t="s">
        <v>22</v>
      </c>
      <c r="B843" t="s">
        <v>29</v>
      </c>
      <c r="C843" t="s">
        <v>19</v>
      </c>
      <c r="D843" t="s">
        <v>15</v>
      </c>
      <c r="E843">
        <v>2013</v>
      </c>
    </row>
    <row r="844" spans="1:5" x14ac:dyDescent="0.25">
      <c r="A844" t="s">
        <v>22</v>
      </c>
      <c r="B844" t="s">
        <v>30</v>
      </c>
      <c r="C844" t="s">
        <v>19</v>
      </c>
      <c r="D844" t="s">
        <v>15</v>
      </c>
      <c r="E844">
        <v>2013</v>
      </c>
    </row>
    <row r="846" spans="1:5" x14ac:dyDescent="0.25">
      <c r="A846" t="s">
        <v>22</v>
      </c>
      <c r="B846" t="s">
        <v>24</v>
      </c>
      <c r="C846" t="s">
        <v>20</v>
      </c>
      <c r="D846" t="s">
        <v>12</v>
      </c>
      <c r="E846">
        <v>2013</v>
      </c>
    </row>
    <row r="847" spans="1:5" x14ac:dyDescent="0.25">
      <c r="A847" t="s">
        <v>22</v>
      </c>
      <c r="B847" t="s">
        <v>26</v>
      </c>
      <c r="C847" t="s">
        <v>20</v>
      </c>
      <c r="D847" t="s">
        <v>12</v>
      </c>
      <c r="E847">
        <v>2013</v>
      </c>
    </row>
    <row r="848" spans="1:5" x14ac:dyDescent="0.25">
      <c r="A848" t="s">
        <v>22</v>
      </c>
      <c r="B848" t="s">
        <v>27</v>
      </c>
      <c r="C848" t="s">
        <v>20</v>
      </c>
      <c r="D848" t="s">
        <v>12</v>
      </c>
      <c r="E848">
        <v>2013</v>
      </c>
    </row>
    <row r="849" spans="1:34" x14ac:dyDescent="0.25">
      <c r="A849" t="s">
        <v>22</v>
      </c>
      <c r="B849" t="s">
        <v>28</v>
      </c>
      <c r="C849" t="s">
        <v>20</v>
      </c>
      <c r="D849" t="s">
        <v>12</v>
      </c>
      <c r="E849">
        <v>2013</v>
      </c>
    </row>
    <row r="850" spans="1:34" x14ac:dyDescent="0.25">
      <c r="A850" t="s">
        <v>22</v>
      </c>
      <c r="B850" t="s">
        <v>29</v>
      </c>
      <c r="C850" t="s">
        <v>20</v>
      </c>
      <c r="D850" t="s">
        <v>12</v>
      </c>
      <c r="E850">
        <v>2013</v>
      </c>
    </row>
    <row r="851" spans="1:34" x14ac:dyDescent="0.25">
      <c r="A851" t="s">
        <v>22</v>
      </c>
      <c r="B851" t="s">
        <v>30</v>
      </c>
      <c r="C851" t="s">
        <v>20</v>
      </c>
      <c r="D851" t="s">
        <v>12</v>
      </c>
      <c r="E851">
        <v>2013</v>
      </c>
    </row>
    <row r="852" spans="1:34" x14ac:dyDescent="0.25">
      <c r="A852" t="s">
        <v>22</v>
      </c>
      <c r="B852" t="s">
        <v>26</v>
      </c>
      <c r="C852" t="s">
        <v>20</v>
      </c>
      <c r="D852" t="s">
        <v>15</v>
      </c>
      <c r="E852">
        <v>2013</v>
      </c>
    </row>
    <row r="853" spans="1:34" x14ac:dyDescent="0.25">
      <c r="A853" t="s">
        <v>22</v>
      </c>
      <c r="B853" t="s">
        <v>28</v>
      </c>
      <c r="C853" t="s">
        <v>20</v>
      </c>
      <c r="D853" t="s">
        <v>15</v>
      </c>
      <c r="E853">
        <v>2013</v>
      </c>
    </row>
    <row r="854" spans="1:34" x14ac:dyDescent="0.25">
      <c r="A854" t="s">
        <v>22</v>
      </c>
      <c r="B854" t="s">
        <v>29</v>
      </c>
      <c r="C854" t="s">
        <v>20</v>
      </c>
      <c r="D854" t="s">
        <v>15</v>
      </c>
      <c r="E854">
        <v>2013</v>
      </c>
    </row>
    <row r="855" spans="1:34" x14ac:dyDescent="0.25">
      <c r="A855" t="s">
        <v>22</v>
      </c>
      <c r="B855" t="s">
        <v>30</v>
      </c>
      <c r="C855" t="s">
        <v>20</v>
      </c>
      <c r="D855" t="s">
        <v>15</v>
      </c>
      <c r="E855">
        <v>2013</v>
      </c>
    </row>
    <row r="856" spans="1:34" ht="15.75" thickBot="1" x14ac:dyDescent="0.3">
      <c r="A856" s="6"/>
      <c r="B856" s="6"/>
      <c r="C856" s="6"/>
      <c r="D856" s="6"/>
      <c r="E856" s="6"/>
      <c r="F856" s="6"/>
      <c r="G856" s="34"/>
      <c r="H856" s="34"/>
      <c r="I856" s="34"/>
      <c r="J856" s="34"/>
      <c r="K856" s="6"/>
      <c r="L856" s="6"/>
      <c r="M856" s="6"/>
      <c r="N856" s="6"/>
      <c r="O856" s="6"/>
      <c r="P856" s="6"/>
      <c r="Q856" s="6"/>
      <c r="R856" s="6"/>
      <c r="S856" s="6"/>
      <c r="T856" s="6"/>
      <c r="U856" s="6"/>
      <c r="V856" s="6"/>
      <c r="W856" s="6"/>
      <c r="X856" s="6"/>
      <c r="Y856" s="6"/>
      <c r="Z856" s="6"/>
      <c r="AA856" s="6"/>
      <c r="AB856" s="6"/>
      <c r="AC856" s="6"/>
      <c r="AD856" s="6"/>
      <c r="AE856" s="6"/>
      <c r="AF856" s="6"/>
      <c r="AG856" s="6"/>
      <c r="AH856" s="6"/>
    </row>
    <row r="858" spans="1:34" x14ac:dyDescent="0.25">
      <c r="A858" t="s">
        <v>10</v>
      </c>
      <c r="B858" t="s">
        <v>24</v>
      </c>
      <c r="C858" t="s">
        <v>11</v>
      </c>
      <c r="D858" t="s">
        <v>12</v>
      </c>
      <c r="E858">
        <v>2014</v>
      </c>
      <c r="V858">
        <v>38009</v>
      </c>
      <c r="AE858" t="s">
        <v>12</v>
      </c>
      <c r="AF858" t="s">
        <v>31</v>
      </c>
      <c r="AG858">
        <f>1-AG859-AG860</f>
        <v>0.41000000000000009</v>
      </c>
    </row>
    <row r="859" spans="1:34" x14ac:dyDescent="0.25">
      <c r="A859" t="s">
        <v>10</v>
      </c>
      <c r="B859" t="s">
        <v>26</v>
      </c>
      <c r="C859" t="s">
        <v>11</v>
      </c>
      <c r="D859" t="s">
        <v>12</v>
      </c>
      <c r="E859">
        <v>2014</v>
      </c>
      <c r="V859">
        <v>1324</v>
      </c>
      <c r="AF859" t="s">
        <v>19</v>
      </c>
      <c r="AG859">
        <v>0.18</v>
      </c>
    </row>
    <row r="860" spans="1:34" x14ac:dyDescent="0.25">
      <c r="A860" t="s">
        <v>10</v>
      </c>
      <c r="B860" t="s">
        <v>27</v>
      </c>
      <c r="C860" t="s">
        <v>11</v>
      </c>
      <c r="D860" t="s">
        <v>12</v>
      </c>
      <c r="E860">
        <v>2014</v>
      </c>
      <c r="V860">
        <v>2935</v>
      </c>
      <c r="AF860" t="s">
        <v>20</v>
      </c>
      <c r="AG860">
        <v>0.41</v>
      </c>
    </row>
    <row r="861" spans="1:34" x14ac:dyDescent="0.25">
      <c r="A861" t="s">
        <v>10</v>
      </c>
      <c r="B861" t="s">
        <v>28</v>
      </c>
      <c r="C861" t="s">
        <v>11</v>
      </c>
      <c r="D861" t="s">
        <v>12</v>
      </c>
      <c r="E861">
        <v>2014</v>
      </c>
      <c r="V861">
        <v>891</v>
      </c>
      <c r="AE861" t="s">
        <v>15</v>
      </c>
      <c r="AF861" t="s">
        <v>31</v>
      </c>
      <c r="AG861">
        <f>1-AG862-AG863</f>
        <v>0.2</v>
      </c>
    </row>
    <row r="862" spans="1:34" x14ac:dyDescent="0.25">
      <c r="A862" t="s">
        <v>10</v>
      </c>
      <c r="B862" t="s">
        <v>29</v>
      </c>
      <c r="C862" t="s">
        <v>11</v>
      </c>
      <c r="D862" t="s">
        <v>12</v>
      </c>
      <c r="E862">
        <v>2014</v>
      </c>
      <c r="V862">
        <v>223</v>
      </c>
      <c r="AF862" t="s">
        <v>19</v>
      </c>
      <c r="AG862">
        <v>0.35</v>
      </c>
    </row>
    <row r="863" spans="1:34" x14ac:dyDescent="0.25">
      <c r="A863" t="s">
        <v>10</v>
      </c>
      <c r="B863" t="s">
        <v>30</v>
      </c>
      <c r="C863" t="s">
        <v>11</v>
      </c>
      <c r="D863" t="s">
        <v>12</v>
      </c>
      <c r="E863">
        <v>2014</v>
      </c>
      <c r="AF863" t="s">
        <v>20</v>
      </c>
      <c r="AG863">
        <v>0.45</v>
      </c>
    </row>
    <row r="864" spans="1:34" x14ac:dyDescent="0.25">
      <c r="A864" t="s">
        <v>10</v>
      </c>
      <c r="B864" t="s">
        <v>26</v>
      </c>
      <c r="C864" t="s">
        <v>11</v>
      </c>
      <c r="D864" t="s">
        <v>15</v>
      </c>
      <c r="E864">
        <v>2014</v>
      </c>
      <c r="V864">
        <v>1146</v>
      </c>
    </row>
    <row r="865" spans="1:22" x14ac:dyDescent="0.25">
      <c r="A865" t="s">
        <v>10</v>
      </c>
      <c r="B865" t="s">
        <v>28</v>
      </c>
      <c r="C865" t="s">
        <v>11</v>
      </c>
      <c r="D865" t="s">
        <v>15</v>
      </c>
      <c r="E865">
        <v>2014</v>
      </c>
      <c r="V865">
        <v>4181</v>
      </c>
    </row>
    <row r="866" spans="1:22" x14ac:dyDescent="0.25">
      <c r="A866" t="s">
        <v>10</v>
      </c>
      <c r="B866" t="s">
        <v>29</v>
      </c>
      <c r="C866" t="s">
        <v>11</v>
      </c>
      <c r="D866" t="s">
        <v>15</v>
      </c>
      <c r="E866">
        <v>2014</v>
      </c>
      <c r="V866">
        <v>199</v>
      </c>
    </row>
    <row r="867" spans="1:22" x14ac:dyDescent="0.25">
      <c r="A867" t="s">
        <v>10</v>
      </c>
      <c r="B867" t="s">
        <v>30</v>
      </c>
      <c r="C867" t="s">
        <v>11</v>
      </c>
      <c r="D867" t="s">
        <v>15</v>
      </c>
      <c r="E867">
        <v>2014</v>
      </c>
    </row>
    <row r="869" spans="1:22" x14ac:dyDescent="0.25">
      <c r="A869" t="s">
        <v>10</v>
      </c>
      <c r="B869" t="s">
        <v>24</v>
      </c>
      <c r="C869" t="s">
        <v>31</v>
      </c>
      <c r="D869" t="s">
        <v>12</v>
      </c>
      <c r="E869">
        <v>2014</v>
      </c>
      <c r="V869">
        <f>ROUND(V858*$AG$858,0)</f>
        <v>15584</v>
      </c>
    </row>
    <row r="870" spans="1:22" x14ac:dyDescent="0.25">
      <c r="A870" t="s">
        <v>10</v>
      </c>
      <c r="B870" t="s">
        <v>26</v>
      </c>
      <c r="C870" t="s">
        <v>31</v>
      </c>
      <c r="D870" t="s">
        <v>12</v>
      </c>
      <c r="E870">
        <v>2014</v>
      </c>
      <c r="V870">
        <f t="shared" ref="V870:V874" si="40">ROUND(V859*$AG$858,0)</f>
        <v>543</v>
      </c>
    </row>
    <row r="871" spans="1:22" x14ac:dyDescent="0.25">
      <c r="A871" t="s">
        <v>10</v>
      </c>
      <c r="B871" t="s">
        <v>27</v>
      </c>
      <c r="C871" t="s">
        <v>31</v>
      </c>
      <c r="D871" t="s">
        <v>12</v>
      </c>
      <c r="E871">
        <v>2014</v>
      </c>
      <c r="V871">
        <f t="shared" si="40"/>
        <v>1203</v>
      </c>
    </row>
    <row r="872" spans="1:22" x14ac:dyDescent="0.25">
      <c r="A872" t="s">
        <v>10</v>
      </c>
      <c r="B872" t="s">
        <v>28</v>
      </c>
      <c r="C872" t="s">
        <v>31</v>
      </c>
      <c r="D872" t="s">
        <v>12</v>
      </c>
      <c r="E872">
        <v>2014</v>
      </c>
      <c r="V872">
        <f t="shared" si="40"/>
        <v>365</v>
      </c>
    </row>
    <row r="873" spans="1:22" x14ac:dyDescent="0.25">
      <c r="A873" t="s">
        <v>10</v>
      </c>
      <c r="B873" t="s">
        <v>29</v>
      </c>
      <c r="C873" t="s">
        <v>31</v>
      </c>
      <c r="D873" t="s">
        <v>12</v>
      </c>
      <c r="E873">
        <v>2014</v>
      </c>
      <c r="V873">
        <f t="shared" si="40"/>
        <v>91</v>
      </c>
    </row>
    <row r="874" spans="1:22" x14ac:dyDescent="0.25">
      <c r="A874" t="s">
        <v>10</v>
      </c>
      <c r="B874" t="s">
        <v>30</v>
      </c>
      <c r="C874" t="s">
        <v>31</v>
      </c>
      <c r="D874" t="s">
        <v>12</v>
      </c>
      <c r="E874">
        <v>2014</v>
      </c>
      <c r="V874">
        <f t="shared" si="40"/>
        <v>0</v>
      </c>
    </row>
    <row r="875" spans="1:22" x14ac:dyDescent="0.25">
      <c r="A875" t="s">
        <v>10</v>
      </c>
      <c r="B875" t="s">
        <v>26</v>
      </c>
      <c r="C875" t="s">
        <v>31</v>
      </c>
      <c r="D875" t="s">
        <v>15</v>
      </c>
      <c r="E875">
        <v>2014</v>
      </c>
      <c r="V875">
        <f>ROUND(V864*$AG$861,0)</f>
        <v>229</v>
      </c>
    </row>
    <row r="876" spans="1:22" x14ac:dyDescent="0.25">
      <c r="A876" t="s">
        <v>10</v>
      </c>
      <c r="B876" t="s">
        <v>28</v>
      </c>
      <c r="C876" t="s">
        <v>31</v>
      </c>
      <c r="D876" t="s">
        <v>15</v>
      </c>
      <c r="E876">
        <v>2014</v>
      </c>
      <c r="V876">
        <f t="shared" ref="V876:V878" si="41">ROUND(V865*$AG$861,0)</f>
        <v>836</v>
      </c>
    </row>
    <row r="877" spans="1:22" x14ac:dyDescent="0.25">
      <c r="A877" t="s">
        <v>10</v>
      </c>
      <c r="B877" t="s">
        <v>29</v>
      </c>
      <c r="C877" t="s">
        <v>31</v>
      </c>
      <c r="D877" t="s">
        <v>15</v>
      </c>
      <c r="E877">
        <v>2014</v>
      </c>
      <c r="V877">
        <f t="shared" si="41"/>
        <v>40</v>
      </c>
    </row>
    <row r="878" spans="1:22" x14ac:dyDescent="0.25">
      <c r="A878" t="s">
        <v>10</v>
      </c>
      <c r="B878" t="s">
        <v>30</v>
      </c>
      <c r="C878" t="s">
        <v>31</v>
      </c>
      <c r="D878" t="s">
        <v>15</v>
      </c>
      <c r="E878">
        <v>2014</v>
      </c>
      <c r="V878">
        <f t="shared" si="41"/>
        <v>0</v>
      </c>
    </row>
    <row r="880" spans="1:22" x14ac:dyDescent="0.25">
      <c r="A880" t="s">
        <v>10</v>
      </c>
      <c r="B880" t="s">
        <v>24</v>
      </c>
      <c r="C880" t="s">
        <v>19</v>
      </c>
      <c r="D880" t="s">
        <v>12</v>
      </c>
      <c r="E880">
        <v>2014</v>
      </c>
      <c r="V880">
        <f>ROUND(V858*$AG$859,0)</f>
        <v>6842</v>
      </c>
    </row>
    <row r="881" spans="1:22" x14ac:dyDescent="0.25">
      <c r="A881" t="s">
        <v>10</v>
      </c>
      <c r="B881" t="s">
        <v>26</v>
      </c>
      <c r="C881" t="s">
        <v>19</v>
      </c>
      <c r="D881" t="s">
        <v>12</v>
      </c>
      <c r="E881">
        <v>2014</v>
      </c>
      <c r="V881">
        <f t="shared" ref="V881:V885" si="42">ROUND(V859*$AG$859,0)</f>
        <v>238</v>
      </c>
    </row>
    <row r="882" spans="1:22" x14ac:dyDescent="0.25">
      <c r="A882" t="s">
        <v>10</v>
      </c>
      <c r="B882" t="s">
        <v>27</v>
      </c>
      <c r="C882" t="s">
        <v>19</v>
      </c>
      <c r="D882" t="s">
        <v>12</v>
      </c>
      <c r="E882">
        <v>2014</v>
      </c>
      <c r="V882">
        <f t="shared" si="42"/>
        <v>528</v>
      </c>
    </row>
    <row r="883" spans="1:22" x14ac:dyDescent="0.25">
      <c r="A883" t="s">
        <v>10</v>
      </c>
      <c r="B883" t="s">
        <v>28</v>
      </c>
      <c r="C883" t="s">
        <v>19</v>
      </c>
      <c r="D883" t="s">
        <v>12</v>
      </c>
      <c r="E883">
        <v>2014</v>
      </c>
      <c r="V883">
        <f t="shared" si="42"/>
        <v>160</v>
      </c>
    </row>
    <row r="884" spans="1:22" x14ac:dyDescent="0.25">
      <c r="A884" t="s">
        <v>10</v>
      </c>
      <c r="B884" t="s">
        <v>29</v>
      </c>
      <c r="C884" t="s">
        <v>19</v>
      </c>
      <c r="D884" t="s">
        <v>12</v>
      </c>
      <c r="E884">
        <v>2014</v>
      </c>
      <c r="V884">
        <f t="shared" si="42"/>
        <v>40</v>
      </c>
    </row>
    <row r="885" spans="1:22" x14ac:dyDescent="0.25">
      <c r="A885" t="s">
        <v>10</v>
      </c>
      <c r="B885" t="s">
        <v>30</v>
      </c>
      <c r="C885" t="s">
        <v>19</v>
      </c>
      <c r="D885" t="s">
        <v>12</v>
      </c>
      <c r="E885">
        <v>2014</v>
      </c>
      <c r="V885">
        <f t="shared" si="42"/>
        <v>0</v>
      </c>
    </row>
    <row r="886" spans="1:22" x14ac:dyDescent="0.25">
      <c r="A886" t="s">
        <v>10</v>
      </c>
      <c r="B886" t="s">
        <v>26</v>
      </c>
      <c r="C886" t="s">
        <v>19</v>
      </c>
      <c r="D886" t="s">
        <v>15</v>
      </c>
      <c r="E886">
        <v>2014</v>
      </c>
      <c r="V886">
        <f>ROUND(V864*$AG$862,0)</f>
        <v>401</v>
      </c>
    </row>
    <row r="887" spans="1:22" x14ac:dyDescent="0.25">
      <c r="A887" t="s">
        <v>10</v>
      </c>
      <c r="B887" t="s">
        <v>28</v>
      </c>
      <c r="C887" t="s">
        <v>19</v>
      </c>
      <c r="D887" t="s">
        <v>15</v>
      </c>
      <c r="E887">
        <v>2014</v>
      </c>
      <c r="V887">
        <f t="shared" ref="V887:V889" si="43">ROUND(V865*$AG$862,0)</f>
        <v>1463</v>
      </c>
    </row>
    <row r="888" spans="1:22" x14ac:dyDescent="0.25">
      <c r="A888" t="s">
        <v>10</v>
      </c>
      <c r="B888" t="s">
        <v>29</v>
      </c>
      <c r="C888" t="s">
        <v>19</v>
      </c>
      <c r="D888" t="s">
        <v>15</v>
      </c>
      <c r="E888">
        <v>2014</v>
      </c>
      <c r="V888">
        <f t="shared" si="43"/>
        <v>70</v>
      </c>
    </row>
    <row r="889" spans="1:22" x14ac:dyDescent="0.25">
      <c r="A889" t="s">
        <v>10</v>
      </c>
      <c r="B889" t="s">
        <v>30</v>
      </c>
      <c r="C889" t="s">
        <v>19</v>
      </c>
      <c r="D889" t="s">
        <v>15</v>
      </c>
      <c r="E889">
        <v>2014</v>
      </c>
      <c r="V889">
        <f t="shared" si="43"/>
        <v>0</v>
      </c>
    </row>
    <row r="891" spans="1:22" x14ac:dyDescent="0.25">
      <c r="A891" t="s">
        <v>10</v>
      </c>
      <c r="B891" t="s">
        <v>24</v>
      </c>
      <c r="C891" t="s">
        <v>20</v>
      </c>
      <c r="D891" t="s">
        <v>12</v>
      </c>
      <c r="E891">
        <v>2014</v>
      </c>
      <c r="V891">
        <f>ROUND(V858*$AG$860,0)</f>
        <v>15584</v>
      </c>
    </row>
    <row r="892" spans="1:22" x14ac:dyDescent="0.25">
      <c r="A892" t="s">
        <v>10</v>
      </c>
      <c r="B892" t="s">
        <v>26</v>
      </c>
      <c r="C892" t="s">
        <v>20</v>
      </c>
      <c r="D892" t="s">
        <v>12</v>
      </c>
      <c r="E892">
        <v>2014</v>
      </c>
      <c r="V892">
        <f t="shared" ref="V892:V896" si="44">ROUND(V859*$AG$860,0)</f>
        <v>543</v>
      </c>
    </row>
    <row r="893" spans="1:22" x14ac:dyDescent="0.25">
      <c r="A893" t="s">
        <v>10</v>
      </c>
      <c r="B893" t="s">
        <v>27</v>
      </c>
      <c r="C893" t="s">
        <v>20</v>
      </c>
      <c r="D893" t="s">
        <v>12</v>
      </c>
      <c r="E893">
        <v>2014</v>
      </c>
      <c r="V893">
        <f t="shared" si="44"/>
        <v>1203</v>
      </c>
    </row>
    <row r="894" spans="1:22" x14ac:dyDescent="0.25">
      <c r="A894" t="s">
        <v>10</v>
      </c>
      <c r="B894" t="s">
        <v>28</v>
      </c>
      <c r="C894" t="s">
        <v>20</v>
      </c>
      <c r="D894" t="s">
        <v>12</v>
      </c>
      <c r="E894">
        <v>2014</v>
      </c>
      <c r="V894">
        <f t="shared" si="44"/>
        <v>365</v>
      </c>
    </row>
    <row r="895" spans="1:22" x14ac:dyDescent="0.25">
      <c r="A895" t="s">
        <v>10</v>
      </c>
      <c r="B895" t="s">
        <v>29</v>
      </c>
      <c r="C895" t="s">
        <v>20</v>
      </c>
      <c r="D895" t="s">
        <v>12</v>
      </c>
      <c r="E895">
        <v>2014</v>
      </c>
      <c r="V895">
        <f t="shared" si="44"/>
        <v>91</v>
      </c>
    </row>
    <row r="896" spans="1:22" x14ac:dyDescent="0.25">
      <c r="A896" t="s">
        <v>10</v>
      </c>
      <c r="B896" t="s">
        <v>30</v>
      </c>
      <c r="C896" t="s">
        <v>20</v>
      </c>
      <c r="D896" t="s">
        <v>12</v>
      </c>
      <c r="E896">
        <v>2014</v>
      </c>
      <c r="V896">
        <f t="shared" si="44"/>
        <v>0</v>
      </c>
    </row>
    <row r="897" spans="1:33" x14ac:dyDescent="0.25">
      <c r="A897" t="s">
        <v>10</v>
      </c>
      <c r="B897" t="s">
        <v>26</v>
      </c>
      <c r="C897" t="s">
        <v>20</v>
      </c>
      <c r="D897" t="s">
        <v>15</v>
      </c>
      <c r="E897">
        <v>2014</v>
      </c>
      <c r="V897">
        <f>ROUND(V864*$AG$863,0)</f>
        <v>516</v>
      </c>
    </row>
    <row r="898" spans="1:33" x14ac:dyDescent="0.25">
      <c r="A898" t="s">
        <v>10</v>
      </c>
      <c r="B898" t="s">
        <v>28</v>
      </c>
      <c r="C898" t="s">
        <v>20</v>
      </c>
      <c r="D898" t="s">
        <v>15</v>
      </c>
      <c r="E898">
        <v>2014</v>
      </c>
      <c r="V898">
        <f>ROUND(V865*$AG$863,0)</f>
        <v>1881</v>
      </c>
    </row>
    <row r="899" spans="1:33" x14ac:dyDescent="0.25">
      <c r="A899" t="s">
        <v>10</v>
      </c>
      <c r="B899" t="s">
        <v>29</v>
      </c>
      <c r="C899" t="s">
        <v>20</v>
      </c>
      <c r="D899" t="s">
        <v>15</v>
      </c>
      <c r="E899">
        <v>2014</v>
      </c>
      <c r="V899">
        <f t="shared" ref="V899:V900" si="45">ROUND(V866*$AG$863,0)</f>
        <v>90</v>
      </c>
    </row>
    <row r="900" spans="1:33" x14ac:dyDescent="0.25">
      <c r="A900" t="s">
        <v>10</v>
      </c>
      <c r="B900" t="s">
        <v>30</v>
      </c>
      <c r="C900" t="s">
        <v>20</v>
      </c>
      <c r="D900" t="s">
        <v>15</v>
      </c>
      <c r="E900">
        <v>2014</v>
      </c>
      <c r="V900">
        <f t="shared" si="45"/>
        <v>0</v>
      </c>
    </row>
    <row r="904" spans="1:33" x14ac:dyDescent="0.25">
      <c r="A904" t="s">
        <v>21</v>
      </c>
      <c r="B904" t="s">
        <v>24</v>
      </c>
      <c r="C904" t="s">
        <v>11</v>
      </c>
      <c r="D904" t="s">
        <v>12</v>
      </c>
      <c r="E904">
        <v>2013</v>
      </c>
      <c r="V904">
        <v>1511</v>
      </c>
      <c r="AE904" t="s">
        <v>12</v>
      </c>
      <c r="AF904" t="s">
        <v>31</v>
      </c>
      <c r="AG904">
        <f>1-AG905-AG906</f>
        <v>0.32</v>
      </c>
    </row>
    <row r="905" spans="1:33" x14ac:dyDescent="0.25">
      <c r="A905" t="s">
        <v>21</v>
      </c>
      <c r="B905" t="s">
        <v>26</v>
      </c>
      <c r="C905" t="s">
        <v>11</v>
      </c>
      <c r="D905" t="s">
        <v>12</v>
      </c>
      <c r="E905">
        <v>2013</v>
      </c>
      <c r="V905">
        <v>41</v>
      </c>
      <c r="AF905" t="s">
        <v>19</v>
      </c>
      <c r="AG905">
        <v>0.22</v>
      </c>
    </row>
    <row r="906" spans="1:33" x14ac:dyDescent="0.25">
      <c r="A906" t="s">
        <v>21</v>
      </c>
      <c r="B906" t="s">
        <v>27</v>
      </c>
      <c r="C906" t="s">
        <v>11</v>
      </c>
      <c r="D906" t="s">
        <v>12</v>
      </c>
      <c r="E906">
        <v>2013</v>
      </c>
      <c r="V906">
        <v>43</v>
      </c>
      <c r="AF906" t="s">
        <v>20</v>
      </c>
      <c r="AG906">
        <v>0.46</v>
      </c>
    </row>
    <row r="907" spans="1:33" x14ac:dyDescent="0.25">
      <c r="A907" t="s">
        <v>21</v>
      </c>
      <c r="B907" t="s">
        <v>28</v>
      </c>
      <c r="C907" t="s">
        <v>11</v>
      </c>
      <c r="D907" t="s">
        <v>12</v>
      </c>
      <c r="E907">
        <v>2013</v>
      </c>
      <c r="V907">
        <v>12</v>
      </c>
      <c r="AE907" t="s">
        <v>15</v>
      </c>
      <c r="AF907" t="s">
        <v>31</v>
      </c>
      <c r="AG907">
        <f>1-AG908-AG909</f>
        <v>0.22999999999999998</v>
      </c>
    </row>
    <row r="908" spans="1:33" x14ac:dyDescent="0.25">
      <c r="A908" t="s">
        <v>21</v>
      </c>
      <c r="B908" t="s">
        <v>29</v>
      </c>
      <c r="C908" t="s">
        <v>11</v>
      </c>
      <c r="D908" t="s">
        <v>12</v>
      </c>
      <c r="E908">
        <v>2013</v>
      </c>
      <c r="V908">
        <v>2</v>
      </c>
      <c r="AF908" t="s">
        <v>19</v>
      </c>
      <c r="AG908">
        <v>0.4</v>
      </c>
    </row>
    <row r="909" spans="1:33" x14ac:dyDescent="0.25">
      <c r="A909" t="s">
        <v>21</v>
      </c>
      <c r="B909" t="s">
        <v>30</v>
      </c>
      <c r="C909" t="s">
        <v>11</v>
      </c>
      <c r="D909" t="s">
        <v>12</v>
      </c>
      <c r="E909">
        <v>2013</v>
      </c>
      <c r="AF909" t="s">
        <v>20</v>
      </c>
      <c r="AG909">
        <v>0.37</v>
      </c>
    </row>
    <row r="910" spans="1:33" x14ac:dyDescent="0.25">
      <c r="A910" t="s">
        <v>21</v>
      </c>
      <c r="B910" t="s">
        <v>26</v>
      </c>
      <c r="C910" t="s">
        <v>11</v>
      </c>
      <c r="D910" t="s">
        <v>15</v>
      </c>
      <c r="E910">
        <v>2013</v>
      </c>
      <c r="V910">
        <v>41</v>
      </c>
    </row>
    <row r="911" spans="1:33" x14ac:dyDescent="0.25">
      <c r="A911" t="s">
        <v>21</v>
      </c>
      <c r="B911" t="s">
        <v>28</v>
      </c>
      <c r="C911" t="s">
        <v>11</v>
      </c>
      <c r="D911" t="s">
        <v>15</v>
      </c>
      <c r="E911">
        <v>2013</v>
      </c>
      <c r="V911">
        <v>168</v>
      </c>
    </row>
    <row r="912" spans="1:33" x14ac:dyDescent="0.25">
      <c r="A912" t="s">
        <v>21</v>
      </c>
      <c r="B912" t="s">
        <v>29</v>
      </c>
      <c r="C912" t="s">
        <v>11</v>
      </c>
      <c r="D912" t="s">
        <v>15</v>
      </c>
      <c r="E912">
        <v>2013</v>
      </c>
      <c r="V912">
        <v>2</v>
      </c>
    </row>
    <row r="913" spans="1:22" x14ac:dyDescent="0.25">
      <c r="A913" t="s">
        <v>21</v>
      </c>
      <c r="B913" t="s">
        <v>30</v>
      </c>
      <c r="C913" t="s">
        <v>11</v>
      </c>
      <c r="D913" t="s">
        <v>15</v>
      </c>
      <c r="E913">
        <v>2013</v>
      </c>
    </row>
    <row r="915" spans="1:22" x14ac:dyDescent="0.25">
      <c r="A915" t="s">
        <v>21</v>
      </c>
      <c r="B915" t="s">
        <v>24</v>
      </c>
      <c r="C915" t="s">
        <v>31</v>
      </c>
      <c r="D915" t="s">
        <v>12</v>
      </c>
      <c r="E915">
        <v>2013</v>
      </c>
      <c r="V915">
        <f>ROUND(V904*$AG$904,0)</f>
        <v>484</v>
      </c>
    </row>
    <row r="916" spans="1:22" x14ac:dyDescent="0.25">
      <c r="A916" t="s">
        <v>21</v>
      </c>
      <c r="B916" t="s">
        <v>26</v>
      </c>
      <c r="C916" t="s">
        <v>31</v>
      </c>
      <c r="D916" t="s">
        <v>12</v>
      </c>
      <c r="E916">
        <v>2013</v>
      </c>
      <c r="V916">
        <f t="shared" ref="V916:V920" si="46">ROUND(V905*$AG$904,0)</f>
        <v>13</v>
      </c>
    </row>
    <row r="917" spans="1:22" x14ac:dyDescent="0.25">
      <c r="A917" t="s">
        <v>21</v>
      </c>
      <c r="B917" t="s">
        <v>27</v>
      </c>
      <c r="C917" t="s">
        <v>31</v>
      </c>
      <c r="D917" t="s">
        <v>12</v>
      </c>
      <c r="E917">
        <v>2013</v>
      </c>
      <c r="V917">
        <f t="shared" si="46"/>
        <v>14</v>
      </c>
    </row>
    <row r="918" spans="1:22" x14ac:dyDescent="0.25">
      <c r="A918" t="s">
        <v>21</v>
      </c>
      <c r="B918" t="s">
        <v>28</v>
      </c>
      <c r="C918" t="s">
        <v>31</v>
      </c>
      <c r="D918" t="s">
        <v>12</v>
      </c>
      <c r="E918">
        <v>2013</v>
      </c>
      <c r="V918">
        <f t="shared" si="46"/>
        <v>4</v>
      </c>
    </row>
    <row r="919" spans="1:22" x14ac:dyDescent="0.25">
      <c r="A919" t="s">
        <v>21</v>
      </c>
      <c r="B919" t="s">
        <v>29</v>
      </c>
      <c r="C919" t="s">
        <v>31</v>
      </c>
      <c r="D919" t="s">
        <v>12</v>
      </c>
      <c r="E919">
        <v>2013</v>
      </c>
      <c r="V919">
        <f t="shared" si="46"/>
        <v>1</v>
      </c>
    </row>
    <row r="920" spans="1:22" x14ac:dyDescent="0.25">
      <c r="A920" t="s">
        <v>21</v>
      </c>
      <c r="B920" t="s">
        <v>30</v>
      </c>
      <c r="C920" t="s">
        <v>31</v>
      </c>
      <c r="D920" t="s">
        <v>12</v>
      </c>
      <c r="E920">
        <v>2013</v>
      </c>
      <c r="V920">
        <f t="shared" si="46"/>
        <v>0</v>
      </c>
    </row>
    <row r="921" spans="1:22" x14ac:dyDescent="0.25">
      <c r="A921" t="s">
        <v>21</v>
      </c>
      <c r="B921" t="s">
        <v>26</v>
      </c>
      <c r="C921" t="s">
        <v>31</v>
      </c>
      <c r="D921" t="s">
        <v>15</v>
      </c>
      <c r="E921">
        <v>2013</v>
      </c>
      <c r="V921">
        <f>ROUND(V910*$AG$907,0)</f>
        <v>9</v>
      </c>
    </row>
    <row r="922" spans="1:22" x14ac:dyDescent="0.25">
      <c r="A922" t="s">
        <v>21</v>
      </c>
      <c r="B922" t="s">
        <v>28</v>
      </c>
      <c r="C922" t="s">
        <v>31</v>
      </c>
      <c r="D922" t="s">
        <v>15</v>
      </c>
      <c r="E922">
        <v>2013</v>
      </c>
      <c r="V922">
        <f t="shared" ref="V922:V924" si="47">ROUND(V911*$AG$907,0)</f>
        <v>39</v>
      </c>
    </row>
    <row r="923" spans="1:22" x14ac:dyDescent="0.25">
      <c r="A923" t="s">
        <v>21</v>
      </c>
      <c r="B923" t="s">
        <v>29</v>
      </c>
      <c r="C923" t="s">
        <v>31</v>
      </c>
      <c r="D923" t="s">
        <v>15</v>
      </c>
      <c r="E923">
        <v>2013</v>
      </c>
      <c r="V923">
        <f t="shared" si="47"/>
        <v>0</v>
      </c>
    </row>
    <row r="924" spans="1:22" x14ac:dyDescent="0.25">
      <c r="A924" t="s">
        <v>21</v>
      </c>
      <c r="B924" t="s">
        <v>30</v>
      </c>
      <c r="C924" t="s">
        <v>31</v>
      </c>
      <c r="D924" t="s">
        <v>15</v>
      </c>
      <c r="E924">
        <v>2013</v>
      </c>
      <c r="V924">
        <f t="shared" si="47"/>
        <v>0</v>
      </c>
    </row>
    <row r="926" spans="1:22" x14ac:dyDescent="0.25">
      <c r="A926" t="s">
        <v>21</v>
      </c>
      <c r="B926" t="s">
        <v>24</v>
      </c>
      <c r="C926" t="s">
        <v>19</v>
      </c>
      <c r="D926" t="s">
        <v>12</v>
      </c>
      <c r="E926">
        <v>2013</v>
      </c>
      <c r="V926">
        <f>ROUND(V904*$AG$905,0)</f>
        <v>332</v>
      </c>
    </row>
    <row r="927" spans="1:22" x14ac:dyDescent="0.25">
      <c r="A927" t="s">
        <v>21</v>
      </c>
      <c r="B927" t="s">
        <v>26</v>
      </c>
      <c r="C927" t="s">
        <v>19</v>
      </c>
      <c r="D927" t="s">
        <v>12</v>
      </c>
      <c r="E927">
        <v>2013</v>
      </c>
      <c r="V927">
        <f t="shared" ref="V927:V931" si="48">ROUND(V905*$AG$905,0)</f>
        <v>9</v>
      </c>
    </row>
    <row r="928" spans="1:22" x14ac:dyDescent="0.25">
      <c r="A928" t="s">
        <v>21</v>
      </c>
      <c r="B928" t="s">
        <v>27</v>
      </c>
      <c r="C928" t="s">
        <v>19</v>
      </c>
      <c r="D928" t="s">
        <v>12</v>
      </c>
      <c r="E928">
        <v>2013</v>
      </c>
      <c r="V928">
        <f t="shared" si="48"/>
        <v>9</v>
      </c>
    </row>
    <row r="929" spans="1:22" x14ac:dyDescent="0.25">
      <c r="A929" t="s">
        <v>21</v>
      </c>
      <c r="B929" t="s">
        <v>28</v>
      </c>
      <c r="C929" t="s">
        <v>19</v>
      </c>
      <c r="D929" t="s">
        <v>12</v>
      </c>
      <c r="E929">
        <v>2013</v>
      </c>
      <c r="V929">
        <f t="shared" si="48"/>
        <v>3</v>
      </c>
    </row>
    <row r="930" spans="1:22" x14ac:dyDescent="0.25">
      <c r="A930" t="s">
        <v>21</v>
      </c>
      <c r="B930" t="s">
        <v>29</v>
      </c>
      <c r="C930" t="s">
        <v>19</v>
      </c>
      <c r="D930" t="s">
        <v>12</v>
      </c>
      <c r="E930">
        <v>2013</v>
      </c>
      <c r="V930">
        <f t="shared" si="48"/>
        <v>0</v>
      </c>
    </row>
    <row r="931" spans="1:22" x14ac:dyDescent="0.25">
      <c r="A931" t="s">
        <v>21</v>
      </c>
      <c r="B931" t="s">
        <v>30</v>
      </c>
      <c r="C931" t="s">
        <v>19</v>
      </c>
      <c r="D931" t="s">
        <v>12</v>
      </c>
      <c r="E931">
        <v>2013</v>
      </c>
      <c r="V931">
        <f t="shared" si="48"/>
        <v>0</v>
      </c>
    </row>
    <row r="932" spans="1:22" x14ac:dyDescent="0.25">
      <c r="A932" t="s">
        <v>21</v>
      </c>
      <c r="B932" t="s">
        <v>26</v>
      </c>
      <c r="C932" t="s">
        <v>19</v>
      </c>
      <c r="D932" t="s">
        <v>15</v>
      </c>
      <c r="E932">
        <v>2013</v>
      </c>
      <c r="V932">
        <f>ROUND(V910*$AG$908,0)</f>
        <v>16</v>
      </c>
    </row>
    <row r="933" spans="1:22" x14ac:dyDescent="0.25">
      <c r="A933" t="s">
        <v>21</v>
      </c>
      <c r="B933" t="s">
        <v>28</v>
      </c>
      <c r="C933" t="s">
        <v>19</v>
      </c>
      <c r="D933" t="s">
        <v>15</v>
      </c>
      <c r="E933">
        <v>2013</v>
      </c>
      <c r="V933">
        <f t="shared" ref="V933:V935" si="49">ROUND(V911*$AG$908,0)</f>
        <v>67</v>
      </c>
    </row>
    <row r="934" spans="1:22" x14ac:dyDescent="0.25">
      <c r="A934" t="s">
        <v>21</v>
      </c>
      <c r="B934" t="s">
        <v>29</v>
      </c>
      <c r="C934" t="s">
        <v>19</v>
      </c>
      <c r="D934" t="s">
        <v>15</v>
      </c>
      <c r="E934">
        <v>2013</v>
      </c>
      <c r="V934">
        <f t="shared" si="49"/>
        <v>1</v>
      </c>
    </row>
    <row r="935" spans="1:22" x14ac:dyDescent="0.25">
      <c r="A935" t="s">
        <v>21</v>
      </c>
      <c r="B935" t="s">
        <v>30</v>
      </c>
      <c r="C935" t="s">
        <v>19</v>
      </c>
      <c r="D935" t="s">
        <v>15</v>
      </c>
      <c r="E935">
        <v>2013</v>
      </c>
      <c r="V935">
        <f t="shared" si="49"/>
        <v>0</v>
      </c>
    </row>
    <row r="937" spans="1:22" x14ac:dyDescent="0.25">
      <c r="A937" t="s">
        <v>21</v>
      </c>
      <c r="B937" t="s">
        <v>24</v>
      </c>
      <c r="C937" t="s">
        <v>20</v>
      </c>
      <c r="D937" t="s">
        <v>12</v>
      </c>
      <c r="E937">
        <v>2013</v>
      </c>
      <c r="V937">
        <f>ROUND(V904*$AG$906,0)</f>
        <v>695</v>
      </c>
    </row>
    <row r="938" spans="1:22" x14ac:dyDescent="0.25">
      <c r="A938" t="s">
        <v>21</v>
      </c>
      <c r="B938" t="s">
        <v>26</v>
      </c>
      <c r="C938" t="s">
        <v>20</v>
      </c>
      <c r="D938" t="s">
        <v>12</v>
      </c>
      <c r="E938">
        <v>2013</v>
      </c>
      <c r="V938">
        <f t="shared" ref="V938:V942" si="50">ROUND(V905*$AG$906,0)</f>
        <v>19</v>
      </c>
    </row>
    <row r="939" spans="1:22" x14ac:dyDescent="0.25">
      <c r="A939" t="s">
        <v>21</v>
      </c>
      <c r="B939" t="s">
        <v>27</v>
      </c>
      <c r="C939" t="s">
        <v>20</v>
      </c>
      <c r="D939" t="s">
        <v>12</v>
      </c>
      <c r="E939">
        <v>2013</v>
      </c>
      <c r="V939">
        <f t="shared" si="50"/>
        <v>20</v>
      </c>
    </row>
    <row r="940" spans="1:22" x14ac:dyDescent="0.25">
      <c r="A940" t="s">
        <v>21</v>
      </c>
      <c r="B940" t="s">
        <v>28</v>
      </c>
      <c r="C940" t="s">
        <v>20</v>
      </c>
      <c r="D940" t="s">
        <v>12</v>
      </c>
      <c r="E940">
        <v>2013</v>
      </c>
      <c r="V940">
        <f t="shared" si="50"/>
        <v>6</v>
      </c>
    </row>
    <row r="941" spans="1:22" x14ac:dyDescent="0.25">
      <c r="A941" t="s">
        <v>21</v>
      </c>
      <c r="B941" t="s">
        <v>29</v>
      </c>
      <c r="C941" t="s">
        <v>20</v>
      </c>
      <c r="D941" t="s">
        <v>12</v>
      </c>
      <c r="E941">
        <v>2013</v>
      </c>
      <c r="V941">
        <f t="shared" si="50"/>
        <v>1</v>
      </c>
    </row>
    <row r="942" spans="1:22" x14ac:dyDescent="0.25">
      <c r="A942" t="s">
        <v>21</v>
      </c>
      <c r="B942" t="s">
        <v>30</v>
      </c>
      <c r="C942" t="s">
        <v>20</v>
      </c>
      <c r="D942" t="s">
        <v>12</v>
      </c>
      <c r="E942">
        <v>2013</v>
      </c>
      <c r="V942">
        <f t="shared" si="50"/>
        <v>0</v>
      </c>
    </row>
    <row r="943" spans="1:22" x14ac:dyDescent="0.25">
      <c r="A943" t="s">
        <v>21</v>
      </c>
      <c r="B943" t="s">
        <v>26</v>
      </c>
      <c r="C943" t="s">
        <v>20</v>
      </c>
      <c r="D943" t="s">
        <v>15</v>
      </c>
      <c r="E943">
        <v>2013</v>
      </c>
      <c r="V943">
        <f>ROUND(V910*$AG$909,0)</f>
        <v>15</v>
      </c>
    </row>
    <row r="944" spans="1:22" x14ac:dyDescent="0.25">
      <c r="A944" t="s">
        <v>21</v>
      </c>
      <c r="B944" t="s">
        <v>28</v>
      </c>
      <c r="C944" t="s">
        <v>20</v>
      </c>
      <c r="D944" t="s">
        <v>15</v>
      </c>
      <c r="E944">
        <v>2013</v>
      </c>
      <c r="V944">
        <f t="shared" ref="V944:V946" si="51">ROUND(V911*$AG$909,0)</f>
        <v>62</v>
      </c>
    </row>
    <row r="945" spans="1:33" x14ac:dyDescent="0.25">
      <c r="A945" t="s">
        <v>21</v>
      </c>
      <c r="B945" t="s">
        <v>29</v>
      </c>
      <c r="C945" t="s">
        <v>20</v>
      </c>
      <c r="D945" t="s">
        <v>15</v>
      </c>
      <c r="E945">
        <v>2013</v>
      </c>
      <c r="V945">
        <f t="shared" si="51"/>
        <v>1</v>
      </c>
    </row>
    <row r="946" spans="1:33" x14ac:dyDescent="0.25">
      <c r="A946" t="s">
        <v>21</v>
      </c>
      <c r="B946" t="s">
        <v>30</v>
      </c>
      <c r="C946" t="s">
        <v>20</v>
      </c>
      <c r="D946" t="s">
        <v>15</v>
      </c>
      <c r="E946">
        <v>2013</v>
      </c>
      <c r="V946">
        <f t="shared" si="51"/>
        <v>0</v>
      </c>
    </row>
    <row r="949" spans="1:33" x14ac:dyDescent="0.25">
      <c r="A949" t="s">
        <v>22</v>
      </c>
      <c r="B949" t="s">
        <v>24</v>
      </c>
      <c r="C949" t="s">
        <v>11</v>
      </c>
      <c r="D949" t="s">
        <v>12</v>
      </c>
      <c r="E949">
        <v>2013</v>
      </c>
      <c r="V949">
        <v>328</v>
      </c>
      <c r="AE949" t="s">
        <v>12</v>
      </c>
      <c r="AF949" t="s">
        <v>31</v>
      </c>
      <c r="AG949">
        <f>1-AG950-AG951</f>
        <v>0.41</v>
      </c>
    </row>
    <row r="950" spans="1:33" x14ac:dyDescent="0.25">
      <c r="A950" t="s">
        <v>22</v>
      </c>
      <c r="B950" t="s">
        <v>26</v>
      </c>
      <c r="C950" t="s">
        <v>11</v>
      </c>
      <c r="D950" t="s">
        <v>12</v>
      </c>
      <c r="E950">
        <v>2013</v>
      </c>
      <c r="V950">
        <v>35</v>
      </c>
      <c r="AF950" t="s">
        <v>19</v>
      </c>
      <c r="AG950">
        <v>0.25</v>
      </c>
    </row>
    <row r="951" spans="1:33" x14ac:dyDescent="0.25">
      <c r="A951" t="s">
        <v>22</v>
      </c>
      <c r="B951" t="s">
        <v>27</v>
      </c>
      <c r="C951" t="s">
        <v>11</v>
      </c>
      <c r="D951" t="s">
        <v>12</v>
      </c>
      <c r="E951">
        <v>2013</v>
      </c>
      <c r="V951">
        <v>57</v>
      </c>
      <c r="AF951" t="s">
        <v>20</v>
      </c>
      <c r="AG951">
        <v>0.34</v>
      </c>
    </row>
    <row r="952" spans="1:33" x14ac:dyDescent="0.25">
      <c r="A952" t="s">
        <v>22</v>
      </c>
      <c r="B952" t="s">
        <v>28</v>
      </c>
      <c r="C952" t="s">
        <v>11</v>
      </c>
      <c r="D952" t="s">
        <v>12</v>
      </c>
      <c r="E952">
        <v>2013</v>
      </c>
      <c r="V952">
        <v>7</v>
      </c>
      <c r="AE952" t="s">
        <v>15</v>
      </c>
      <c r="AF952" t="s">
        <v>31</v>
      </c>
      <c r="AG952">
        <f>1-AG953-AG954</f>
        <v>0.27</v>
      </c>
    </row>
    <row r="953" spans="1:33" x14ac:dyDescent="0.25">
      <c r="A953" t="s">
        <v>22</v>
      </c>
      <c r="B953" t="s">
        <v>29</v>
      </c>
      <c r="C953" t="s">
        <v>11</v>
      </c>
      <c r="D953" t="s">
        <v>12</v>
      </c>
      <c r="E953">
        <v>2013</v>
      </c>
      <c r="V953">
        <v>4</v>
      </c>
      <c r="AF953" t="s">
        <v>19</v>
      </c>
      <c r="AG953">
        <v>0.47</v>
      </c>
    </row>
    <row r="954" spans="1:33" x14ac:dyDescent="0.25">
      <c r="A954" t="s">
        <v>22</v>
      </c>
      <c r="B954" t="s">
        <v>30</v>
      </c>
      <c r="C954" t="s">
        <v>11</v>
      </c>
      <c r="D954" t="s">
        <v>12</v>
      </c>
      <c r="E954">
        <v>2013</v>
      </c>
      <c r="AF954" t="s">
        <v>20</v>
      </c>
      <c r="AG954">
        <v>0.26</v>
      </c>
    </row>
    <row r="955" spans="1:33" x14ac:dyDescent="0.25">
      <c r="A955" t="s">
        <v>22</v>
      </c>
      <c r="B955" t="s">
        <v>26</v>
      </c>
      <c r="C955" t="s">
        <v>11</v>
      </c>
      <c r="D955" t="s">
        <v>15</v>
      </c>
      <c r="E955">
        <v>2013</v>
      </c>
      <c r="V955">
        <v>26</v>
      </c>
    </row>
    <row r="956" spans="1:33" x14ac:dyDescent="0.25">
      <c r="A956" t="s">
        <v>22</v>
      </c>
      <c r="B956" t="s">
        <v>28</v>
      </c>
      <c r="C956" t="s">
        <v>11</v>
      </c>
      <c r="D956" t="s">
        <v>15</v>
      </c>
      <c r="E956">
        <v>2013</v>
      </c>
      <c r="V956">
        <v>32</v>
      </c>
    </row>
    <row r="957" spans="1:33" x14ac:dyDescent="0.25">
      <c r="A957" t="s">
        <v>22</v>
      </c>
      <c r="B957" t="s">
        <v>29</v>
      </c>
      <c r="C957" t="s">
        <v>11</v>
      </c>
      <c r="D957" t="s">
        <v>15</v>
      </c>
      <c r="E957">
        <v>2013</v>
      </c>
      <c r="V957">
        <v>0</v>
      </c>
    </row>
    <row r="958" spans="1:33" x14ac:dyDescent="0.25">
      <c r="A958" t="s">
        <v>22</v>
      </c>
      <c r="B958" t="s">
        <v>30</v>
      </c>
      <c r="C958" t="s">
        <v>11</v>
      </c>
      <c r="D958" t="s">
        <v>15</v>
      </c>
      <c r="E958">
        <v>2013</v>
      </c>
    </row>
    <row r="960" spans="1:33" x14ac:dyDescent="0.25">
      <c r="A960" t="s">
        <v>22</v>
      </c>
      <c r="B960" t="s">
        <v>24</v>
      </c>
      <c r="C960" t="s">
        <v>31</v>
      </c>
      <c r="D960" t="s">
        <v>12</v>
      </c>
      <c r="E960">
        <v>2013</v>
      </c>
      <c r="V960">
        <f>ROUND(V949*$AG$949,0)</f>
        <v>134</v>
      </c>
    </row>
    <row r="961" spans="1:22" x14ac:dyDescent="0.25">
      <c r="A961" t="s">
        <v>22</v>
      </c>
      <c r="B961" t="s">
        <v>26</v>
      </c>
      <c r="C961" t="s">
        <v>31</v>
      </c>
      <c r="D961" t="s">
        <v>12</v>
      </c>
      <c r="E961">
        <v>2013</v>
      </c>
      <c r="V961">
        <f t="shared" ref="V961:V965" si="52">ROUND(V950*$AG$949,0)</f>
        <v>14</v>
      </c>
    </row>
    <row r="962" spans="1:22" x14ac:dyDescent="0.25">
      <c r="A962" t="s">
        <v>22</v>
      </c>
      <c r="B962" t="s">
        <v>27</v>
      </c>
      <c r="C962" t="s">
        <v>31</v>
      </c>
      <c r="D962" t="s">
        <v>12</v>
      </c>
      <c r="E962">
        <v>2013</v>
      </c>
      <c r="V962">
        <f t="shared" si="52"/>
        <v>23</v>
      </c>
    </row>
    <row r="963" spans="1:22" x14ac:dyDescent="0.25">
      <c r="A963" t="s">
        <v>22</v>
      </c>
      <c r="B963" t="s">
        <v>28</v>
      </c>
      <c r="C963" t="s">
        <v>31</v>
      </c>
      <c r="D963" t="s">
        <v>12</v>
      </c>
      <c r="E963">
        <v>2013</v>
      </c>
      <c r="V963">
        <f t="shared" si="52"/>
        <v>3</v>
      </c>
    </row>
    <row r="964" spans="1:22" x14ac:dyDescent="0.25">
      <c r="A964" t="s">
        <v>22</v>
      </c>
      <c r="B964" t="s">
        <v>29</v>
      </c>
      <c r="C964" t="s">
        <v>31</v>
      </c>
      <c r="D964" t="s">
        <v>12</v>
      </c>
      <c r="E964">
        <v>2013</v>
      </c>
      <c r="V964">
        <f t="shared" si="52"/>
        <v>2</v>
      </c>
    </row>
    <row r="965" spans="1:22" x14ac:dyDescent="0.25">
      <c r="A965" t="s">
        <v>22</v>
      </c>
      <c r="B965" t="s">
        <v>30</v>
      </c>
      <c r="C965" t="s">
        <v>31</v>
      </c>
      <c r="D965" t="s">
        <v>12</v>
      </c>
      <c r="E965">
        <v>2013</v>
      </c>
      <c r="V965">
        <f t="shared" si="52"/>
        <v>0</v>
      </c>
    </row>
    <row r="966" spans="1:22" x14ac:dyDescent="0.25">
      <c r="A966" t="s">
        <v>22</v>
      </c>
      <c r="B966" t="s">
        <v>26</v>
      </c>
      <c r="C966" t="s">
        <v>31</v>
      </c>
      <c r="D966" t="s">
        <v>15</v>
      </c>
      <c r="E966">
        <v>2013</v>
      </c>
      <c r="V966">
        <f>ROUND(V955*$AG$952,0)</f>
        <v>7</v>
      </c>
    </row>
    <row r="967" spans="1:22" x14ac:dyDescent="0.25">
      <c r="A967" t="s">
        <v>22</v>
      </c>
      <c r="B967" t="s">
        <v>28</v>
      </c>
      <c r="C967" t="s">
        <v>31</v>
      </c>
      <c r="D967" t="s">
        <v>15</v>
      </c>
      <c r="E967">
        <v>2013</v>
      </c>
      <c r="V967">
        <f t="shared" ref="V967:V969" si="53">ROUND(V956*$AG$952,0)</f>
        <v>9</v>
      </c>
    </row>
    <row r="968" spans="1:22" x14ac:dyDescent="0.25">
      <c r="A968" t="s">
        <v>22</v>
      </c>
      <c r="B968" t="s">
        <v>29</v>
      </c>
      <c r="C968" t="s">
        <v>31</v>
      </c>
      <c r="D968" t="s">
        <v>15</v>
      </c>
      <c r="E968">
        <v>2013</v>
      </c>
      <c r="V968">
        <f t="shared" si="53"/>
        <v>0</v>
      </c>
    </row>
    <row r="969" spans="1:22" x14ac:dyDescent="0.25">
      <c r="A969" t="s">
        <v>22</v>
      </c>
      <c r="B969" t="s">
        <v>30</v>
      </c>
      <c r="C969" t="s">
        <v>31</v>
      </c>
      <c r="D969" t="s">
        <v>15</v>
      </c>
      <c r="E969">
        <v>2013</v>
      </c>
      <c r="V969">
        <f t="shared" si="53"/>
        <v>0</v>
      </c>
    </row>
    <row r="971" spans="1:22" x14ac:dyDescent="0.25">
      <c r="A971" t="s">
        <v>22</v>
      </c>
      <c r="B971" t="s">
        <v>24</v>
      </c>
      <c r="C971" t="s">
        <v>19</v>
      </c>
      <c r="D971" t="s">
        <v>12</v>
      </c>
      <c r="E971">
        <v>2013</v>
      </c>
      <c r="V971">
        <f>ROUND(V949*$AG$950,0)</f>
        <v>82</v>
      </c>
    </row>
    <row r="972" spans="1:22" x14ac:dyDescent="0.25">
      <c r="A972" t="s">
        <v>22</v>
      </c>
      <c r="B972" t="s">
        <v>26</v>
      </c>
      <c r="C972" t="s">
        <v>19</v>
      </c>
      <c r="D972" t="s">
        <v>12</v>
      </c>
      <c r="E972">
        <v>2013</v>
      </c>
      <c r="V972">
        <f t="shared" ref="V972:V976" si="54">ROUND(V950*$AG$950,0)</f>
        <v>9</v>
      </c>
    </row>
    <row r="973" spans="1:22" x14ac:dyDescent="0.25">
      <c r="A973" t="s">
        <v>22</v>
      </c>
      <c r="B973" t="s">
        <v>27</v>
      </c>
      <c r="C973" t="s">
        <v>19</v>
      </c>
      <c r="D973" t="s">
        <v>12</v>
      </c>
      <c r="E973">
        <v>2013</v>
      </c>
      <c r="V973">
        <f t="shared" si="54"/>
        <v>14</v>
      </c>
    </row>
    <row r="974" spans="1:22" x14ac:dyDescent="0.25">
      <c r="A974" t="s">
        <v>22</v>
      </c>
      <c r="B974" t="s">
        <v>28</v>
      </c>
      <c r="C974" t="s">
        <v>19</v>
      </c>
      <c r="D974" t="s">
        <v>12</v>
      </c>
      <c r="E974">
        <v>2013</v>
      </c>
      <c r="V974">
        <f t="shared" si="54"/>
        <v>2</v>
      </c>
    </row>
    <row r="975" spans="1:22" x14ac:dyDescent="0.25">
      <c r="A975" t="s">
        <v>22</v>
      </c>
      <c r="B975" t="s">
        <v>29</v>
      </c>
      <c r="C975" t="s">
        <v>19</v>
      </c>
      <c r="D975" t="s">
        <v>12</v>
      </c>
      <c r="E975">
        <v>2013</v>
      </c>
      <c r="V975">
        <f t="shared" si="54"/>
        <v>1</v>
      </c>
    </row>
    <row r="976" spans="1:22" x14ac:dyDescent="0.25">
      <c r="A976" t="s">
        <v>22</v>
      </c>
      <c r="B976" t="s">
        <v>30</v>
      </c>
      <c r="C976" t="s">
        <v>19</v>
      </c>
      <c r="D976" t="s">
        <v>12</v>
      </c>
      <c r="E976">
        <v>2013</v>
      </c>
      <c r="V976">
        <f t="shared" si="54"/>
        <v>0</v>
      </c>
    </row>
    <row r="977" spans="1:34" x14ac:dyDescent="0.25">
      <c r="A977" t="s">
        <v>22</v>
      </c>
      <c r="B977" t="s">
        <v>26</v>
      </c>
      <c r="C977" t="s">
        <v>19</v>
      </c>
      <c r="D977" t="s">
        <v>15</v>
      </c>
      <c r="E977">
        <v>2013</v>
      </c>
      <c r="V977">
        <f>ROUND(V955*$AG$953,0)</f>
        <v>12</v>
      </c>
    </row>
    <row r="978" spans="1:34" x14ac:dyDescent="0.25">
      <c r="A978" t="s">
        <v>22</v>
      </c>
      <c r="B978" t="s">
        <v>28</v>
      </c>
      <c r="C978" t="s">
        <v>19</v>
      </c>
      <c r="D978" t="s">
        <v>15</v>
      </c>
      <c r="E978">
        <v>2013</v>
      </c>
      <c r="V978">
        <f t="shared" ref="V978:V980" si="55">ROUND(V956*$AG$953,0)</f>
        <v>15</v>
      </c>
    </row>
    <row r="979" spans="1:34" x14ac:dyDescent="0.25">
      <c r="A979" t="s">
        <v>22</v>
      </c>
      <c r="B979" t="s">
        <v>29</v>
      </c>
      <c r="C979" t="s">
        <v>19</v>
      </c>
      <c r="D979" t="s">
        <v>15</v>
      </c>
      <c r="E979">
        <v>2013</v>
      </c>
      <c r="V979">
        <f t="shared" si="55"/>
        <v>0</v>
      </c>
    </row>
    <row r="980" spans="1:34" x14ac:dyDescent="0.25">
      <c r="A980" t="s">
        <v>22</v>
      </c>
      <c r="B980" t="s">
        <v>30</v>
      </c>
      <c r="C980" t="s">
        <v>19</v>
      </c>
      <c r="D980" t="s">
        <v>15</v>
      </c>
      <c r="E980">
        <v>2013</v>
      </c>
      <c r="V980">
        <f t="shared" si="55"/>
        <v>0</v>
      </c>
    </row>
    <row r="982" spans="1:34" x14ac:dyDescent="0.25">
      <c r="A982" t="s">
        <v>22</v>
      </c>
      <c r="B982" t="s">
        <v>24</v>
      </c>
      <c r="C982" t="s">
        <v>20</v>
      </c>
      <c r="D982" t="s">
        <v>12</v>
      </c>
      <c r="E982">
        <v>2013</v>
      </c>
      <c r="V982">
        <f>ROUND(V949*$AG$951,0)</f>
        <v>112</v>
      </c>
    </row>
    <row r="983" spans="1:34" x14ac:dyDescent="0.25">
      <c r="A983" t="s">
        <v>22</v>
      </c>
      <c r="B983" t="s">
        <v>26</v>
      </c>
      <c r="C983" t="s">
        <v>20</v>
      </c>
      <c r="D983" t="s">
        <v>12</v>
      </c>
      <c r="E983">
        <v>2013</v>
      </c>
      <c r="V983">
        <f t="shared" ref="V983:V987" si="56">ROUND(V950*$AG$951,0)</f>
        <v>12</v>
      </c>
    </row>
    <row r="984" spans="1:34" x14ac:dyDescent="0.25">
      <c r="A984" t="s">
        <v>22</v>
      </c>
      <c r="B984" t="s">
        <v>27</v>
      </c>
      <c r="C984" t="s">
        <v>20</v>
      </c>
      <c r="D984" t="s">
        <v>12</v>
      </c>
      <c r="E984">
        <v>2013</v>
      </c>
      <c r="V984">
        <f t="shared" si="56"/>
        <v>19</v>
      </c>
    </row>
    <row r="985" spans="1:34" x14ac:dyDescent="0.25">
      <c r="A985" t="s">
        <v>22</v>
      </c>
      <c r="B985" t="s">
        <v>28</v>
      </c>
      <c r="C985" t="s">
        <v>20</v>
      </c>
      <c r="D985" t="s">
        <v>12</v>
      </c>
      <c r="E985">
        <v>2013</v>
      </c>
      <c r="V985">
        <f t="shared" si="56"/>
        <v>2</v>
      </c>
    </row>
    <row r="986" spans="1:34" x14ac:dyDescent="0.25">
      <c r="A986" t="s">
        <v>22</v>
      </c>
      <c r="B986" t="s">
        <v>29</v>
      </c>
      <c r="C986" t="s">
        <v>20</v>
      </c>
      <c r="D986" t="s">
        <v>12</v>
      </c>
      <c r="E986">
        <v>2013</v>
      </c>
      <c r="V986">
        <f t="shared" si="56"/>
        <v>1</v>
      </c>
    </row>
    <row r="987" spans="1:34" x14ac:dyDescent="0.25">
      <c r="A987" t="s">
        <v>22</v>
      </c>
      <c r="B987" t="s">
        <v>30</v>
      </c>
      <c r="C987" t="s">
        <v>20</v>
      </c>
      <c r="D987" t="s">
        <v>12</v>
      </c>
      <c r="E987">
        <v>2013</v>
      </c>
      <c r="V987">
        <f t="shared" si="56"/>
        <v>0</v>
      </c>
    </row>
    <row r="988" spans="1:34" x14ac:dyDescent="0.25">
      <c r="A988" t="s">
        <v>22</v>
      </c>
      <c r="B988" t="s">
        <v>26</v>
      </c>
      <c r="C988" t="s">
        <v>20</v>
      </c>
      <c r="D988" t="s">
        <v>15</v>
      </c>
      <c r="E988">
        <v>2013</v>
      </c>
      <c r="V988">
        <f>ROUND(V955*$AG$954,0)</f>
        <v>7</v>
      </c>
    </row>
    <row r="989" spans="1:34" x14ac:dyDescent="0.25">
      <c r="A989" t="s">
        <v>22</v>
      </c>
      <c r="B989" t="s">
        <v>28</v>
      </c>
      <c r="C989" t="s">
        <v>20</v>
      </c>
      <c r="D989" t="s">
        <v>15</v>
      </c>
      <c r="E989">
        <v>2013</v>
      </c>
      <c r="V989">
        <f t="shared" ref="V989:V991" si="57">ROUND(V956*$AG$954,0)</f>
        <v>8</v>
      </c>
    </row>
    <row r="990" spans="1:34" x14ac:dyDescent="0.25">
      <c r="A990" t="s">
        <v>22</v>
      </c>
      <c r="B990" t="s">
        <v>29</v>
      </c>
      <c r="C990" t="s">
        <v>20</v>
      </c>
      <c r="D990" t="s">
        <v>15</v>
      </c>
      <c r="E990">
        <v>2013</v>
      </c>
      <c r="V990">
        <f t="shared" si="57"/>
        <v>0</v>
      </c>
    </row>
    <row r="991" spans="1:34" x14ac:dyDescent="0.25">
      <c r="A991" t="s">
        <v>22</v>
      </c>
      <c r="B991" t="s">
        <v>30</v>
      </c>
      <c r="C991" t="s">
        <v>20</v>
      </c>
      <c r="D991" t="s">
        <v>15</v>
      </c>
      <c r="E991">
        <v>2013</v>
      </c>
      <c r="V991">
        <f t="shared" si="57"/>
        <v>0</v>
      </c>
    </row>
    <row r="992" spans="1:34" ht="15.75" thickBot="1" x14ac:dyDescent="0.3">
      <c r="A992" s="6"/>
      <c r="B992" s="6"/>
      <c r="C992" s="6"/>
      <c r="D992" s="6"/>
      <c r="E992" s="6"/>
      <c r="F992" s="6"/>
      <c r="G992" s="34"/>
      <c r="H992" s="34"/>
      <c r="I992" s="34"/>
      <c r="J992" s="34"/>
      <c r="K992" s="6"/>
      <c r="L992" s="6"/>
      <c r="M992" s="6"/>
      <c r="N992" s="6"/>
      <c r="O992" s="6"/>
      <c r="P992" s="6"/>
      <c r="Q992" s="6"/>
      <c r="R992" s="6"/>
      <c r="S992" s="6"/>
      <c r="T992" s="6"/>
      <c r="U992" s="6"/>
      <c r="V992" s="6"/>
      <c r="W992" s="6"/>
      <c r="X992" s="6"/>
      <c r="Y992" s="6"/>
      <c r="Z992" s="6"/>
      <c r="AA992" s="6"/>
      <c r="AB992" s="6"/>
      <c r="AC992" s="6"/>
      <c r="AD992" s="6"/>
      <c r="AE992" s="6"/>
      <c r="AF992" s="6"/>
      <c r="AG992" s="6"/>
      <c r="AH992" s="6"/>
    </row>
    <row r="994" spans="1:33" x14ac:dyDescent="0.25">
      <c r="A994" t="s">
        <v>10</v>
      </c>
      <c r="B994" t="s">
        <v>24</v>
      </c>
      <c r="C994" t="s">
        <v>11</v>
      </c>
      <c r="D994" t="s">
        <v>12</v>
      </c>
      <c r="E994">
        <v>2015</v>
      </c>
      <c r="V994">
        <v>38633</v>
      </c>
      <c r="AE994" t="s">
        <v>12</v>
      </c>
      <c r="AF994" t="s">
        <v>31</v>
      </c>
      <c r="AG994">
        <f>1-AG995-AG996</f>
        <v>0.39000000000000007</v>
      </c>
    </row>
    <row r="995" spans="1:33" x14ac:dyDescent="0.25">
      <c r="A995" t="s">
        <v>10</v>
      </c>
      <c r="B995" t="s">
        <v>26</v>
      </c>
      <c r="C995" t="s">
        <v>11</v>
      </c>
      <c r="D995" t="s">
        <v>12</v>
      </c>
      <c r="E995">
        <v>2015</v>
      </c>
      <c r="V995">
        <v>1503</v>
      </c>
      <c r="AF995" t="s">
        <v>19</v>
      </c>
      <c r="AG995">
        <v>0.19</v>
      </c>
    </row>
    <row r="996" spans="1:33" x14ac:dyDescent="0.25">
      <c r="A996" t="s">
        <v>10</v>
      </c>
      <c r="B996" t="s">
        <v>27</v>
      </c>
      <c r="C996" t="s">
        <v>11</v>
      </c>
      <c r="D996" t="s">
        <v>12</v>
      </c>
      <c r="E996">
        <v>2015</v>
      </c>
      <c r="V996">
        <v>3039</v>
      </c>
      <c r="AF996" t="s">
        <v>20</v>
      </c>
      <c r="AG996">
        <v>0.42</v>
      </c>
    </row>
    <row r="997" spans="1:33" x14ac:dyDescent="0.25">
      <c r="A997" t="s">
        <v>10</v>
      </c>
      <c r="B997" t="s">
        <v>28</v>
      </c>
      <c r="C997" t="s">
        <v>11</v>
      </c>
      <c r="D997" t="s">
        <v>12</v>
      </c>
      <c r="E997">
        <v>2015</v>
      </c>
      <c r="V997">
        <v>942</v>
      </c>
      <c r="AE997" t="s">
        <v>15</v>
      </c>
      <c r="AF997" t="s">
        <v>31</v>
      </c>
      <c r="AG997">
        <f>1-AG998-AG999</f>
        <v>0.2</v>
      </c>
    </row>
    <row r="998" spans="1:33" x14ac:dyDescent="0.25">
      <c r="A998" t="s">
        <v>10</v>
      </c>
      <c r="B998" t="s">
        <v>29</v>
      </c>
      <c r="C998" t="s">
        <v>11</v>
      </c>
      <c r="D998" t="s">
        <v>12</v>
      </c>
      <c r="E998">
        <v>2015</v>
      </c>
      <c r="V998">
        <v>215</v>
      </c>
      <c r="AF998" t="s">
        <v>19</v>
      </c>
      <c r="AG998">
        <v>0.35</v>
      </c>
    </row>
    <row r="999" spans="1:33" x14ac:dyDescent="0.25">
      <c r="A999" t="s">
        <v>10</v>
      </c>
      <c r="B999" t="s">
        <v>30</v>
      </c>
      <c r="C999" t="s">
        <v>11</v>
      </c>
      <c r="D999" t="s">
        <v>12</v>
      </c>
      <c r="E999">
        <v>2015</v>
      </c>
      <c r="AF999" t="s">
        <v>20</v>
      </c>
      <c r="AG999">
        <v>0.45</v>
      </c>
    </row>
    <row r="1000" spans="1:33" x14ac:dyDescent="0.25">
      <c r="A1000" t="s">
        <v>10</v>
      </c>
      <c r="B1000" t="s">
        <v>26</v>
      </c>
      <c r="C1000" t="s">
        <v>11</v>
      </c>
      <c r="D1000" t="s">
        <v>15</v>
      </c>
      <c r="E1000">
        <v>2015</v>
      </c>
      <c r="V1000">
        <v>1206</v>
      </c>
    </row>
    <row r="1001" spans="1:33" x14ac:dyDescent="0.25">
      <c r="A1001" t="s">
        <v>10</v>
      </c>
      <c r="B1001" t="s">
        <v>28</v>
      </c>
      <c r="C1001" t="s">
        <v>11</v>
      </c>
      <c r="D1001" t="s">
        <v>15</v>
      </c>
      <c r="E1001">
        <v>2015</v>
      </c>
      <c r="V1001">
        <v>4240</v>
      </c>
    </row>
    <row r="1002" spans="1:33" x14ac:dyDescent="0.25">
      <c r="A1002" t="s">
        <v>10</v>
      </c>
      <c r="B1002" t="s">
        <v>29</v>
      </c>
      <c r="C1002" t="s">
        <v>11</v>
      </c>
      <c r="D1002" t="s">
        <v>15</v>
      </c>
      <c r="E1002">
        <v>2015</v>
      </c>
      <c r="V1002">
        <v>198</v>
      </c>
    </row>
    <row r="1003" spans="1:33" x14ac:dyDescent="0.25">
      <c r="A1003" t="s">
        <v>10</v>
      </c>
      <c r="B1003" t="s">
        <v>30</v>
      </c>
      <c r="C1003" t="s">
        <v>11</v>
      </c>
      <c r="D1003" t="s">
        <v>15</v>
      </c>
      <c r="E1003">
        <v>2015</v>
      </c>
    </row>
    <row r="1005" spans="1:33" x14ac:dyDescent="0.25">
      <c r="A1005" t="s">
        <v>10</v>
      </c>
      <c r="B1005" t="s">
        <v>24</v>
      </c>
      <c r="C1005" t="s">
        <v>31</v>
      </c>
      <c r="D1005" t="s">
        <v>12</v>
      </c>
      <c r="E1005">
        <v>2015</v>
      </c>
      <c r="V1005">
        <f t="shared" ref="V1005:V1010" si="58">ROUND(V994*$AG$994,0)</f>
        <v>15067</v>
      </c>
    </row>
    <row r="1006" spans="1:33" x14ac:dyDescent="0.25">
      <c r="A1006" t="s">
        <v>10</v>
      </c>
      <c r="B1006" t="s">
        <v>26</v>
      </c>
      <c r="C1006" t="s">
        <v>31</v>
      </c>
      <c r="D1006" t="s">
        <v>12</v>
      </c>
      <c r="E1006">
        <v>2015</v>
      </c>
      <c r="V1006">
        <f t="shared" si="58"/>
        <v>586</v>
      </c>
    </row>
    <row r="1007" spans="1:33" x14ac:dyDescent="0.25">
      <c r="A1007" t="s">
        <v>10</v>
      </c>
      <c r="B1007" t="s">
        <v>27</v>
      </c>
      <c r="C1007" t="s">
        <v>31</v>
      </c>
      <c r="D1007" t="s">
        <v>12</v>
      </c>
      <c r="E1007">
        <v>2015</v>
      </c>
      <c r="V1007">
        <f t="shared" si="58"/>
        <v>1185</v>
      </c>
    </row>
    <row r="1008" spans="1:33" x14ac:dyDescent="0.25">
      <c r="A1008" t="s">
        <v>10</v>
      </c>
      <c r="B1008" t="s">
        <v>28</v>
      </c>
      <c r="C1008" t="s">
        <v>31</v>
      </c>
      <c r="D1008" t="s">
        <v>12</v>
      </c>
      <c r="E1008">
        <v>2015</v>
      </c>
      <c r="V1008">
        <f t="shared" si="58"/>
        <v>367</v>
      </c>
    </row>
    <row r="1009" spans="1:22" x14ac:dyDescent="0.25">
      <c r="A1009" t="s">
        <v>10</v>
      </c>
      <c r="B1009" t="s">
        <v>29</v>
      </c>
      <c r="C1009" t="s">
        <v>31</v>
      </c>
      <c r="D1009" t="s">
        <v>12</v>
      </c>
      <c r="E1009">
        <v>2015</v>
      </c>
      <c r="V1009">
        <f t="shared" si="58"/>
        <v>84</v>
      </c>
    </row>
    <row r="1010" spans="1:22" x14ac:dyDescent="0.25">
      <c r="A1010" t="s">
        <v>10</v>
      </c>
      <c r="B1010" t="s">
        <v>30</v>
      </c>
      <c r="C1010" t="s">
        <v>31</v>
      </c>
      <c r="D1010" t="s">
        <v>12</v>
      </c>
      <c r="E1010">
        <v>2015</v>
      </c>
      <c r="V1010">
        <f t="shared" si="58"/>
        <v>0</v>
      </c>
    </row>
    <row r="1011" spans="1:22" x14ac:dyDescent="0.25">
      <c r="A1011" t="s">
        <v>10</v>
      </c>
      <c r="B1011" t="s">
        <v>26</v>
      </c>
      <c r="C1011" t="s">
        <v>31</v>
      </c>
      <c r="D1011" t="s">
        <v>15</v>
      </c>
      <c r="E1011">
        <v>2015</v>
      </c>
      <c r="V1011">
        <f>ROUND(V1000*$AG$997,0)</f>
        <v>241</v>
      </c>
    </row>
    <row r="1012" spans="1:22" x14ac:dyDescent="0.25">
      <c r="A1012" t="s">
        <v>10</v>
      </c>
      <c r="B1012" t="s">
        <v>28</v>
      </c>
      <c r="C1012" t="s">
        <v>31</v>
      </c>
      <c r="D1012" t="s">
        <v>15</v>
      </c>
      <c r="E1012">
        <v>2015</v>
      </c>
      <c r="V1012">
        <f>ROUND(V1001*$AG$997,0)</f>
        <v>848</v>
      </c>
    </row>
    <row r="1013" spans="1:22" x14ac:dyDescent="0.25">
      <c r="A1013" t="s">
        <v>10</v>
      </c>
      <c r="B1013" t="s">
        <v>29</v>
      </c>
      <c r="C1013" t="s">
        <v>31</v>
      </c>
      <c r="D1013" t="s">
        <v>15</v>
      </c>
      <c r="E1013">
        <v>2015</v>
      </c>
      <c r="V1013">
        <f>ROUND(V1002*$AG$997,0)</f>
        <v>40</v>
      </c>
    </row>
    <row r="1014" spans="1:22" x14ac:dyDescent="0.25">
      <c r="A1014" t="s">
        <v>10</v>
      </c>
      <c r="B1014" t="s">
        <v>30</v>
      </c>
      <c r="C1014" t="s">
        <v>31</v>
      </c>
      <c r="D1014" t="s">
        <v>15</v>
      </c>
      <c r="E1014">
        <v>2015</v>
      </c>
      <c r="V1014">
        <f>ROUND(V1003*$AG$997,0)</f>
        <v>0</v>
      </c>
    </row>
    <row r="1016" spans="1:22" x14ac:dyDescent="0.25">
      <c r="A1016" t="s">
        <v>10</v>
      </c>
      <c r="B1016" t="s">
        <v>24</v>
      </c>
      <c r="C1016" t="s">
        <v>19</v>
      </c>
      <c r="D1016" t="s">
        <v>12</v>
      </c>
      <c r="E1016">
        <v>2015</v>
      </c>
      <c r="V1016">
        <f t="shared" ref="V1016:V1021" si="59">ROUND(V1005*$AG$995,0)</f>
        <v>2863</v>
      </c>
    </row>
    <row r="1017" spans="1:22" x14ac:dyDescent="0.25">
      <c r="A1017" t="s">
        <v>10</v>
      </c>
      <c r="B1017" t="s">
        <v>26</v>
      </c>
      <c r="C1017" t="s">
        <v>19</v>
      </c>
      <c r="D1017" t="s">
        <v>12</v>
      </c>
      <c r="E1017">
        <v>2015</v>
      </c>
      <c r="V1017">
        <f t="shared" si="59"/>
        <v>111</v>
      </c>
    </row>
    <row r="1018" spans="1:22" x14ac:dyDescent="0.25">
      <c r="A1018" t="s">
        <v>10</v>
      </c>
      <c r="B1018" t="s">
        <v>27</v>
      </c>
      <c r="C1018" t="s">
        <v>19</v>
      </c>
      <c r="D1018" t="s">
        <v>12</v>
      </c>
      <c r="E1018">
        <v>2015</v>
      </c>
      <c r="V1018">
        <f t="shared" si="59"/>
        <v>225</v>
      </c>
    </row>
    <row r="1019" spans="1:22" x14ac:dyDescent="0.25">
      <c r="A1019" t="s">
        <v>10</v>
      </c>
      <c r="B1019" t="s">
        <v>28</v>
      </c>
      <c r="C1019" t="s">
        <v>19</v>
      </c>
      <c r="D1019" t="s">
        <v>12</v>
      </c>
      <c r="E1019">
        <v>2015</v>
      </c>
      <c r="V1019">
        <f t="shared" si="59"/>
        <v>70</v>
      </c>
    </row>
    <row r="1020" spans="1:22" x14ac:dyDescent="0.25">
      <c r="A1020" t="s">
        <v>10</v>
      </c>
      <c r="B1020" t="s">
        <v>29</v>
      </c>
      <c r="C1020" t="s">
        <v>19</v>
      </c>
      <c r="D1020" t="s">
        <v>12</v>
      </c>
      <c r="E1020">
        <v>2015</v>
      </c>
      <c r="V1020">
        <f t="shared" si="59"/>
        <v>16</v>
      </c>
    </row>
    <row r="1021" spans="1:22" x14ac:dyDescent="0.25">
      <c r="A1021" t="s">
        <v>10</v>
      </c>
      <c r="B1021" t="s">
        <v>30</v>
      </c>
      <c r="C1021" t="s">
        <v>19</v>
      </c>
      <c r="D1021" t="s">
        <v>12</v>
      </c>
      <c r="E1021">
        <v>2015</v>
      </c>
      <c r="V1021">
        <f t="shared" si="59"/>
        <v>0</v>
      </c>
    </row>
    <row r="1022" spans="1:22" x14ac:dyDescent="0.25">
      <c r="A1022" t="s">
        <v>10</v>
      </c>
      <c r="B1022" t="s">
        <v>26</v>
      </c>
      <c r="C1022" t="s">
        <v>19</v>
      </c>
      <c r="D1022" t="s">
        <v>15</v>
      </c>
      <c r="E1022">
        <v>2015</v>
      </c>
      <c r="V1022">
        <f>ROUND(V1011*$AG$998,0)</f>
        <v>84</v>
      </c>
    </row>
    <row r="1023" spans="1:22" x14ac:dyDescent="0.25">
      <c r="A1023" t="s">
        <v>10</v>
      </c>
      <c r="B1023" t="s">
        <v>28</v>
      </c>
      <c r="C1023" t="s">
        <v>19</v>
      </c>
      <c r="D1023" t="s">
        <v>15</v>
      </c>
      <c r="E1023">
        <v>2015</v>
      </c>
      <c r="V1023">
        <f>ROUND(V1012*$AG$998,0)</f>
        <v>297</v>
      </c>
    </row>
    <row r="1024" spans="1:22" x14ac:dyDescent="0.25">
      <c r="A1024" t="s">
        <v>10</v>
      </c>
      <c r="B1024" t="s">
        <v>29</v>
      </c>
      <c r="C1024" t="s">
        <v>19</v>
      </c>
      <c r="D1024" t="s">
        <v>15</v>
      </c>
      <c r="E1024">
        <v>2015</v>
      </c>
      <c r="V1024">
        <f>ROUND(V1013*$AG$998,0)</f>
        <v>14</v>
      </c>
    </row>
    <row r="1025" spans="1:33" x14ac:dyDescent="0.25">
      <c r="A1025" t="s">
        <v>10</v>
      </c>
      <c r="B1025" t="s">
        <v>30</v>
      </c>
      <c r="C1025" t="s">
        <v>19</v>
      </c>
      <c r="D1025" t="s">
        <v>15</v>
      </c>
      <c r="E1025">
        <v>2015</v>
      </c>
      <c r="V1025">
        <f>ROUND(V1014*$AG$998,0)</f>
        <v>0</v>
      </c>
    </row>
    <row r="1027" spans="1:33" x14ac:dyDescent="0.25">
      <c r="A1027" t="s">
        <v>10</v>
      </c>
      <c r="B1027" t="s">
        <v>24</v>
      </c>
      <c r="C1027" t="s">
        <v>20</v>
      </c>
      <c r="D1027" t="s">
        <v>12</v>
      </c>
      <c r="E1027">
        <v>2015</v>
      </c>
      <c r="V1027">
        <f t="shared" ref="V1027:V1032" si="60">ROUND(V1016*$AG$996,0)</f>
        <v>1202</v>
      </c>
    </row>
    <row r="1028" spans="1:33" x14ac:dyDescent="0.25">
      <c r="A1028" t="s">
        <v>10</v>
      </c>
      <c r="B1028" t="s">
        <v>26</v>
      </c>
      <c r="C1028" t="s">
        <v>20</v>
      </c>
      <c r="D1028" t="s">
        <v>12</v>
      </c>
      <c r="E1028">
        <v>2015</v>
      </c>
      <c r="V1028">
        <f t="shared" si="60"/>
        <v>47</v>
      </c>
    </row>
    <row r="1029" spans="1:33" x14ac:dyDescent="0.25">
      <c r="A1029" t="s">
        <v>10</v>
      </c>
      <c r="B1029" t="s">
        <v>27</v>
      </c>
      <c r="C1029" t="s">
        <v>20</v>
      </c>
      <c r="D1029" t="s">
        <v>12</v>
      </c>
      <c r="E1029">
        <v>2015</v>
      </c>
      <c r="V1029">
        <f t="shared" si="60"/>
        <v>95</v>
      </c>
    </row>
    <row r="1030" spans="1:33" x14ac:dyDescent="0.25">
      <c r="A1030" t="s">
        <v>10</v>
      </c>
      <c r="B1030" t="s">
        <v>28</v>
      </c>
      <c r="C1030" t="s">
        <v>20</v>
      </c>
      <c r="D1030" t="s">
        <v>12</v>
      </c>
      <c r="E1030">
        <v>2015</v>
      </c>
      <c r="V1030">
        <f t="shared" si="60"/>
        <v>29</v>
      </c>
    </row>
    <row r="1031" spans="1:33" x14ac:dyDescent="0.25">
      <c r="A1031" t="s">
        <v>10</v>
      </c>
      <c r="B1031" t="s">
        <v>29</v>
      </c>
      <c r="C1031" t="s">
        <v>20</v>
      </c>
      <c r="D1031" t="s">
        <v>12</v>
      </c>
      <c r="E1031">
        <v>2015</v>
      </c>
      <c r="V1031">
        <f t="shared" si="60"/>
        <v>7</v>
      </c>
    </row>
    <row r="1032" spans="1:33" x14ac:dyDescent="0.25">
      <c r="A1032" t="s">
        <v>10</v>
      </c>
      <c r="B1032" t="s">
        <v>30</v>
      </c>
      <c r="C1032" t="s">
        <v>20</v>
      </c>
      <c r="D1032" t="s">
        <v>12</v>
      </c>
      <c r="E1032">
        <v>2015</v>
      </c>
      <c r="V1032">
        <f t="shared" si="60"/>
        <v>0</v>
      </c>
    </row>
    <row r="1033" spans="1:33" x14ac:dyDescent="0.25">
      <c r="A1033" t="s">
        <v>10</v>
      </c>
      <c r="B1033" t="s">
        <v>26</v>
      </c>
      <c r="C1033" t="s">
        <v>20</v>
      </c>
      <c r="D1033" t="s">
        <v>15</v>
      </c>
      <c r="E1033">
        <v>2015</v>
      </c>
      <c r="V1033">
        <f>ROUND(V1022*$AG$999,0)</f>
        <v>38</v>
      </c>
    </row>
    <row r="1034" spans="1:33" x14ac:dyDescent="0.25">
      <c r="A1034" t="s">
        <v>10</v>
      </c>
      <c r="B1034" t="s">
        <v>28</v>
      </c>
      <c r="C1034" t="s">
        <v>20</v>
      </c>
      <c r="D1034" t="s">
        <v>15</v>
      </c>
      <c r="E1034">
        <v>2015</v>
      </c>
      <c r="V1034">
        <f>ROUND(V1023*$AG$999,0)</f>
        <v>134</v>
      </c>
    </row>
    <row r="1035" spans="1:33" x14ac:dyDescent="0.25">
      <c r="A1035" t="s">
        <v>10</v>
      </c>
      <c r="B1035" t="s">
        <v>29</v>
      </c>
      <c r="C1035" t="s">
        <v>20</v>
      </c>
      <c r="D1035" t="s">
        <v>15</v>
      </c>
      <c r="E1035">
        <v>2015</v>
      </c>
      <c r="V1035">
        <f>ROUND(V1024*$AG$999,0)</f>
        <v>6</v>
      </c>
    </row>
    <row r="1036" spans="1:33" x14ac:dyDescent="0.25">
      <c r="A1036" t="s">
        <v>10</v>
      </c>
      <c r="B1036" t="s">
        <v>30</v>
      </c>
      <c r="C1036" t="s">
        <v>20</v>
      </c>
      <c r="D1036" t="s">
        <v>15</v>
      </c>
      <c r="E1036">
        <v>2015</v>
      </c>
      <c r="V1036">
        <f>ROUND(V1025*$AG$999,0)</f>
        <v>0</v>
      </c>
    </row>
    <row r="1040" spans="1:33" x14ac:dyDescent="0.25">
      <c r="A1040" t="s">
        <v>21</v>
      </c>
      <c r="B1040" t="s">
        <v>24</v>
      </c>
      <c r="C1040" t="s">
        <v>11</v>
      </c>
      <c r="D1040" t="s">
        <v>12</v>
      </c>
      <c r="E1040">
        <v>2014</v>
      </c>
      <c r="V1040">
        <v>1673</v>
      </c>
      <c r="AE1040" t="s">
        <v>12</v>
      </c>
      <c r="AF1040" t="s">
        <v>31</v>
      </c>
      <c r="AG1040">
        <v>0.3</v>
      </c>
    </row>
    <row r="1041" spans="1:33" x14ac:dyDescent="0.25">
      <c r="A1041" t="s">
        <v>21</v>
      </c>
      <c r="B1041" t="s">
        <v>26</v>
      </c>
      <c r="C1041" t="s">
        <v>11</v>
      </c>
      <c r="D1041" t="s">
        <v>12</v>
      </c>
      <c r="E1041">
        <v>2014</v>
      </c>
      <c r="V1041">
        <v>37</v>
      </c>
      <c r="AF1041" t="s">
        <v>19</v>
      </c>
      <c r="AG1041">
        <v>0.17</v>
      </c>
    </row>
    <row r="1042" spans="1:33" x14ac:dyDescent="0.25">
      <c r="A1042" t="s">
        <v>21</v>
      </c>
      <c r="B1042" t="s">
        <v>27</v>
      </c>
      <c r="C1042" t="s">
        <v>11</v>
      </c>
      <c r="D1042" t="s">
        <v>12</v>
      </c>
      <c r="E1042">
        <v>2014</v>
      </c>
      <c r="V1042">
        <v>51</v>
      </c>
      <c r="AF1042" t="s">
        <v>20</v>
      </c>
      <c r="AG1042">
        <v>0.53</v>
      </c>
    </row>
    <row r="1043" spans="1:33" x14ac:dyDescent="0.25">
      <c r="A1043" t="s">
        <v>21</v>
      </c>
      <c r="B1043" t="s">
        <v>28</v>
      </c>
      <c r="C1043" t="s">
        <v>11</v>
      </c>
      <c r="D1043" t="s">
        <v>12</v>
      </c>
      <c r="E1043">
        <v>2014</v>
      </c>
      <c r="V1043">
        <v>15</v>
      </c>
      <c r="AE1043" t="s">
        <v>15</v>
      </c>
      <c r="AF1043" t="s">
        <v>31</v>
      </c>
      <c r="AG1043">
        <v>0.18</v>
      </c>
    </row>
    <row r="1044" spans="1:33" x14ac:dyDescent="0.25">
      <c r="A1044" t="s">
        <v>21</v>
      </c>
      <c r="B1044" t="s">
        <v>29</v>
      </c>
      <c r="C1044" t="s">
        <v>11</v>
      </c>
      <c r="D1044" t="s">
        <v>12</v>
      </c>
      <c r="E1044">
        <v>2014</v>
      </c>
      <c r="V1044">
        <v>1</v>
      </c>
      <c r="AF1044" t="s">
        <v>19</v>
      </c>
      <c r="AG1044">
        <v>0.31</v>
      </c>
    </row>
    <row r="1045" spans="1:33" x14ac:dyDescent="0.25">
      <c r="A1045" t="s">
        <v>21</v>
      </c>
      <c r="B1045" t="s">
        <v>30</v>
      </c>
      <c r="C1045" t="s">
        <v>11</v>
      </c>
      <c r="D1045" t="s">
        <v>12</v>
      </c>
      <c r="E1045">
        <v>2014</v>
      </c>
      <c r="AF1045" t="s">
        <v>20</v>
      </c>
      <c r="AG1045">
        <v>0.51</v>
      </c>
    </row>
    <row r="1046" spans="1:33" x14ac:dyDescent="0.25">
      <c r="A1046" t="s">
        <v>21</v>
      </c>
      <c r="B1046" t="s">
        <v>26</v>
      </c>
      <c r="C1046" t="s">
        <v>11</v>
      </c>
      <c r="D1046" t="s">
        <v>15</v>
      </c>
      <c r="E1046">
        <v>2014</v>
      </c>
      <c r="V1046">
        <v>40</v>
      </c>
    </row>
    <row r="1047" spans="1:33" x14ac:dyDescent="0.25">
      <c r="A1047" t="s">
        <v>21</v>
      </c>
      <c r="B1047" t="s">
        <v>28</v>
      </c>
      <c r="C1047" t="s">
        <v>11</v>
      </c>
      <c r="D1047" t="s">
        <v>15</v>
      </c>
      <c r="E1047">
        <v>2014</v>
      </c>
      <c r="V1047">
        <v>169</v>
      </c>
    </row>
    <row r="1048" spans="1:33" x14ac:dyDescent="0.25">
      <c r="A1048" t="s">
        <v>21</v>
      </c>
      <c r="B1048" t="s">
        <v>29</v>
      </c>
      <c r="C1048" t="s">
        <v>11</v>
      </c>
      <c r="D1048" t="s">
        <v>15</v>
      </c>
      <c r="E1048">
        <v>2014</v>
      </c>
      <c r="V1048">
        <v>1</v>
      </c>
    </row>
    <row r="1049" spans="1:33" x14ac:dyDescent="0.25">
      <c r="A1049" t="s">
        <v>21</v>
      </c>
      <c r="B1049" t="s">
        <v>30</v>
      </c>
      <c r="C1049" t="s">
        <v>11</v>
      </c>
      <c r="D1049" t="s">
        <v>15</v>
      </c>
      <c r="E1049">
        <v>2014</v>
      </c>
    </row>
    <row r="1051" spans="1:33" x14ac:dyDescent="0.25">
      <c r="A1051" t="s">
        <v>21</v>
      </c>
      <c r="B1051" t="s">
        <v>24</v>
      </c>
      <c r="C1051" t="s">
        <v>31</v>
      </c>
      <c r="D1051" t="s">
        <v>12</v>
      </c>
      <c r="E1051">
        <v>2014</v>
      </c>
      <c r="V1051">
        <f>ROUND(V1040*0.3,0)</f>
        <v>502</v>
      </c>
    </row>
    <row r="1052" spans="1:33" x14ac:dyDescent="0.25">
      <c r="A1052" t="s">
        <v>21</v>
      </c>
      <c r="B1052" t="s">
        <v>26</v>
      </c>
      <c r="C1052" t="s">
        <v>31</v>
      </c>
      <c r="D1052" t="s">
        <v>12</v>
      </c>
      <c r="E1052">
        <v>2014</v>
      </c>
      <c r="V1052">
        <f t="shared" ref="V1052:V1056" si="61">ROUND(V1041*0.3,0)</f>
        <v>11</v>
      </c>
    </row>
    <row r="1053" spans="1:33" x14ac:dyDescent="0.25">
      <c r="A1053" t="s">
        <v>21</v>
      </c>
      <c r="B1053" t="s">
        <v>27</v>
      </c>
      <c r="C1053" t="s">
        <v>31</v>
      </c>
      <c r="D1053" t="s">
        <v>12</v>
      </c>
      <c r="E1053">
        <v>2014</v>
      </c>
      <c r="V1053">
        <f t="shared" si="61"/>
        <v>15</v>
      </c>
    </row>
    <row r="1054" spans="1:33" x14ac:dyDescent="0.25">
      <c r="A1054" t="s">
        <v>21</v>
      </c>
      <c r="B1054" t="s">
        <v>28</v>
      </c>
      <c r="C1054" t="s">
        <v>31</v>
      </c>
      <c r="D1054" t="s">
        <v>12</v>
      </c>
      <c r="E1054">
        <v>2014</v>
      </c>
      <c r="V1054">
        <f t="shared" si="61"/>
        <v>5</v>
      </c>
    </row>
    <row r="1055" spans="1:33" x14ac:dyDescent="0.25">
      <c r="A1055" t="s">
        <v>21</v>
      </c>
      <c r="B1055" t="s">
        <v>29</v>
      </c>
      <c r="C1055" t="s">
        <v>31</v>
      </c>
      <c r="D1055" t="s">
        <v>12</v>
      </c>
      <c r="E1055">
        <v>2014</v>
      </c>
      <c r="V1055">
        <f t="shared" si="61"/>
        <v>0</v>
      </c>
    </row>
    <row r="1056" spans="1:33" x14ac:dyDescent="0.25">
      <c r="A1056" t="s">
        <v>21</v>
      </c>
      <c r="B1056" t="s">
        <v>30</v>
      </c>
      <c r="C1056" t="s">
        <v>31</v>
      </c>
      <c r="D1056" t="s">
        <v>12</v>
      </c>
      <c r="E1056">
        <v>2014</v>
      </c>
      <c r="V1056">
        <f t="shared" si="61"/>
        <v>0</v>
      </c>
    </row>
    <row r="1057" spans="1:22" x14ac:dyDescent="0.25">
      <c r="A1057" t="s">
        <v>21</v>
      </c>
      <c r="B1057" t="s">
        <v>26</v>
      </c>
      <c r="C1057" t="s">
        <v>31</v>
      </c>
      <c r="D1057" t="s">
        <v>15</v>
      </c>
      <c r="E1057">
        <v>2014</v>
      </c>
      <c r="V1057">
        <f>ROUND(V1046*0.18,0)</f>
        <v>7</v>
      </c>
    </row>
    <row r="1058" spans="1:22" x14ac:dyDescent="0.25">
      <c r="A1058" t="s">
        <v>21</v>
      </c>
      <c r="B1058" t="s">
        <v>28</v>
      </c>
      <c r="C1058" t="s">
        <v>31</v>
      </c>
      <c r="D1058" t="s">
        <v>15</v>
      </c>
      <c r="E1058">
        <v>2014</v>
      </c>
      <c r="V1058">
        <f t="shared" ref="V1058:V1060" si="62">ROUND(V1047*0.18,0)</f>
        <v>30</v>
      </c>
    </row>
    <row r="1059" spans="1:22" x14ac:dyDescent="0.25">
      <c r="A1059" t="s">
        <v>21</v>
      </c>
      <c r="B1059" t="s">
        <v>29</v>
      </c>
      <c r="C1059" t="s">
        <v>31</v>
      </c>
      <c r="D1059" t="s">
        <v>15</v>
      </c>
      <c r="E1059">
        <v>2014</v>
      </c>
      <c r="V1059">
        <f t="shared" si="62"/>
        <v>0</v>
      </c>
    </row>
    <row r="1060" spans="1:22" x14ac:dyDescent="0.25">
      <c r="A1060" t="s">
        <v>21</v>
      </c>
      <c r="B1060" t="s">
        <v>30</v>
      </c>
      <c r="C1060" t="s">
        <v>31</v>
      </c>
      <c r="D1060" t="s">
        <v>15</v>
      </c>
      <c r="E1060">
        <v>2014</v>
      </c>
      <c r="V1060">
        <f t="shared" si="62"/>
        <v>0</v>
      </c>
    </row>
    <row r="1062" spans="1:22" x14ac:dyDescent="0.25">
      <c r="A1062" t="s">
        <v>21</v>
      </c>
      <c r="B1062" t="s">
        <v>24</v>
      </c>
      <c r="C1062" t="s">
        <v>19</v>
      </c>
      <c r="D1062" t="s">
        <v>12</v>
      </c>
      <c r="E1062">
        <v>2014</v>
      </c>
      <c r="V1062">
        <f>ROUND(V1040*0.17,0)</f>
        <v>284</v>
      </c>
    </row>
    <row r="1063" spans="1:22" x14ac:dyDescent="0.25">
      <c r="A1063" t="s">
        <v>21</v>
      </c>
      <c r="B1063" t="s">
        <v>26</v>
      </c>
      <c r="C1063" t="s">
        <v>19</v>
      </c>
      <c r="D1063" t="s">
        <v>12</v>
      </c>
      <c r="E1063">
        <v>2014</v>
      </c>
      <c r="V1063">
        <f t="shared" ref="V1063:V1067" si="63">ROUND(V1041*0.17,0)</f>
        <v>6</v>
      </c>
    </row>
    <row r="1064" spans="1:22" x14ac:dyDescent="0.25">
      <c r="A1064" t="s">
        <v>21</v>
      </c>
      <c r="B1064" t="s">
        <v>27</v>
      </c>
      <c r="C1064" t="s">
        <v>19</v>
      </c>
      <c r="D1064" t="s">
        <v>12</v>
      </c>
      <c r="E1064">
        <v>2014</v>
      </c>
      <c r="V1064">
        <f t="shared" si="63"/>
        <v>9</v>
      </c>
    </row>
    <row r="1065" spans="1:22" x14ac:dyDescent="0.25">
      <c r="A1065" t="s">
        <v>21</v>
      </c>
      <c r="B1065" t="s">
        <v>28</v>
      </c>
      <c r="C1065" t="s">
        <v>19</v>
      </c>
      <c r="D1065" t="s">
        <v>12</v>
      </c>
      <c r="E1065">
        <v>2014</v>
      </c>
      <c r="V1065">
        <f t="shared" si="63"/>
        <v>3</v>
      </c>
    </row>
    <row r="1066" spans="1:22" x14ac:dyDescent="0.25">
      <c r="A1066" t="s">
        <v>21</v>
      </c>
      <c r="B1066" t="s">
        <v>29</v>
      </c>
      <c r="C1066" t="s">
        <v>19</v>
      </c>
      <c r="D1066" t="s">
        <v>12</v>
      </c>
      <c r="E1066">
        <v>2014</v>
      </c>
      <c r="V1066">
        <f t="shared" si="63"/>
        <v>0</v>
      </c>
    </row>
    <row r="1067" spans="1:22" x14ac:dyDescent="0.25">
      <c r="A1067" t="s">
        <v>21</v>
      </c>
      <c r="B1067" t="s">
        <v>30</v>
      </c>
      <c r="C1067" t="s">
        <v>19</v>
      </c>
      <c r="D1067" t="s">
        <v>12</v>
      </c>
      <c r="E1067">
        <v>2014</v>
      </c>
      <c r="V1067">
        <f t="shared" si="63"/>
        <v>0</v>
      </c>
    </row>
    <row r="1068" spans="1:22" x14ac:dyDescent="0.25">
      <c r="A1068" t="s">
        <v>21</v>
      </c>
      <c r="B1068" t="s">
        <v>26</v>
      </c>
      <c r="C1068" t="s">
        <v>19</v>
      </c>
      <c r="D1068" t="s">
        <v>15</v>
      </c>
      <c r="E1068">
        <v>2014</v>
      </c>
      <c r="V1068">
        <f>ROUND(V1046*0.31,0)</f>
        <v>12</v>
      </c>
    </row>
    <row r="1069" spans="1:22" x14ac:dyDescent="0.25">
      <c r="A1069" t="s">
        <v>21</v>
      </c>
      <c r="B1069" t="s">
        <v>28</v>
      </c>
      <c r="C1069" t="s">
        <v>19</v>
      </c>
      <c r="D1069" t="s">
        <v>15</v>
      </c>
      <c r="E1069">
        <v>2014</v>
      </c>
      <c r="V1069">
        <f t="shared" ref="V1069:V1071" si="64">ROUND(V1047*0.31,0)</f>
        <v>52</v>
      </c>
    </row>
    <row r="1070" spans="1:22" x14ac:dyDescent="0.25">
      <c r="A1070" t="s">
        <v>21</v>
      </c>
      <c r="B1070" t="s">
        <v>29</v>
      </c>
      <c r="C1070" t="s">
        <v>19</v>
      </c>
      <c r="D1070" t="s">
        <v>15</v>
      </c>
      <c r="E1070">
        <v>2014</v>
      </c>
      <c r="V1070">
        <f t="shared" si="64"/>
        <v>0</v>
      </c>
    </row>
    <row r="1071" spans="1:22" x14ac:dyDescent="0.25">
      <c r="A1071" t="s">
        <v>21</v>
      </c>
      <c r="B1071" t="s">
        <v>30</v>
      </c>
      <c r="C1071" t="s">
        <v>19</v>
      </c>
      <c r="D1071" t="s">
        <v>15</v>
      </c>
      <c r="E1071">
        <v>2014</v>
      </c>
      <c r="V1071">
        <f t="shared" si="64"/>
        <v>0</v>
      </c>
    </row>
    <row r="1073" spans="1:33" x14ac:dyDescent="0.25">
      <c r="A1073" t="s">
        <v>21</v>
      </c>
      <c r="B1073" t="s">
        <v>24</v>
      </c>
      <c r="C1073" t="s">
        <v>20</v>
      </c>
      <c r="D1073" t="s">
        <v>12</v>
      </c>
      <c r="E1073">
        <v>2014</v>
      </c>
      <c r="V1073">
        <f>ROUND(V1040*0.53,0)</f>
        <v>887</v>
      </c>
    </row>
    <row r="1074" spans="1:33" x14ac:dyDescent="0.25">
      <c r="A1074" t="s">
        <v>21</v>
      </c>
      <c r="B1074" t="s">
        <v>26</v>
      </c>
      <c r="C1074" t="s">
        <v>20</v>
      </c>
      <c r="D1074" t="s">
        <v>12</v>
      </c>
      <c r="E1074">
        <v>2014</v>
      </c>
      <c r="V1074">
        <f t="shared" ref="V1074:V1078" si="65">ROUND(V1041*0.53,0)</f>
        <v>20</v>
      </c>
    </row>
    <row r="1075" spans="1:33" x14ac:dyDescent="0.25">
      <c r="A1075" t="s">
        <v>21</v>
      </c>
      <c r="B1075" t="s">
        <v>27</v>
      </c>
      <c r="C1075" t="s">
        <v>20</v>
      </c>
      <c r="D1075" t="s">
        <v>12</v>
      </c>
      <c r="E1075">
        <v>2014</v>
      </c>
      <c r="V1075">
        <f t="shared" si="65"/>
        <v>27</v>
      </c>
    </row>
    <row r="1076" spans="1:33" x14ac:dyDescent="0.25">
      <c r="A1076" t="s">
        <v>21</v>
      </c>
      <c r="B1076" t="s">
        <v>28</v>
      </c>
      <c r="C1076" t="s">
        <v>20</v>
      </c>
      <c r="D1076" t="s">
        <v>12</v>
      </c>
      <c r="E1076">
        <v>2014</v>
      </c>
      <c r="V1076">
        <f t="shared" si="65"/>
        <v>8</v>
      </c>
    </row>
    <row r="1077" spans="1:33" x14ac:dyDescent="0.25">
      <c r="A1077" t="s">
        <v>21</v>
      </c>
      <c r="B1077" t="s">
        <v>29</v>
      </c>
      <c r="C1077" t="s">
        <v>20</v>
      </c>
      <c r="D1077" t="s">
        <v>12</v>
      </c>
      <c r="E1077">
        <v>2014</v>
      </c>
      <c r="V1077">
        <f t="shared" si="65"/>
        <v>1</v>
      </c>
    </row>
    <row r="1078" spans="1:33" x14ac:dyDescent="0.25">
      <c r="A1078" t="s">
        <v>21</v>
      </c>
      <c r="B1078" t="s">
        <v>30</v>
      </c>
      <c r="C1078" t="s">
        <v>20</v>
      </c>
      <c r="D1078" t="s">
        <v>12</v>
      </c>
      <c r="E1078">
        <v>2014</v>
      </c>
      <c r="V1078">
        <f t="shared" si="65"/>
        <v>0</v>
      </c>
    </row>
    <row r="1079" spans="1:33" x14ac:dyDescent="0.25">
      <c r="A1079" t="s">
        <v>21</v>
      </c>
      <c r="B1079" t="s">
        <v>26</v>
      </c>
      <c r="C1079" t="s">
        <v>20</v>
      </c>
      <c r="D1079" t="s">
        <v>15</v>
      </c>
      <c r="E1079">
        <v>2014</v>
      </c>
      <c r="V1079">
        <f>ROUND(V1046*0.51,0)</f>
        <v>20</v>
      </c>
    </row>
    <row r="1080" spans="1:33" x14ac:dyDescent="0.25">
      <c r="A1080" t="s">
        <v>21</v>
      </c>
      <c r="B1080" t="s">
        <v>28</v>
      </c>
      <c r="C1080" t="s">
        <v>20</v>
      </c>
      <c r="D1080" t="s">
        <v>15</v>
      </c>
      <c r="E1080">
        <v>2014</v>
      </c>
      <c r="V1080">
        <f t="shared" ref="V1080:V1082" si="66">ROUND(V1047*0.51,0)</f>
        <v>86</v>
      </c>
    </row>
    <row r="1081" spans="1:33" x14ac:dyDescent="0.25">
      <c r="A1081" t="s">
        <v>21</v>
      </c>
      <c r="B1081" t="s">
        <v>29</v>
      </c>
      <c r="C1081" t="s">
        <v>20</v>
      </c>
      <c r="D1081" t="s">
        <v>15</v>
      </c>
      <c r="E1081">
        <v>2014</v>
      </c>
      <c r="V1081">
        <f t="shared" si="66"/>
        <v>1</v>
      </c>
    </row>
    <row r="1082" spans="1:33" x14ac:dyDescent="0.25">
      <c r="A1082" t="s">
        <v>21</v>
      </c>
      <c r="B1082" t="s">
        <v>30</v>
      </c>
      <c r="C1082" t="s">
        <v>20</v>
      </c>
      <c r="D1082" t="s">
        <v>15</v>
      </c>
      <c r="E1082">
        <v>2014</v>
      </c>
      <c r="V1082">
        <f t="shared" si="66"/>
        <v>0</v>
      </c>
    </row>
    <row r="1085" spans="1:33" x14ac:dyDescent="0.25">
      <c r="A1085" t="s">
        <v>22</v>
      </c>
      <c r="B1085" t="s">
        <v>24</v>
      </c>
      <c r="C1085" t="s">
        <v>11</v>
      </c>
      <c r="D1085" t="s">
        <v>12</v>
      </c>
      <c r="E1085">
        <v>2014</v>
      </c>
      <c r="V1085">
        <v>368</v>
      </c>
      <c r="AE1085" t="s">
        <v>12</v>
      </c>
      <c r="AF1085" t="s">
        <v>31</v>
      </c>
      <c r="AG1085">
        <f>1-AG1086-AG1087</f>
        <v>0.4</v>
      </c>
    </row>
    <row r="1086" spans="1:33" x14ac:dyDescent="0.25">
      <c r="A1086" t="s">
        <v>22</v>
      </c>
      <c r="B1086" t="s">
        <v>26</v>
      </c>
      <c r="C1086" t="s">
        <v>11</v>
      </c>
      <c r="D1086" t="s">
        <v>12</v>
      </c>
      <c r="E1086">
        <v>2014</v>
      </c>
      <c r="V1086">
        <v>19</v>
      </c>
      <c r="AF1086" t="s">
        <v>19</v>
      </c>
      <c r="AG1086">
        <v>0.24</v>
      </c>
    </row>
    <row r="1087" spans="1:33" x14ac:dyDescent="0.25">
      <c r="A1087" t="s">
        <v>22</v>
      </c>
      <c r="B1087" t="s">
        <v>27</v>
      </c>
      <c r="C1087" t="s">
        <v>11</v>
      </c>
      <c r="D1087" t="s">
        <v>12</v>
      </c>
      <c r="E1087">
        <v>2014</v>
      </c>
      <c r="V1087">
        <v>72</v>
      </c>
      <c r="AF1087" t="s">
        <v>20</v>
      </c>
      <c r="AG1087">
        <v>0.36</v>
      </c>
    </row>
    <row r="1088" spans="1:33" x14ac:dyDescent="0.25">
      <c r="A1088" t="s">
        <v>22</v>
      </c>
      <c r="B1088" t="s">
        <v>28</v>
      </c>
      <c r="C1088" t="s">
        <v>11</v>
      </c>
      <c r="D1088" t="s">
        <v>12</v>
      </c>
      <c r="E1088">
        <v>2014</v>
      </c>
      <c r="V1088">
        <v>14</v>
      </c>
      <c r="AE1088" t="s">
        <v>15</v>
      </c>
      <c r="AF1088" t="s">
        <v>31</v>
      </c>
      <c r="AG1088">
        <f>1-AG1089-AG1090</f>
        <v>0.27</v>
      </c>
    </row>
    <row r="1089" spans="1:33" x14ac:dyDescent="0.25">
      <c r="A1089" t="s">
        <v>22</v>
      </c>
      <c r="B1089" t="s">
        <v>29</v>
      </c>
      <c r="C1089" t="s">
        <v>11</v>
      </c>
      <c r="D1089" t="s">
        <v>12</v>
      </c>
      <c r="E1089">
        <v>2014</v>
      </c>
      <c r="V1089">
        <v>2</v>
      </c>
      <c r="AF1089" t="s">
        <v>19</v>
      </c>
      <c r="AG1089">
        <v>0.49</v>
      </c>
    </row>
    <row r="1090" spans="1:33" x14ac:dyDescent="0.25">
      <c r="A1090" t="s">
        <v>22</v>
      </c>
      <c r="B1090" t="s">
        <v>30</v>
      </c>
      <c r="C1090" t="s">
        <v>11</v>
      </c>
      <c r="D1090" t="s">
        <v>12</v>
      </c>
      <c r="E1090">
        <v>2014</v>
      </c>
      <c r="AF1090" t="s">
        <v>20</v>
      </c>
      <c r="AG1090">
        <v>0.24</v>
      </c>
    </row>
    <row r="1091" spans="1:33" x14ac:dyDescent="0.25">
      <c r="A1091" t="s">
        <v>22</v>
      </c>
      <c r="B1091" t="s">
        <v>26</v>
      </c>
      <c r="C1091" t="s">
        <v>11</v>
      </c>
      <c r="D1091" t="s">
        <v>15</v>
      </c>
      <c r="E1091">
        <v>2014</v>
      </c>
      <c r="V1091">
        <v>24</v>
      </c>
    </row>
    <row r="1092" spans="1:33" x14ac:dyDescent="0.25">
      <c r="A1092" t="s">
        <v>22</v>
      </c>
      <c r="B1092" t="s">
        <v>28</v>
      </c>
      <c r="C1092" t="s">
        <v>11</v>
      </c>
      <c r="D1092" t="s">
        <v>15</v>
      </c>
      <c r="E1092">
        <v>2014</v>
      </c>
      <c r="V1092">
        <v>50</v>
      </c>
    </row>
    <row r="1093" spans="1:33" x14ac:dyDescent="0.25">
      <c r="A1093" t="s">
        <v>22</v>
      </c>
      <c r="B1093" t="s">
        <v>29</v>
      </c>
      <c r="C1093" t="s">
        <v>11</v>
      </c>
      <c r="D1093" t="s">
        <v>15</v>
      </c>
      <c r="E1093">
        <v>2014</v>
      </c>
      <c r="V1093">
        <v>0</v>
      </c>
    </row>
    <row r="1094" spans="1:33" x14ac:dyDescent="0.25">
      <c r="A1094" t="s">
        <v>22</v>
      </c>
      <c r="B1094" t="s">
        <v>30</v>
      </c>
      <c r="C1094" t="s">
        <v>11</v>
      </c>
      <c r="D1094" t="s">
        <v>15</v>
      </c>
      <c r="E1094">
        <v>2014</v>
      </c>
    </row>
    <row r="1096" spans="1:33" x14ac:dyDescent="0.25">
      <c r="A1096" t="s">
        <v>22</v>
      </c>
      <c r="B1096" t="s">
        <v>24</v>
      </c>
      <c r="C1096" t="s">
        <v>31</v>
      </c>
      <c r="D1096" t="s">
        <v>12</v>
      </c>
      <c r="E1096">
        <v>2014</v>
      </c>
      <c r="V1096">
        <f>ROUND(V1085*$AG$1085,0)</f>
        <v>147</v>
      </c>
    </row>
    <row r="1097" spans="1:33" x14ac:dyDescent="0.25">
      <c r="A1097" t="s">
        <v>22</v>
      </c>
      <c r="B1097" t="s">
        <v>26</v>
      </c>
      <c r="C1097" t="s">
        <v>31</v>
      </c>
      <c r="D1097" t="s">
        <v>12</v>
      </c>
      <c r="E1097">
        <v>2014</v>
      </c>
      <c r="V1097">
        <f t="shared" ref="V1097:V1101" si="67">ROUND(V1086*$AG$1085,0)</f>
        <v>8</v>
      </c>
    </row>
    <row r="1098" spans="1:33" x14ac:dyDescent="0.25">
      <c r="A1098" t="s">
        <v>22</v>
      </c>
      <c r="B1098" t="s">
        <v>27</v>
      </c>
      <c r="C1098" t="s">
        <v>31</v>
      </c>
      <c r="D1098" t="s">
        <v>12</v>
      </c>
      <c r="E1098">
        <v>2014</v>
      </c>
      <c r="V1098">
        <f t="shared" si="67"/>
        <v>29</v>
      </c>
    </row>
    <row r="1099" spans="1:33" x14ac:dyDescent="0.25">
      <c r="A1099" t="s">
        <v>22</v>
      </c>
      <c r="B1099" t="s">
        <v>28</v>
      </c>
      <c r="C1099" t="s">
        <v>31</v>
      </c>
      <c r="D1099" t="s">
        <v>12</v>
      </c>
      <c r="E1099">
        <v>2014</v>
      </c>
      <c r="V1099">
        <f t="shared" si="67"/>
        <v>6</v>
      </c>
    </row>
    <row r="1100" spans="1:33" x14ac:dyDescent="0.25">
      <c r="A1100" t="s">
        <v>22</v>
      </c>
      <c r="B1100" t="s">
        <v>29</v>
      </c>
      <c r="C1100" t="s">
        <v>31</v>
      </c>
      <c r="D1100" t="s">
        <v>12</v>
      </c>
      <c r="E1100">
        <v>2014</v>
      </c>
      <c r="V1100">
        <f t="shared" si="67"/>
        <v>1</v>
      </c>
    </row>
    <row r="1101" spans="1:33" x14ac:dyDescent="0.25">
      <c r="A1101" t="s">
        <v>22</v>
      </c>
      <c r="B1101" t="s">
        <v>30</v>
      </c>
      <c r="C1101" t="s">
        <v>31</v>
      </c>
      <c r="D1101" t="s">
        <v>12</v>
      </c>
      <c r="E1101">
        <v>2014</v>
      </c>
      <c r="V1101">
        <f t="shared" si="67"/>
        <v>0</v>
      </c>
    </row>
    <row r="1102" spans="1:33" x14ac:dyDescent="0.25">
      <c r="A1102" t="s">
        <v>22</v>
      </c>
      <c r="B1102" t="s">
        <v>26</v>
      </c>
      <c r="C1102" t="s">
        <v>31</v>
      </c>
      <c r="D1102" t="s">
        <v>15</v>
      </c>
      <c r="E1102">
        <v>2014</v>
      </c>
      <c r="V1102">
        <f>ROUND(V1091*$AG$1088,0)</f>
        <v>6</v>
      </c>
    </row>
    <row r="1103" spans="1:33" x14ac:dyDescent="0.25">
      <c r="A1103" t="s">
        <v>22</v>
      </c>
      <c r="B1103" t="s">
        <v>28</v>
      </c>
      <c r="C1103" t="s">
        <v>31</v>
      </c>
      <c r="D1103" t="s">
        <v>15</v>
      </c>
      <c r="E1103">
        <v>2014</v>
      </c>
      <c r="V1103">
        <f t="shared" ref="V1103:V1105" si="68">ROUND(V1092*$AG$1088,0)</f>
        <v>14</v>
      </c>
    </row>
    <row r="1104" spans="1:33" x14ac:dyDescent="0.25">
      <c r="A1104" t="s">
        <v>22</v>
      </c>
      <c r="B1104" t="s">
        <v>29</v>
      </c>
      <c r="C1104" t="s">
        <v>31</v>
      </c>
      <c r="D1104" t="s">
        <v>15</v>
      </c>
      <c r="E1104">
        <v>2014</v>
      </c>
      <c r="V1104">
        <f t="shared" si="68"/>
        <v>0</v>
      </c>
    </row>
    <row r="1105" spans="1:22" x14ac:dyDescent="0.25">
      <c r="A1105" t="s">
        <v>22</v>
      </c>
      <c r="B1105" t="s">
        <v>30</v>
      </c>
      <c r="C1105" t="s">
        <v>31</v>
      </c>
      <c r="D1105" t="s">
        <v>15</v>
      </c>
      <c r="E1105">
        <v>2014</v>
      </c>
      <c r="V1105">
        <f t="shared" si="68"/>
        <v>0</v>
      </c>
    </row>
    <row r="1107" spans="1:22" x14ac:dyDescent="0.25">
      <c r="A1107" t="s">
        <v>22</v>
      </c>
      <c r="B1107" t="s">
        <v>24</v>
      </c>
      <c r="C1107" t="s">
        <v>19</v>
      </c>
      <c r="D1107" t="s">
        <v>12</v>
      </c>
      <c r="E1107">
        <v>2014</v>
      </c>
      <c r="V1107">
        <f>ROUND(V1085*$AG$1086,0)</f>
        <v>88</v>
      </c>
    </row>
    <row r="1108" spans="1:22" x14ac:dyDescent="0.25">
      <c r="A1108" t="s">
        <v>22</v>
      </c>
      <c r="B1108" t="s">
        <v>26</v>
      </c>
      <c r="C1108" t="s">
        <v>19</v>
      </c>
      <c r="D1108" t="s">
        <v>12</v>
      </c>
      <c r="E1108">
        <v>2014</v>
      </c>
      <c r="V1108">
        <f t="shared" ref="V1108:V1112" si="69">ROUND(V1086*$AG$1086,0)</f>
        <v>5</v>
      </c>
    </row>
    <row r="1109" spans="1:22" x14ac:dyDescent="0.25">
      <c r="A1109" t="s">
        <v>22</v>
      </c>
      <c r="B1109" t="s">
        <v>27</v>
      </c>
      <c r="C1109" t="s">
        <v>19</v>
      </c>
      <c r="D1109" t="s">
        <v>12</v>
      </c>
      <c r="E1109">
        <v>2014</v>
      </c>
      <c r="V1109">
        <f t="shared" si="69"/>
        <v>17</v>
      </c>
    </row>
    <row r="1110" spans="1:22" x14ac:dyDescent="0.25">
      <c r="A1110" t="s">
        <v>22</v>
      </c>
      <c r="B1110" t="s">
        <v>28</v>
      </c>
      <c r="C1110" t="s">
        <v>19</v>
      </c>
      <c r="D1110" t="s">
        <v>12</v>
      </c>
      <c r="E1110">
        <v>2014</v>
      </c>
      <c r="V1110">
        <f t="shared" si="69"/>
        <v>3</v>
      </c>
    </row>
    <row r="1111" spans="1:22" x14ac:dyDescent="0.25">
      <c r="A1111" t="s">
        <v>22</v>
      </c>
      <c r="B1111" t="s">
        <v>29</v>
      </c>
      <c r="C1111" t="s">
        <v>19</v>
      </c>
      <c r="D1111" t="s">
        <v>12</v>
      </c>
      <c r="E1111">
        <v>2014</v>
      </c>
      <c r="V1111">
        <f t="shared" si="69"/>
        <v>0</v>
      </c>
    </row>
    <row r="1112" spans="1:22" x14ac:dyDescent="0.25">
      <c r="A1112" t="s">
        <v>22</v>
      </c>
      <c r="B1112" t="s">
        <v>30</v>
      </c>
      <c r="C1112" t="s">
        <v>19</v>
      </c>
      <c r="D1112" t="s">
        <v>12</v>
      </c>
      <c r="E1112">
        <v>2014</v>
      </c>
      <c r="V1112">
        <f t="shared" si="69"/>
        <v>0</v>
      </c>
    </row>
    <row r="1113" spans="1:22" x14ac:dyDescent="0.25">
      <c r="A1113" t="s">
        <v>22</v>
      </c>
      <c r="B1113" t="s">
        <v>26</v>
      </c>
      <c r="C1113" t="s">
        <v>19</v>
      </c>
      <c r="D1113" t="s">
        <v>15</v>
      </c>
      <c r="E1113">
        <v>2014</v>
      </c>
      <c r="V1113">
        <f>ROUND(V1091*$AG$1089,0)</f>
        <v>12</v>
      </c>
    </row>
    <row r="1114" spans="1:22" x14ac:dyDescent="0.25">
      <c r="A1114" t="s">
        <v>22</v>
      </c>
      <c r="B1114" t="s">
        <v>28</v>
      </c>
      <c r="C1114" t="s">
        <v>19</v>
      </c>
      <c r="D1114" t="s">
        <v>15</v>
      </c>
      <c r="E1114">
        <v>2014</v>
      </c>
      <c r="V1114">
        <f t="shared" ref="V1114:V1116" si="70">ROUND(V1092*$AG$1089,0)</f>
        <v>25</v>
      </c>
    </row>
    <row r="1115" spans="1:22" x14ac:dyDescent="0.25">
      <c r="A1115" t="s">
        <v>22</v>
      </c>
      <c r="B1115" t="s">
        <v>29</v>
      </c>
      <c r="C1115" t="s">
        <v>19</v>
      </c>
      <c r="D1115" t="s">
        <v>15</v>
      </c>
      <c r="E1115">
        <v>2014</v>
      </c>
      <c r="V1115">
        <f t="shared" si="70"/>
        <v>0</v>
      </c>
    </row>
    <row r="1116" spans="1:22" x14ac:dyDescent="0.25">
      <c r="A1116" t="s">
        <v>22</v>
      </c>
      <c r="B1116" t="s">
        <v>30</v>
      </c>
      <c r="C1116" t="s">
        <v>19</v>
      </c>
      <c r="D1116" t="s">
        <v>15</v>
      </c>
      <c r="E1116">
        <v>2014</v>
      </c>
      <c r="V1116">
        <f t="shared" si="70"/>
        <v>0</v>
      </c>
    </row>
    <row r="1118" spans="1:22" x14ac:dyDescent="0.25">
      <c r="A1118" t="s">
        <v>22</v>
      </c>
      <c r="B1118" t="s">
        <v>24</v>
      </c>
      <c r="C1118" t="s">
        <v>20</v>
      </c>
      <c r="D1118" t="s">
        <v>12</v>
      </c>
      <c r="E1118">
        <v>2014</v>
      </c>
      <c r="V1118">
        <f>ROUND(V1085*$AG$1087,0)</f>
        <v>132</v>
      </c>
    </row>
    <row r="1119" spans="1:22" x14ac:dyDescent="0.25">
      <c r="A1119" t="s">
        <v>22</v>
      </c>
      <c r="B1119" t="s">
        <v>26</v>
      </c>
      <c r="C1119" t="s">
        <v>20</v>
      </c>
      <c r="D1119" t="s">
        <v>12</v>
      </c>
      <c r="E1119">
        <v>2014</v>
      </c>
      <c r="V1119">
        <f t="shared" ref="V1119:V1123" si="71">ROUND(V1086*$AG$1087,0)</f>
        <v>7</v>
      </c>
    </row>
    <row r="1120" spans="1:22" x14ac:dyDescent="0.25">
      <c r="A1120" t="s">
        <v>22</v>
      </c>
      <c r="B1120" t="s">
        <v>27</v>
      </c>
      <c r="C1120" t="s">
        <v>20</v>
      </c>
      <c r="D1120" t="s">
        <v>12</v>
      </c>
      <c r="E1120">
        <v>2014</v>
      </c>
      <c r="V1120">
        <f t="shared" si="71"/>
        <v>26</v>
      </c>
    </row>
    <row r="1121" spans="1:30" x14ac:dyDescent="0.25">
      <c r="A1121" t="s">
        <v>22</v>
      </c>
      <c r="B1121" t="s">
        <v>28</v>
      </c>
      <c r="C1121" t="s">
        <v>20</v>
      </c>
      <c r="D1121" t="s">
        <v>12</v>
      </c>
      <c r="E1121">
        <v>2014</v>
      </c>
      <c r="V1121">
        <f t="shared" si="71"/>
        <v>5</v>
      </c>
    </row>
    <row r="1122" spans="1:30" x14ac:dyDescent="0.25">
      <c r="A1122" t="s">
        <v>22</v>
      </c>
      <c r="B1122" t="s">
        <v>29</v>
      </c>
      <c r="C1122" t="s">
        <v>20</v>
      </c>
      <c r="D1122" t="s">
        <v>12</v>
      </c>
      <c r="E1122">
        <v>2014</v>
      </c>
      <c r="V1122">
        <f t="shared" si="71"/>
        <v>1</v>
      </c>
    </row>
    <row r="1123" spans="1:30" x14ac:dyDescent="0.25">
      <c r="A1123" t="s">
        <v>22</v>
      </c>
      <c r="B1123" t="s">
        <v>30</v>
      </c>
      <c r="C1123" t="s">
        <v>20</v>
      </c>
      <c r="D1123" t="s">
        <v>12</v>
      </c>
      <c r="E1123">
        <v>2014</v>
      </c>
      <c r="V1123">
        <f t="shared" si="71"/>
        <v>0</v>
      </c>
    </row>
    <row r="1124" spans="1:30" x14ac:dyDescent="0.25">
      <c r="A1124" t="s">
        <v>22</v>
      </c>
      <c r="B1124" t="s">
        <v>26</v>
      </c>
      <c r="C1124" t="s">
        <v>20</v>
      </c>
      <c r="D1124" t="s">
        <v>15</v>
      </c>
      <c r="E1124">
        <v>2014</v>
      </c>
      <c r="V1124">
        <f>ROUND(V1091*$AG$1090,0)</f>
        <v>6</v>
      </c>
    </row>
    <row r="1125" spans="1:30" x14ac:dyDescent="0.25">
      <c r="A1125" t="s">
        <v>22</v>
      </c>
      <c r="B1125" t="s">
        <v>28</v>
      </c>
      <c r="C1125" t="s">
        <v>20</v>
      </c>
      <c r="D1125" t="s">
        <v>15</v>
      </c>
      <c r="E1125">
        <v>2014</v>
      </c>
      <c r="V1125">
        <f t="shared" ref="V1125:V1127" si="72">ROUND(V1092*$AG$1090,0)</f>
        <v>12</v>
      </c>
    </row>
    <row r="1126" spans="1:30" x14ac:dyDescent="0.25">
      <c r="A1126" t="s">
        <v>22</v>
      </c>
      <c r="B1126" t="s">
        <v>29</v>
      </c>
      <c r="C1126" t="s">
        <v>20</v>
      </c>
      <c r="D1126" t="s">
        <v>15</v>
      </c>
      <c r="E1126">
        <v>2014</v>
      </c>
      <c r="V1126">
        <f t="shared" si="72"/>
        <v>0</v>
      </c>
    </row>
    <row r="1127" spans="1:30" x14ac:dyDescent="0.25">
      <c r="A1127" t="s">
        <v>22</v>
      </c>
      <c r="B1127" t="s">
        <v>30</v>
      </c>
      <c r="C1127" t="s">
        <v>20</v>
      </c>
      <c r="D1127" t="s">
        <v>15</v>
      </c>
      <c r="E1127">
        <v>2014</v>
      </c>
      <c r="V1127">
        <f t="shared" si="72"/>
        <v>0</v>
      </c>
    </row>
    <row r="1134" spans="1:30" x14ac:dyDescent="0.25">
      <c r="A1134" s="5" t="s">
        <v>21</v>
      </c>
      <c r="B1134" s="5" t="s">
        <v>24</v>
      </c>
      <c r="C1134" s="5" t="s">
        <v>19</v>
      </c>
      <c r="D1134" s="5" t="s">
        <v>12</v>
      </c>
      <c r="E1134" s="5">
        <v>2014</v>
      </c>
      <c r="F1134" s="5"/>
      <c r="K1134" s="5"/>
      <c r="L1134" s="5"/>
      <c r="M1134" s="5"/>
      <c r="N1134" s="5"/>
      <c r="O1134" s="5"/>
      <c r="P1134" s="5"/>
      <c r="Q1134" s="5"/>
      <c r="R1134" s="5"/>
      <c r="S1134" s="5"/>
      <c r="T1134" s="5"/>
      <c r="U1134" s="5"/>
      <c r="V1134" s="5"/>
      <c r="W1134" s="5"/>
      <c r="X1134" s="5"/>
      <c r="Y1134" s="5"/>
      <c r="Z1134" s="5"/>
      <c r="AA1134" s="5"/>
      <c r="AB1134" s="5"/>
      <c r="AC1134" s="5"/>
      <c r="AD1134" s="5"/>
    </row>
    <row r="1135" spans="1:30" x14ac:dyDescent="0.25">
      <c r="A1135" s="5" t="s">
        <v>21</v>
      </c>
      <c r="B1135" s="5" t="s">
        <v>26</v>
      </c>
      <c r="C1135" s="5" t="s">
        <v>19</v>
      </c>
      <c r="D1135" s="5" t="s">
        <v>12</v>
      </c>
      <c r="E1135" s="5">
        <v>2014</v>
      </c>
      <c r="F1135" s="5"/>
      <c r="K1135" s="5"/>
      <c r="L1135" s="5"/>
      <c r="M1135" s="5"/>
      <c r="N1135" s="5"/>
      <c r="O1135" s="5"/>
      <c r="P1135" s="5"/>
      <c r="Q1135" s="5"/>
      <c r="R1135" s="5"/>
      <c r="S1135" s="5"/>
      <c r="T1135" s="5"/>
      <c r="U1135" s="5"/>
      <c r="V1135" s="5"/>
      <c r="W1135" s="5"/>
      <c r="X1135" s="5"/>
      <c r="Y1135" s="5"/>
      <c r="Z1135" s="5"/>
      <c r="AA1135" s="5"/>
      <c r="AB1135" s="5"/>
      <c r="AC1135" s="5"/>
      <c r="AD1135" s="5"/>
    </row>
    <row r="1136" spans="1:30" x14ac:dyDescent="0.25">
      <c r="A1136" s="5" t="s">
        <v>21</v>
      </c>
      <c r="B1136" s="5" t="s">
        <v>27</v>
      </c>
      <c r="C1136" s="5" t="s">
        <v>19</v>
      </c>
      <c r="D1136" s="5" t="s">
        <v>12</v>
      </c>
      <c r="E1136" s="5">
        <v>2014</v>
      </c>
      <c r="F1136" s="5"/>
      <c r="K1136" s="5"/>
      <c r="L1136" s="5"/>
      <c r="M1136" s="5"/>
      <c r="N1136" s="5"/>
      <c r="O1136" s="5"/>
      <c r="P1136" s="5"/>
      <c r="Q1136" s="5"/>
      <c r="R1136" s="5"/>
      <c r="S1136" s="5"/>
      <c r="T1136" s="5"/>
      <c r="U1136" s="5"/>
      <c r="V1136" s="5"/>
      <c r="W1136" s="5"/>
      <c r="X1136" s="5"/>
      <c r="Y1136" s="5"/>
      <c r="Z1136" s="5"/>
      <c r="AA1136" s="5"/>
      <c r="AB1136" s="5"/>
      <c r="AC1136" s="5"/>
      <c r="AD1136" s="5"/>
    </row>
    <row r="1137" spans="1:30" x14ac:dyDescent="0.25">
      <c r="A1137" s="5" t="s">
        <v>21</v>
      </c>
      <c r="B1137" s="5" t="s">
        <v>28</v>
      </c>
      <c r="C1137" s="5" t="s">
        <v>19</v>
      </c>
      <c r="D1137" s="5" t="s">
        <v>12</v>
      </c>
      <c r="E1137" s="5">
        <v>2014</v>
      </c>
      <c r="F1137" s="5"/>
      <c r="K1137" s="5"/>
      <c r="L1137" s="5"/>
      <c r="M1137" s="5"/>
      <c r="N1137" s="5"/>
      <c r="O1137" s="5"/>
      <c r="P1137" s="5"/>
      <c r="Q1137" s="5"/>
      <c r="R1137" s="5"/>
      <c r="S1137" s="5"/>
      <c r="T1137" s="5"/>
      <c r="U1137" s="5"/>
      <c r="V1137" s="5"/>
      <c r="W1137" s="5"/>
      <c r="X1137" s="5"/>
      <c r="Y1137" s="5"/>
      <c r="Z1137" s="5"/>
      <c r="AA1137" s="5"/>
      <c r="AB1137" s="5"/>
      <c r="AC1137" s="5"/>
      <c r="AD1137" s="5"/>
    </row>
    <row r="1138" spans="1:30" x14ac:dyDescent="0.25">
      <c r="A1138" s="5" t="s">
        <v>21</v>
      </c>
      <c r="B1138" s="5" t="s">
        <v>29</v>
      </c>
      <c r="C1138" s="5" t="s">
        <v>19</v>
      </c>
      <c r="D1138" s="5" t="s">
        <v>12</v>
      </c>
      <c r="E1138" s="5">
        <v>2014</v>
      </c>
      <c r="F1138" s="5"/>
      <c r="K1138" s="5"/>
      <c r="L1138" s="5"/>
      <c r="M1138" s="5"/>
      <c r="N1138" s="5"/>
      <c r="O1138" s="5"/>
      <c r="P1138" s="5"/>
      <c r="Q1138" s="5"/>
      <c r="R1138" s="5"/>
      <c r="S1138" s="5"/>
      <c r="T1138" s="5"/>
      <c r="U1138" s="5"/>
      <c r="V1138" s="5"/>
      <c r="W1138" s="5"/>
      <c r="X1138" s="5"/>
      <c r="Y1138" s="5"/>
      <c r="Z1138" s="5"/>
      <c r="AA1138" s="5"/>
      <c r="AB1138" s="5"/>
      <c r="AC1138" s="5"/>
      <c r="AD1138" s="5"/>
    </row>
    <row r="1139" spans="1:30" x14ac:dyDescent="0.25">
      <c r="A1139" s="5" t="s">
        <v>21</v>
      </c>
      <c r="B1139" s="5" t="s">
        <v>30</v>
      </c>
      <c r="C1139" s="5" t="s">
        <v>19</v>
      </c>
      <c r="D1139" s="5" t="s">
        <v>12</v>
      </c>
      <c r="E1139" s="5">
        <v>2014</v>
      </c>
      <c r="F1139" s="5"/>
      <c r="K1139" s="5"/>
      <c r="L1139" s="5"/>
      <c r="M1139" s="5"/>
      <c r="N1139" s="5"/>
      <c r="O1139" s="5"/>
      <c r="P1139" s="5"/>
      <c r="Q1139" s="5"/>
      <c r="R1139" s="5"/>
      <c r="S1139" s="5"/>
      <c r="T1139" s="5"/>
      <c r="U1139" s="5"/>
      <c r="V1139" s="5"/>
      <c r="W1139" s="5"/>
      <c r="X1139" s="5"/>
      <c r="Y1139" s="5"/>
      <c r="Z1139" s="5"/>
      <c r="AA1139" s="5"/>
      <c r="AB1139" s="5"/>
      <c r="AC1139" s="5"/>
      <c r="AD1139" s="5"/>
    </row>
    <row r="1140" spans="1:30" x14ac:dyDescent="0.25">
      <c r="A1140" s="4" t="s">
        <v>10</v>
      </c>
      <c r="B1140" s="4" t="s">
        <v>24</v>
      </c>
      <c r="C1140" s="4" t="s">
        <v>19</v>
      </c>
      <c r="D1140" s="4" t="s">
        <v>12</v>
      </c>
      <c r="E1140" s="4">
        <v>2014</v>
      </c>
      <c r="F1140" s="4"/>
      <c r="K1140" s="4"/>
      <c r="L1140" s="4"/>
      <c r="M1140" s="4"/>
      <c r="N1140" s="4"/>
      <c r="O1140" s="4"/>
      <c r="P1140" s="4"/>
      <c r="Q1140" s="4"/>
      <c r="R1140" s="4"/>
      <c r="S1140" s="4"/>
      <c r="T1140" s="4"/>
      <c r="U1140" s="4"/>
      <c r="V1140" s="4"/>
      <c r="W1140" s="4"/>
      <c r="X1140" s="4"/>
      <c r="Y1140" s="4"/>
      <c r="Z1140" s="4"/>
      <c r="AA1140" s="4"/>
      <c r="AB1140" s="4"/>
      <c r="AC1140" s="4"/>
      <c r="AD1140" s="4"/>
    </row>
    <row r="1141" spans="1:30" x14ac:dyDescent="0.25">
      <c r="A1141" s="4" t="s">
        <v>10</v>
      </c>
      <c r="B1141" s="4" t="s">
        <v>26</v>
      </c>
      <c r="C1141" s="4" t="s">
        <v>19</v>
      </c>
      <c r="D1141" s="4" t="s">
        <v>12</v>
      </c>
      <c r="E1141" s="4">
        <v>2014</v>
      </c>
      <c r="F1141" s="4"/>
      <c r="K1141" s="4"/>
      <c r="L1141" s="4"/>
      <c r="M1141" s="4"/>
      <c r="N1141" s="4"/>
      <c r="O1141" s="4"/>
      <c r="P1141" s="4"/>
      <c r="Q1141" s="4"/>
      <c r="R1141" s="4"/>
      <c r="S1141" s="4"/>
      <c r="T1141" s="4"/>
      <c r="U1141" s="4"/>
      <c r="V1141" s="4"/>
      <c r="W1141" s="4"/>
      <c r="X1141" s="4"/>
      <c r="Y1141" s="4"/>
      <c r="Z1141" s="4"/>
      <c r="AA1141" s="4"/>
      <c r="AB1141" s="4"/>
      <c r="AC1141" s="4"/>
      <c r="AD1141" s="4"/>
    </row>
    <row r="1142" spans="1:30" x14ac:dyDescent="0.25">
      <c r="A1142" s="4" t="s">
        <v>10</v>
      </c>
      <c r="B1142" s="4" t="s">
        <v>27</v>
      </c>
      <c r="C1142" s="4" t="s">
        <v>19</v>
      </c>
      <c r="D1142" s="4" t="s">
        <v>12</v>
      </c>
      <c r="E1142" s="4">
        <v>2014</v>
      </c>
      <c r="F1142" s="4"/>
      <c r="K1142" s="4"/>
      <c r="L1142" s="4"/>
      <c r="M1142" s="4"/>
      <c r="N1142" s="4"/>
      <c r="O1142" s="4"/>
      <c r="P1142" s="4"/>
      <c r="Q1142" s="4"/>
      <c r="R1142" s="4"/>
      <c r="S1142" s="4"/>
      <c r="T1142" s="4"/>
      <c r="U1142" s="4"/>
      <c r="V1142" s="4"/>
      <c r="W1142" s="4"/>
      <c r="X1142" s="4"/>
      <c r="Y1142" s="4"/>
      <c r="Z1142" s="4"/>
      <c r="AA1142" s="4"/>
      <c r="AB1142" s="4"/>
      <c r="AC1142" s="4"/>
      <c r="AD1142" s="4"/>
    </row>
    <row r="1143" spans="1:30" x14ac:dyDescent="0.25">
      <c r="A1143" s="4" t="s">
        <v>10</v>
      </c>
      <c r="B1143" s="4" t="s">
        <v>28</v>
      </c>
      <c r="C1143" s="4" t="s">
        <v>19</v>
      </c>
      <c r="D1143" s="4" t="s">
        <v>12</v>
      </c>
      <c r="E1143" s="4">
        <v>2014</v>
      </c>
      <c r="F1143" s="4"/>
      <c r="K1143" s="4"/>
      <c r="L1143" s="4"/>
      <c r="M1143" s="4"/>
      <c r="N1143" s="4"/>
      <c r="O1143" s="4"/>
      <c r="P1143" s="4"/>
      <c r="Q1143" s="4"/>
      <c r="R1143" s="4"/>
      <c r="S1143" s="4"/>
      <c r="T1143" s="4"/>
      <c r="U1143" s="4"/>
      <c r="V1143" s="4"/>
      <c r="W1143" s="4"/>
      <c r="X1143" s="4"/>
      <c r="Y1143" s="4"/>
      <c r="Z1143" s="4"/>
      <c r="AA1143" s="4"/>
      <c r="AB1143" s="4"/>
      <c r="AC1143" s="4"/>
      <c r="AD1143" s="4"/>
    </row>
    <row r="1144" spans="1:30" x14ac:dyDescent="0.25">
      <c r="A1144" s="4" t="s">
        <v>10</v>
      </c>
      <c r="B1144" s="4" t="s">
        <v>29</v>
      </c>
      <c r="C1144" s="4" t="s">
        <v>19</v>
      </c>
      <c r="D1144" s="4" t="s">
        <v>12</v>
      </c>
      <c r="E1144" s="4">
        <v>2014</v>
      </c>
      <c r="F1144" s="4"/>
      <c r="K1144" s="4"/>
      <c r="L1144" s="4"/>
      <c r="M1144" s="4"/>
      <c r="N1144" s="4"/>
      <c r="O1144" s="4"/>
      <c r="P1144" s="4"/>
      <c r="Q1144" s="4"/>
      <c r="R1144" s="4"/>
      <c r="S1144" s="4"/>
      <c r="T1144" s="4"/>
      <c r="U1144" s="4"/>
      <c r="V1144" s="4"/>
      <c r="W1144" s="4"/>
      <c r="X1144" s="4"/>
      <c r="Y1144" s="4"/>
      <c r="Z1144" s="4"/>
      <c r="AA1144" s="4"/>
      <c r="AB1144" s="4"/>
      <c r="AC1144" s="4"/>
      <c r="AD1144" s="4"/>
    </row>
    <row r="1145" spans="1:30" x14ac:dyDescent="0.25">
      <c r="A1145" s="4" t="s">
        <v>10</v>
      </c>
      <c r="B1145" s="4" t="s">
        <v>30</v>
      </c>
      <c r="C1145" s="4" t="s">
        <v>19</v>
      </c>
      <c r="D1145" s="4" t="s">
        <v>12</v>
      </c>
      <c r="E1145" s="4">
        <v>2014</v>
      </c>
      <c r="F1145" s="4"/>
      <c r="K1145" s="4"/>
      <c r="L1145" s="4"/>
      <c r="M1145" s="4"/>
      <c r="N1145" s="4"/>
      <c r="O1145" s="4"/>
      <c r="P1145" s="4"/>
      <c r="Q1145" s="4"/>
      <c r="R1145" s="4"/>
      <c r="S1145" s="4"/>
      <c r="T1145" s="4"/>
      <c r="U1145" s="4"/>
      <c r="V1145" s="4"/>
      <c r="W1145" s="4"/>
      <c r="X1145" s="4"/>
      <c r="Y1145" s="4"/>
      <c r="Z1145" s="4"/>
      <c r="AA1145" s="4"/>
      <c r="AB1145" s="4"/>
      <c r="AC1145" s="4"/>
      <c r="AD1145" s="4"/>
    </row>
    <row r="1146" spans="1:30" x14ac:dyDescent="0.25">
      <c r="A1146" s="5" t="s">
        <v>22</v>
      </c>
      <c r="B1146" s="5" t="s">
        <v>24</v>
      </c>
      <c r="C1146" s="5" t="s">
        <v>19</v>
      </c>
      <c r="D1146" s="5" t="s">
        <v>12</v>
      </c>
      <c r="E1146" s="5">
        <v>2014</v>
      </c>
      <c r="F1146" s="5"/>
      <c r="K1146" s="5"/>
      <c r="L1146" s="5"/>
      <c r="M1146" s="5"/>
      <c r="N1146" s="5"/>
      <c r="O1146" s="5"/>
      <c r="P1146" s="5"/>
      <c r="Q1146" s="5"/>
      <c r="R1146" s="5"/>
      <c r="S1146" s="5"/>
      <c r="T1146" s="5"/>
      <c r="U1146" s="5"/>
      <c r="V1146" s="5"/>
      <c r="W1146" s="5"/>
      <c r="X1146" s="5"/>
      <c r="Y1146" s="5"/>
      <c r="Z1146" s="5"/>
      <c r="AA1146" s="5"/>
      <c r="AB1146" s="5"/>
      <c r="AC1146" s="5"/>
      <c r="AD1146" s="5"/>
    </row>
    <row r="1147" spans="1:30" x14ac:dyDescent="0.25">
      <c r="A1147" s="5" t="s">
        <v>22</v>
      </c>
      <c r="B1147" s="5" t="s">
        <v>26</v>
      </c>
      <c r="C1147" s="5" t="s">
        <v>19</v>
      </c>
      <c r="D1147" s="5" t="s">
        <v>12</v>
      </c>
      <c r="E1147" s="5">
        <v>2014</v>
      </c>
      <c r="F1147" s="5"/>
      <c r="K1147" s="5"/>
      <c r="L1147" s="5"/>
      <c r="M1147" s="5"/>
      <c r="N1147" s="5"/>
      <c r="O1147" s="5"/>
      <c r="P1147" s="5"/>
      <c r="Q1147" s="5"/>
      <c r="R1147" s="5"/>
      <c r="S1147" s="5"/>
      <c r="T1147" s="5"/>
      <c r="U1147" s="5"/>
      <c r="V1147" s="5"/>
      <c r="W1147" s="5"/>
      <c r="X1147" s="5"/>
      <c r="Y1147" s="5"/>
      <c r="Z1147" s="5"/>
      <c r="AA1147" s="5"/>
      <c r="AB1147" s="5"/>
      <c r="AC1147" s="5"/>
      <c r="AD1147" s="5"/>
    </row>
    <row r="1148" spans="1:30" x14ac:dyDescent="0.25">
      <c r="A1148" s="5" t="s">
        <v>22</v>
      </c>
      <c r="B1148" s="5" t="s">
        <v>27</v>
      </c>
      <c r="C1148" s="5" t="s">
        <v>19</v>
      </c>
      <c r="D1148" s="5" t="s">
        <v>12</v>
      </c>
      <c r="E1148" s="5">
        <v>2014</v>
      </c>
      <c r="F1148" s="5"/>
      <c r="K1148" s="5"/>
      <c r="L1148" s="5"/>
      <c r="M1148" s="5"/>
      <c r="N1148" s="5"/>
      <c r="O1148" s="5"/>
      <c r="P1148" s="5"/>
      <c r="Q1148" s="5"/>
      <c r="R1148" s="5"/>
      <c r="S1148" s="5"/>
      <c r="T1148" s="5"/>
      <c r="U1148" s="5"/>
      <c r="V1148" s="5"/>
      <c r="W1148" s="5"/>
      <c r="X1148" s="5"/>
      <c r="Y1148" s="5"/>
      <c r="Z1148" s="5"/>
      <c r="AA1148" s="5"/>
      <c r="AB1148" s="5"/>
      <c r="AC1148" s="5"/>
      <c r="AD1148" s="5"/>
    </row>
    <row r="1149" spans="1:30" x14ac:dyDescent="0.25">
      <c r="A1149" s="5" t="s">
        <v>22</v>
      </c>
      <c r="B1149" s="5" t="s">
        <v>28</v>
      </c>
      <c r="C1149" s="5" t="s">
        <v>19</v>
      </c>
      <c r="D1149" s="5" t="s">
        <v>12</v>
      </c>
      <c r="E1149" s="5">
        <v>2014</v>
      </c>
      <c r="F1149" s="5"/>
      <c r="K1149" s="5"/>
      <c r="L1149" s="5"/>
      <c r="M1149" s="5"/>
      <c r="N1149" s="5"/>
      <c r="O1149" s="5"/>
      <c r="P1149" s="5"/>
      <c r="Q1149" s="5"/>
      <c r="R1149" s="5"/>
      <c r="S1149" s="5"/>
      <c r="T1149" s="5"/>
      <c r="U1149" s="5"/>
      <c r="V1149" s="5"/>
      <c r="W1149" s="5"/>
      <c r="X1149" s="5"/>
      <c r="Y1149" s="5"/>
      <c r="Z1149" s="5"/>
      <c r="AA1149" s="5"/>
      <c r="AB1149" s="5"/>
      <c r="AC1149" s="5"/>
      <c r="AD1149" s="5"/>
    </row>
    <row r="1150" spans="1:30" x14ac:dyDescent="0.25">
      <c r="A1150" s="5" t="s">
        <v>22</v>
      </c>
      <c r="B1150" s="5" t="s">
        <v>29</v>
      </c>
      <c r="C1150" s="5" t="s">
        <v>19</v>
      </c>
      <c r="D1150" s="5" t="s">
        <v>12</v>
      </c>
      <c r="E1150" s="5">
        <v>2014</v>
      </c>
      <c r="F1150" s="5"/>
      <c r="K1150" s="5"/>
      <c r="L1150" s="5"/>
      <c r="M1150" s="5"/>
      <c r="N1150" s="5"/>
      <c r="O1150" s="5"/>
      <c r="P1150" s="5"/>
      <c r="Q1150" s="5"/>
      <c r="R1150" s="5"/>
      <c r="S1150" s="5"/>
      <c r="T1150" s="5"/>
      <c r="U1150" s="5"/>
      <c r="V1150" s="5"/>
      <c r="W1150" s="5"/>
      <c r="X1150" s="5"/>
      <c r="Y1150" s="5"/>
      <c r="Z1150" s="5"/>
      <c r="AA1150" s="5"/>
      <c r="AB1150" s="5"/>
      <c r="AC1150" s="5"/>
      <c r="AD1150" s="5"/>
    </row>
    <row r="1151" spans="1:30" x14ac:dyDescent="0.25">
      <c r="A1151" s="5" t="s">
        <v>22</v>
      </c>
      <c r="B1151" s="5" t="s">
        <v>30</v>
      </c>
      <c r="C1151" s="5" t="s">
        <v>19</v>
      </c>
      <c r="D1151" s="5" t="s">
        <v>12</v>
      </c>
      <c r="E1151" s="5">
        <v>2014</v>
      </c>
      <c r="F1151" s="5"/>
      <c r="K1151" s="5"/>
      <c r="L1151" s="5"/>
      <c r="M1151" s="5"/>
      <c r="N1151" s="5"/>
      <c r="O1151" s="5"/>
      <c r="P1151" s="5"/>
      <c r="Q1151" s="5"/>
      <c r="R1151" s="5"/>
      <c r="S1151" s="5"/>
      <c r="T1151" s="5"/>
      <c r="U1151" s="5"/>
      <c r="V1151" s="5"/>
      <c r="W1151" s="5"/>
      <c r="X1151" s="5"/>
      <c r="Y1151" s="5"/>
      <c r="Z1151" s="5"/>
      <c r="AA1151" s="5"/>
      <c r="AB1151" s="5"/>
      <c r="AC1151" s="5"/>
      <c r="AD1151" s="5"/>
    </row>
    <row r="1152" spans="1:30" x14ac:dyDescent="0.25">
      <c r="A1152" s="5" t="s">
        <v>21</v>
      </c>
      <c r="B1152" s="5" t="s">
        <v>26</v>
      </c>
      <c r="C1152" s="5" t="s">
        <v>19</v>
      </c>
      <c r="D1152" s="5" t="s">
        <v>15</v>
      </c>
      <c r="E1152" s="5">
        <v>2014</v>
      </c>
      <c r="F1152" s="5"/>
      <c r="K1152" s="5"/>
      <c r="L1152" s="5"/>
      <c r="M1152" s="5"/>
      <c r="N1152" s="5"/>
      <c r="O1152" s="5"/>
      <c r="P1152" s="5"/>
      <c r="Q1152" s="5"/>
      <c r="R1152" s="5"/>
      <c r="S1152" s="5"/>
      <c r="T1152" s="5"/>
      <c r="U1152" s="5"/>
      <c r="V1152" s="5"/>
      <c r="W1152" s="5"/>
      <c r="X1152" s="5"/>
      <c r="Y1152" s="5"/>
      <c r="Z1152" s="5"/>
      <c r="AA1152" s="5"/>
      <c r="AB1152" s="5"/>
      <c r="AC1152" s="5"/>
      <c r="AD1152" s="5"/>
    </row>
    <row r="1153" spans="1:30" x14ac:dyDescent="0.25">
      <c r="A1153" s="5" t="s">
        <v>21</v>
      </c>
      <c r="B1153" s="5" t="s">
        <v>28</v>
      </c>
      <c r="C1153" s="5" t="s">
        <v>19</v>
      </c>
      <c r="D1153" s="5" t="s">
        <v>15</v>
      </c>
      <c r="E1153" s="5">
        <v>2014</v>
      </c>
      <c r="F1153" s="5"/>
      <c r="K1153" s="5"/>
      <c r="L1153" s="5"/>
      <c r="M1153" s="5"/>
      <c r="N1153" s="5"/>
      <c r="O1153" s="5"/>
      <c r="P1153" s="5"/>
      <c r="Q1153" s="5"/>
      <c r="R1153" s="5"/>
      <c r="S1153" s="5"/>
      <c r="T1153" s="5"/>
      <c r="U1153" s="5"/>
      <c r="V1153" s="5"/>
      <c r="W1153" s="5"/>
      <c r="X1153" s="5"/>
      <c r="Y1153" s="5"/>
      <c r="Z1153" s="5"/>
      <c r="AA1153" s="5"/>
      <c r="AB1153" s="5"/>
      <c r="AC1153" s="5"/>
      <c r="AD1153" s="5"/>
    </row>
    <row r="1154" spans="1:30" x14ac:dyDescent="0.25">
      <c r="A1154" s="5" t="s">
        <v>21</v>
      </c>
      <c r="B1154" s="5" t="s">
        <v>29</v>
      </c>
      <c r="C1154" s="5" t="s">
        <v>19</v>
      </c>
      <c r="D1154" s="5" t="s">
        <v>15</v>
      </c>
      <c r="E1154" s="5">
        <v>2014</v>
      </c>
      <c r="F1154" s="5"/>
      <c r="K1154" s="5"/>
      <c r="L1154" s="5"/>
      <c r="M1154" s="5"/>
      <c r="N1154" s="5"/>
      <c r="O1154" s="5"/>
      <c r="P1154" s="5"/>
      <c r="Q1154" s="5"/>
      <c r="R1154" s="5"/>
      <c r="S1154" s="5"/>
      <c r="T1154" s="5"/>
      <c r="U1154" s="5"/>
      <c r="V1154" s="5"/>
      <c r="W1154" s="5"/>
      <c r="X1154" s="5"/>
      <c r="Y1154" s="5"/>
      <c r="Z1154" s="5"/>
      <c r="AA1154" s="5"/>
      <c r="AB1154" s="5"/>
      <c r="AC1154" s="5"/>
      <c r="AD1154" s="5"/>
    </row>
    <row r="1155" spans="1:30" x14ac:dyDescent="0.25">
      <c r="A1155" s="5" t="s">
        <v>21</v>
      </c>
      <c r="B1155" s="5" t="s">
        <v>30</v>
      </c>
      <c r="C1155" s="5" t="s">
        <v>19</v>
      </c>
      <c r="D1155" s="5" t="s">
        <v>15</v>
      </c>
      <c r="E1155" s="5">
        <v>2014</v>
      </c>
      <c r="F1155" s="5"/>
      <c r="K1155" s="5"/>
      <c r="L1155" s="5"/>
      <c r="M1155" s="5"/>
      <c r="N1155" s="5"/>
      <c r="O1155" s="5"/>
      <c r="P1155" s="5"/>
      <c r="Q1155" s="5"/>
      <c r="R1155" s="5"/>
      <c r="S1155" s="5"/>
      <c r="T1155" s="5"/>
      <c r="U1155" s="5"/>
      <c r="V1155" s="5"/>
      <c r="W1155" s="5"/>
      <c r="X1155" s="5"/>
      <c r="Y1155" s="5"/>
      <c r="Z1155" s="5"/>
      <c r="AA1155" s="5"/>
      <c r="AB1155" s="5"/>
      <c r="AC1155" s="5"/>
      <c r="AD1155" s="5"/>
    </row>
    <row r="1156" spans="1:30" x14ac:dyDescent="0.25">
      <c r="A1156" s="4" t="s">
        <v>10</v>
      </c>
      <c r="B1156" s="4" t="s">
        <v>26</v>
      </c>
      <c r="C1156" s="4" t="s">
        <v>19</v>
      </c>
      <c r="D1156" s="4" t="s">
        <v>15</v>
      </c>
      <c r="E1156" s="4">
        <v>2014</v>
      </c>
      <c r="F1156" s="4"/>
      <c r="K1156" s="4"/>
      <c r="L1156" s="4"/>
      <c r="M1156" s="4"/>
      <c r="N1156" s="4"/>
      <c r="O1156" s="4"/>
      <c r="P1156" s="4"/>
      <c r="Q1156" s="4"/>
      <c r="R1156" s="4"/>
      <c r="S1156" s="4"/>
      <c r="T1156" s="4"/>
      <c r="U1156" s="4"/>
      <c r="V1156" s="4"/>
      <c r="W1156" s="4"/>
      <c r="X1156" s="4"/>
      <c r="Y1156" s="4"/>
      <c r="Z1156" s="4"/>
      <c r="AA1156" s="4"/>
      <c r="AB1156" s="4"/>
      <c r="AC1156" s="4"/>
      <c r="AD1156" s="4"/>
    </row>
    <row r="1157" spans="1:30" x14ac:dyDescent="0.25">
      <c r="A1157" s="4" t="s">
        <v>10</v>
      </c>
      <c r="B1157" s="4" t="s">
        <v>28</v>
      </c>
      <c r="C1157" s="4" t="s">
        <v>19</v>
      </c>
      <c r="D1157" s="4" t="s">
        <v>15</v>
      </c>
      <c r="E1157" s="4">
        <v>2014</v>
      </c>
      <c r="F1157" s="4"/>
      <c r="K1157" s="4"/>
      <c r="L1157" s="4"/>
      <c r="M1157" s="4"/>
      <c r="N1157" s="4"/>
      <c r="O1157" s="4"/>
      <c r="P1157" s="4"/>
      <c r="Q1157" s="4"/>
      <c r="R1157" s="4"/>
      <c r="S1157" s="4"/>
      <c r="T1157" s="4"/>
      <c r="U1157" s="4"/>
      <c r="V1157" s="4"/>
      <c r="W1157" s="4"/>
      <c r="X1157" s="4"/>
      <c r="Y1157" s="4"/>
      <c r="Z1157" s="4"/>
      <c r="AA1157" s="4"/>
      <c r="AB1157" s="4"/>
      <c r="AC1157" s="4"/>
      <c r="AD1157" s="4"/>
    </row>
    <row r="1158" spans="1:30" x14ac:dyDescent="0.25">
      <c r="A1158" s="4" t="s">
        <v>10</v>
      </c>
      <c r="B1158" s="4" t="s">
        <v>29</v>
      </c>
      <c r="C1158" s="4" t="s">
        <v>19</v>
      </c>
      <c r="D1158" s="4" t="s">
        <v>15</v>
      </c>
      <c r="E1158" s="4">
        <v>2014</v>
      </c>
      <c r="F1158" s="4"/>
      <c r="K1158" s="4"/>
      <c r="L1158" s="4"/>
      <c r="M1158" s="4"/>
      <c r="N1158" s="4"/>
      <c r="O1158" s="4"/>
      <c r="P1158" s="4"/>
      <c r="Q1158" s="4"/>
      <c r="R1158" s="4"/>
      <c r="S1158" s="4"/>
      <c r="T1158" s="4"/>
      <c r="U1158" s="4"/>
      <c r="V1158" s="4"/>
      <c r="W1158" s="4"/>
      <c r="X1158" s="4"/>
      <c r="Y1158" s="4"/>
      <c r="Z1158" s="4"/>
      <c r="AA1158" s="4"/>
      <c r="AB1158" s="4"/>
      <c r="AC1158" s="4"/>
      <c r="AD1158" s="4"/>
    </row>
    <row r="1159" spans="1:30" x14ac:dyDescent="0.25">
      <c r="A1159" s="4" t="s">
        <v>10</v>
      </c>
      <c r="B1159" s="4" t="s">
        <v>30</v>
      </c>
      <c r="C1159" s="4" t="s">
        <v>19</v>
      </c>
      <c r="D1159" s="4" t="s">
        <v>15</v>
      </c>
      <c r="E1159" s="4">
        <v>2014</v>
      </c>
      <c r="F1159" s="4"/>
      <c r="K1159" s="4"/>
      <c r="L1159" s="4"/>
      <c r="M1159" s="4"/>
      <c r="N1159" s="4"/>
      <c r="O1159" s="4"/>
      <c r="P1159" s="4"/>
      <c r="Q1159" s="4"/>
      <c r="R1159" s="4"/>
      <c r="S1159" s="4"/>
      <c r="T1159" s="4"/>
      <c r="U1159" s="4"/>
      <c r="V1159" s="4"/>
      <c r="W1159" s="4"/>
      <c r="X1159" s="4"/>
      <c r="Y1159" s="4"/>
      <c r="Z1159" s="4"/>
      <c r="AA1159" s="4"/>
      <c r="AB1159" s="4"/>
      <c r="AC1159" s="4"/>
      <c r="AD1159" s="4"/>
    </row>
    <row r="1160" spans="1:30" x14ac:dyDescent="0.25">
      <c r="A1160" s="5" t="s">
        <v>22</v>
      </c>
      <c r="B1160" s="5" t="s">
        <v>26</v>
      </c>
      <c r="C1160" s="5" t="s">
        <v>19</v>
      </c>
      <c r="D1160" s="5" t="s">
        <v>15</v>
      </c>
      <c r="E1160" s="5">
        <v>2014</v>
      </c>
      <c r="F1160" s="5"/>
      <c r="K1160" s="5"/>
      <c r="L1160" s="5"/>
      <c r="M1160" s="5"/>
      <c r="N1160" s="5"/>
      <c r="O1160" s="5"/>
      <c r="P1160" s="5"/>
      <c r="Q1160" s="5"/>
      <c r="R1160" s="5"/>
      <c r="S1160" s="5"/>
      <c r="T1160" s="5"/>
      <c r="U1160" s="5"/>
      <c r="V1160" s="5"/>
      <c r="W1160" s="5"/>
      <c r="X1160" s="5"/>
      <c r="Y1160" s="5"/>
      <c r="Z1160" s="5"/>
      <c r="AA1160" s="5"/>
      <c r="AB1160" s="5"/>
      <c r="AC1160" s="5"/>
      <c r="AD1160" s="5"/>
    </row>
    <row r="1161" spans="1:30" x14ac:dyDescent="0.25">
      <c r="A1161" s="5" t="s">
        <v>22</v>
      </c>
      <c r="B1161" s="5" t="s">
        <v>28</v>
      </c>
      <c r="C1161" s="5" t="s">
        <v>19</v>
      </c>
      <c r="D1161" s="5" t="s">
        <v>15</v>
      </c>
      <c r="E1161" s="5">
        <v>2014</v>
      </c>
      <c r="F1161" s="5"/>
      <c r="K1161" s="5"/>
      <c r="L1161" s="5"/>
      <c r="M1161" s="5"/>
      <c r="N1161" s="5"/>
      <c r="O1161" s="5"/>
      <c r="P1161" s="5"/>
      <c r="Q1161" s="5"/>
      <c r="R1161" s="5"/>
      <c r="S1161" s="5"/>
      <c r="T1161" s="5"/>
      <c r="U1161" s="5"/>
      <c r="V1161" s="5"/>
      <c r="W1161" s="5"/>
      <c r="X1161" s="5"/>
      <c r="Y1161" s="5"/>
      <c r="Z1161" s="5"/>
      <c r="AA1161" s="5"/>
      <c r="AB1161" s="5"/>
      <c r="AC1161" s="5"/>
      <c r="AD1161" s="5"/>
    </row>
    <row r="1162" spans="1:30" x14ac:dyDescent="0.25">
      <c r="A1162" s="5" t="s">
        <v>22</v>
      </c>
      <c r="B1162" s="5" t="s">
        <v>29</v>
      </c>
      <c r="C1162" s="5" t="s">
        <v>19</v>
      </c>
      <c r="D1162" s="5" t="s">
        <v>15</v>
      </c>
      <c r="E1162" s="5">
        <v>2014</v>
      </c>
      <c r="F1162" s="5"/>
      <c r="K1162" s="5"/>
      <c r="L1162" s="5"/>
      <c r="M1162" s="5"/>
      <c r="N1162" s="5"/>
      <c r="O1162" s="5"/>
      <c r="P1162" s="5"/>
      <c r="Q1162" s="5"/>
      <c r="R1162" s="5"/>
      <c r="S1162" s="5"/>
      <c r="T1162" s="5"/>
      <c r="U1162" s="5"/>
      <c r="V1162" s="5"/>
      <c r="W1162" s="5"/>
      <c r="X1162" s="5"/>
      <c r="Y1162" s="5"/>
      <c r="Z1162" s="5"/>
      <c r="AA1162" s="5"/>
      <c r="AB1162" s="5"/>
      <c r="AC1162" s="5"/>
      <c r="AD1162" s="5"/>
    </row>
    <row r="1163" spans="1:30" x14ac:dyDescent="0.25">
      <c r="A1163" s="5" t="s">
        <v>22</v>
      </c>
      <c r="B1163" s="5" t="s">
        <v>30</v>
      </c>
      <c r="C1163" s="5" t="s">
        <v>19</v>
      </c>
      <c r="D1163" s="5" t="s">
        <v>15</v>
      </c>
      <c r="E1163" s="5">
        <v>2014</v>
      </c>
      <c r="F1163" s="5"/>
      <c r="K1163" s="5"/>
      <c r="L1163" s="5"/>
      <c r="M1163" s="5"/>
      <c r="N1163" s="5"/>
      <c r="O1163" s="5"/>
      <c r="P1163" s="5"/>
      <c r="Q1163" s="5"/>
      <c r="R1163" s="5"/>
      <c r="S1163" s="5"/>
      <c r="T1163" s="5"/>
      <c r="U1163" s="5"/>
      <c r="V1163" s="5"/>
      <c r="W1163" s="5"/>
      <c r="X1163" s="5"/>
      <c r="Y1163" s="5"/>
      <c r="Z1163" s="5"/>
      <c r="AA1163" s="5"/>
      <c r="AB1163" s="5"/>
      <c r="AC1163" s="5"/>
      <c r="AD1163" s="5"/>
    </row>
    <row r="1164" spans="1:30" x14ac:dyDescent="0.25">
      <c r="A1164" s="5" t="s">
        <v>21</v>
      </c>
      <c r="B1164" s="5" t="s">
        <v>24</v>
      </c>
      <c r="C1164" s="5" t="s">
        <v>20</v>
      </c>
      <c r="D1164" s="5" t="s">
        <v>12</v>
      </c>
      <c r="E1164" s="5">
        <v>2014</v>
      </c>
      <c r="F1164" s="5"/>
      <c r="K1164" s="5"/>
      <c r="L1164" s="5"/>
      <c r="M1164" s="5"/>
      <c r="N1164" s="5"/>
      <c r="O1164" s="5"/>
      <c r="P1164" s="5"/>
      <c r="Q1164" s="5"/>
      <c r="R1164" s="5"/>
      <c r="S1164" s="5"/>
      <c r="T1164" s="5"/>
      <c r="U1164" s="5"/>
      <c r="V1164" s="5"/>
      <c r="W1164" s="5"/>
      <c r="X1164" s="5"/>
      <c r="Y1164" s="5"/>
      <c r="Z1164" s="5"/>
      <c r="AA1164" s="5"/>
      <c r="AB1164" s="5"/>
      <c r="AC1164" s="5"/>
      <c r="AD1164" s="5"/>
    </row>
    <row r="1165" spans="1:30" x14ac:dyDescent="0.25">
      <c r="A1165" s="5" t="s">
        <v>21</v>
      </c>
      <c r="B1165" s="5" t="s">
        <v>26</v>
      </c>
      <c r="C1165" s="5" t="s">
        <v>20</v>
      </c>
      <c r="D1165" s="5" t="s">
        <v>12</v>
      </c>
      <c r="E1165" s="5">
        <v>2014</v>
      </c>
      <c r="F1165" s="5"/>
      <c r="K1165" s="5"/>
      <c r="L1165" s="5"/>
      <c r="M1165" s="5"/>
      <c r="N1165" s="5"/>
      <c r="O1165" s="5"/>
      <c r="P1165" s="5"/>
      <c r="Q1165" s="5"/>
      <c r="R1165" s="5"/>
      <c r="S1165" s="5"/>
      <c r="T1165" s="5"/>
      <c r="U1165" s="5"/>
      <c r="V1165" s="5"/>
      <c r="W1165" s="5"/>
      <c r="X1165" s="5"/>
      <c r="Y1165" s="5"/>
      <c r="Z1165" s="5"/>
      <c r="AA1165" s="5"/>
      <c r="AB1165" s="5"/>
      <c r="AC1165" s="5"/>
      <c r="AD1165" s="5"/>
    </row>
    <row r="1166" spans="1:30" x14ac:dyDescent="0.25">
      <c r="A1166" s="5" t="s">
        <v>21</v>
      </c>
      <c r="B1166" s="5" t="s">
        <v>27</v>
      </c>
      <c r="C1166" s="5" t="s">
        <v>20</v>
      </c>
      <c r="D1166" s="5" t="s">
        <v>12</v>
      </c>
      <c r="E1166" s="5">
        <v>2014</v>
      </c>
      <c r="F1166" s="5"/>
      <c r="K1166" s="5"/>
      <c r="L1166" s="5"/>
      <c r="M1166" s="5"/>
      <c r="N1166" s="5"/>
      <c r="O1166" s="5"/>
      <c r="P1166" s="5"/>
      <c r="Q1166" s="5"/>
      <c r="R1166" s="5"/>
      <c r="S1166" s="5"/>
      <c r="T1166" s="5"/>
      <c r="U1166" s="5"/>
      <c r="V1166" s="5"/>
      <c r="W1166" s="5"/>
      <c r="X1166" s="5"/>
      <c r="Y1166" s="5"/>
      <c r="Z1166" s="5"/>
      <c r="AA1166" s="5"/>
      <c r="AB1166" s="5"/>
      <c r="AC1166" s="5"/>
      <c r="AD1166" s="5"/>
    </row>
    <row r="1167" spans="1:30" x14ac:dyDescent="0.25">
      <c r="A1167" s="5" t="s">
        <v>21</v>
      </c>
      <c r="B1167" s="5" t="s">
        <v>28</v>
      </c>
      <c r="C1167" s="5" t="s">
        <v>20</v>
      </c>
      <c r="D1167" s="5" t="s">
        <v>12</v>
      </c>
      <c r="E1167" s="5">
        <v>2014</v>
      </c>
      <c r="F1167" s="5"/>
      <c r="K1167" s="5"/>
      <c r="L1167" s="5"/>
      <c r="M1167" s="5"/>
      <c r="N1167" s="5"/>
      <c r="O1167" s="5"/>
      <c r="P1167" s="5"/>
      <c r="Q1167" s="5"/>
      <c r="R1167" s="5"/>
      <c r="S1167" s="5"/>
      <c r="T1167" s="5"/>
      <c r="U1167" s="5"/>
      <c r="V1167" s="5"/>
      <c r="W1167" s="5"/>
      <c r="X1167" s="5"/>
      <c r="Y1167" s="5"/>
      <c r="Z1167" s="5"/>
      <c r="AA1167" s="5"/>
      <c r="AB1167" s="5"/>
      <c r="AC1167" s="5"/>
      <c r="AD1167" s="5"/>
    </row>
    <row r="1168" spans="1:30" x14ac:dyDescent="0.25">
      <c r="A1168" s="5" t="s">
        <v>21</v>
      </c>
      <c r="B1168" s="5" t="s">
        <v>29</v>
      </c>
      <c r="C1168" s="5" t="s">
        <v>20</v>
      </c>
      <c r="D1168" s="5" t="s">
        <v>12</v>
      </c>
      <c r="E1168" s="5">
        <v>2014</v>
      </c>
      <c r="F1168" s="5"/>
      <c r="K1168" s="5"/>
      <c r="L1168" s="5"/>
      <c r="M1168" s="5"/>
      <c r="N1168" s="5"/>
      <c r="O1168" s="5"/>
      <c r="P1168" s="5"/>
      <c r="Q1168" s="5"/>
      <c r="R1168" s="5"/>
      <c r="S1168" s="5"/>
      <c r="T1168" s="5"/>
      <c r="U1168" s="5"/>
      <c r="V1168" s="5"/>
      <c r="W1168" s="5"/>
      <c r="X1168" s="5"/>
      <c r="Y1168" s="5"/>
      <c r="Z1168" s="5"/>
      <c r="AA1168" s="5"/>
      <c r="AB1168" s="5"/>
      <c r="AC1168" s="5"/>
      <c r="AD1168" s="5"/>
    </row>
    <row r="1169" spans="1:30" x14ac:dyDescent="0.25">
      <c r="A1169" s="5" t="s">
        <v>21</v>
      </c>
      <c r="B1169" s="5" t="s">
        <v>30</v>
      </c>
      <c r="C1169" s="5" t="s">
        <v>20</v>
      </c>
      <c r="D1169" s="5" t="s">
        <v>12</v>
      </c>
      <c r="E1169" s="5">
        <v>2014</v>
      </c>
      <c r="F1169" s="5"/>
      <c r="K1169" s="5"/>
      <c r="L1169" s="5"/>
      <c r="M1169" s="5"/>
      <c r="N1169" s="5"/>
      <c r="O1169" s="5"/>
      <c r="P1169" s="5"/>
      <c r="Q1169" s="5"/>
      <c r="R1169" s="5"/>
      <c r="S1169" s="5"/>
      <c r="T1169" s="5"/>
      <c r="U1169" s="5"/>
      <c r="V1169" s="5"/>
      <c r="W1169" s="5"/>
      <c r="X1169" s="5"/>
      <c r="Y1169" s="5"/>
      <c r="Z1169" s="5"/>
      <c r="AA1169" s="5"/>
      <c r="AB1169" s="5"/>
      <c r="AC1169" s="5"/>
      <c r="AD1169" s="5"/>
    </row>
    <row r="1170" spans="1:30" x14ac:dyDescent="0.25">
      <c r="A1170" s="4" t="s">
        <v>10</v>
      </c>
      <c r="B1170" s="4" t="s">
        <v>24</v>
      </c>
      <c r="C1170" s="4" t="s">
        <v>20</v>
      </c>
      <c r="D1170" s="4" t="s">
        <v>12</v>
      </c>
      <c r="E1170" s="4">
        <v>2014</v>
      </c>
      <c r="F1170" s="4"/>
      <c r="K1170" s="4"/>
      <c r="L1170" s="4"/>
      <c r="M1170" s="4"/>
      <c r="N1170" s="4"/>
      <c r="O1170" s="4"/>
      <c r="P1170" s="4"/>
      <c r="Q1170" s="4"/>
      <c r="R1170" s="4"/>
      <c r="S1170" s="4"/>
      <c r="T1170" s="4"/>
      <c r="U1170" s="4"/>
      <c r="V1170" s="4"/>
      <c r="W1170" s="4"/>
      <c r="X1170" s="4"/>
      <c r="Y1170" s="4"/>
      <c r="Z1170" s="4"/>
      <c r="AA1170" s="4"/>
      <c r="AB1170" s="4"/>
      <c r="AC1170" s="4"/>
      <c r="AD1170" s="4"/>
    </row>
    <row r="1171" spans="1:30" x14ac:dyDescent="0.25">
      <c r="A1171" s="4" t="s">
        <v>10</v>
      </c>
      <c r="B1171" s="4" t="s">
        <v>26</v>
      </c>
      <c r="C1171" s="4" t="s">
        <v>20</v>
      </c>
      <c r="D1171" s="4" t="s">
        <v>12</v>
      </c>
      <c r="E1171" s="4">
        <v>2014</v>
      </c>
      <c r="F1171" s="4"/>
      <c r="K1171" s="4"/>
      <c r="L1171" s="4"/>
      <c r="M1171" s="4"/>
      <c r="N1171" s="4"/>
      <c r="O1171" s="4"/>
      <c r="P1171" s="4"/>
      <c r="Q1171" s="4"/>
      <c r="R1171" s="4"/>
      <c r="S1171" s="4"/>
      <c r="T1171" s="4"/>
      <c r="U1171" s="4"/>
      <c r="V1171" s="4"/>
      <c r="W1171" s="4"/>
      <c r="X1171" s="4"/>
      <c r="Y1171" s="4"/>
      <c r="Z1171" s="4"/>
      <c r="AA1171" s="4"/>
      <c r="AB1171" s="4"/>
      <c r="AC1171" s="4"/>
      <c r="AD1171" s="4"/>
    </row>
    <row r="1172" spans="1:30" x14ac:dyDescent="0.25">
      <c r="A1172" s="4" t="s">
        <v>10</v>
      </c>
      <c r="B1172" s="4" t="s">
        <v>27</v>
      </c>
      <c r="C1172" s="4" t="s">
        <v>20</v>
      </c>
      <c r="D1172" s="4" t="s">
        <v>12</v>
      </c>
      <c r="E1172" s="4">
        <v>2014</v>
      </c>
      <c r="F1172" s="4"/>
      <c r="K1172" s="4"/>
      <c r="L1172" s="4"/>
      <c r="M1172" s="4"/>
      <c r="N1172" s="4"/>
      <c r="O1172" s="4"/>
      <c r="P1172" s="4"/>
      <c r="Q1172" s="4"/>
      <c r="R1172" s="4"/>
      <c r="S1172" s="4"/>
      <c r="T1172" s="4"/>
      <c r="U1172" s="4"/>
      <c r="V1172" s="4"/>
      <c r="W1172" s="4"/>
      <c r="X1172" s="4"/>
      <c r="Y1172" s="4"/>
      <c r="Z1172" s="4"/>
      <c r="AA1172" s="4"/>
      <c r="AB1172" s="4"/>
      <c r="AC1172" s="4"/>
      <c r="AD1172" s="4"/>
    </row>
    <row r="1173" spans="1:30" x14ac:dyDescent="0.25">
      <c r="A1173" s="4" t="s">
        <v>10</v>
      </c>
      <c r="B1173" s="4" t="s">
        <v>28</v>
      </c>
      <c r="C1173" s="4" t="s">
        <v>20</v>
      </c>
      <c r="D1173" s="4" t="s">
        <v>12</v>
      </c>
      <c r="E1173" s="4">
        <v>2014</v>
      </c>
      <c r="F1173" s="4"/>
      <c r="K1173" s="4"/>
      <c r="L1173" s="4"/>
      <c r="M1173" s="4"/>
      <c r="N1173" s="4"/>
      <c r="O1173" s="4"/>
      <c r="P1173" s="4"/>
      <c r="Q1173" s="4"/>
      <c r="R1173" s="4"/>
      <c r="S1173" s="4"/>
      <c r="T1173" s="4"/>
      <c r="U1173" s="4"/>
      <c r="V1173" s="4"/>
      <c r="W1173" s="4"/>
      <c r="X1173" s="4"/>
      <c r="Y1173" s="4"/>
      <c r="Z1173" s="4"/>
      <c r="AA1173" s="4"/>
      <c r="AB1173" s="4"/>
      <c r="AC1173" s="4"/>
      <c r="AD1173" s="4"/>
    </row>
    <row r="1174" spans="1:30" x14ac:dyDescent="0.25">
      <c r="A1174" s="4" t="s">
        <v>10</v>
      </c>
      <c r="B1174" s="4" t="s">
        <v>29</v>
      </c>
      <c r="C1174" s="4" t="s">
        <v>20</v>
      </c>
      <c r="D1174" s="4" t="s">
        <v>12</v>
      </c>
      <c r="E1174" s="4">
        <v>2014</v>
      </c>
      <c r="F1174" s="4"/>
      <c r="K1174" s="4"/>
      <c r="L1174" s="4"/>
      <c r="M1174" s="4"/>
      <c r="N1174" s="4"/>
      <c r="O1174" s="4"/>
      <c r="P1174" s="4"/>
      <c r="Q1174" s="4"/>
      <c r="R1174" s="4"/>
      <c r="S1174" s="4"/>
      <c r="T1174" s="4"/>
      <c r="U1174" s="4"/>
      <c r="V1174" s="4"/>
      <c r="W1174" s="4"/>
      <c r="X1174" s="4"/>
      <c r="Y1174" s="4"/>
      <c r="Z1174" s="4"/>
      <c r="AA1174" s="4"/>
      <c r="AB1174" s="4"/>
      <c r="AC1174" s="4"/>
      <c r="AD1174" s="4"/>
    </row>
    <row r="1175" spans="1:30" x14ac:dyDescent="0.25">
      <c r="A1175" s="4" t="s">
        <v>10</v>
      </c>
      <c r="B1175" s="4" t="s">
        <v>30</v>
      </c>
      <c r="C1175" s="4" t="s">
        <v>20</v>
      </c>
      <c r="D1175" s="4" t="s">
        <v>12</v>
      </c>
      <c r="E1175" s="4">
        <v>2014</v>
      </c>
      <c r="F1175" s="4"/>
      <c r="K1175" s="4"/>
      <c r="L1175" s="4"/>
      <c r="M1175" s="4"/>
      <c r="N1175" s="4"/>
      <c r="O1175" s="4"/>
      <c r="P1175" s="4"/>
      <c r="Q1175" s="4"/>
      <c r="R1175" s="4"/>
      <c r="S1175" s="4"/>
      <c r="T1175" s="4"/>
      <c r="U1175" s="4"/>
      <c r="V1175" s="4"/>
      <c r="W1175" s="4"/>
      <c r="X1175" s="4"/>
      <c r="Y1175" s="4"/>
      <c r="Z1175" s="4"/>
      <c r="AA1175" s="4"/>
      <c r="AB1175" s="4"/>
      <c r="AC1175" s="4"/>
      <c r="AD1175" s="4"/>
    </row>
    <row r="1176" spans="1:30" x14ac:dyDescent="0.25">
      <c r="A1176" s="5" t="s">
        <v>22</v>
      </c>
      <c r="B1176" s="5" t="s">
        <v>24</v>
      </c>
      <c r="C1176" s="5" t="s">
        <v>20</v>
      </c>
      <c r="D1176" s="5" t="s">
        <v>12</v>
      </c>
      <c r="E1176" s="5">
        <v>2014</v>
      </c>
      <c r="F1176" s="5"/>
      <c r="K1176" s="5"/>
      <c r="L1176" s="5"/>
      <c r="M1176" s="5"/>
      <c r="N1176" s="5"/>
      <c r="O1176" s="5"/>
      <c r="P1176" s="5"/>
      <c r="Q1176" s="5"/>
      <c r="R1176" s="5"/>
      <c r="S1176" s="5"/>
      <c r="T1176" s="5"/>
      <c r="U1176" s="5"/>
      <c r="V1176" s="5"/>
      <c r="W1176" s="5"/>
      <c r="X1176" s="5"/>
      <c r="Y1176" s="5"/>
      <c r="Z1176" s="5"/>
      <c r="AA1176" s="5"/>
      <c r="AB1176" s="5"/>
      <c r="AC1176" s="5"/>
      <c r="AD1176" s="5"/>
    </row>
    <row r="1177" spans="1:30" x14ac:dyDescent="0.25">
      <c r="A1177" s="5" t="s">
        <v>22</v>
      </c>
      <c r="B1177" s="5" t="s">
        <v>26</v>
      </c>
      <c r="C1177" s="5" t="s">
        <v>20</v>
      </c>
      <c r="D1177" s="5" t="s">
        <v>12</v>
      </c>
      <c r="E1177" s="5">
        <v>2014</v>
      </c>
      <c r="F1177" s="5"/>
      <c r="K1177" s="5"/>
      <c r="L1177" s="5"/>
      <c r="M1177" s="5"/>
      <c r="N1177" s="5"/>
      <c r="O1177" s="5"/>
      <c r="P1177" s="5"/>
      <c r="Q1177" s="5"/>
      <c r="R1177" s="5"/>
      <c r="S1177" s="5"/>
      <c r="T1177" s="5"/>
      <c r="U1177" s="5"/>
      <c r="V1177" s="5"/>
      <c r="W1177" s="5"/>
      <c r="X1177" s="5"/>
      <c r="Y1177" s="5"/>
      <c r="Z1177" s="5"/>
      <c r="AA1177" s="5"/>
      <c r="AB1177" s="5"/>
      <c r="AC1177" s="5"/>
      <c r="AD1177" s="5"/>
    </row>
    <row r="1178" spans="1:30" x14ac:dyDescent="0.25">
      <c r="A1178" s="5" t="s">
        <v>22</v>
      </c>
      <c r="B1178" s="5" t="s">
        <v>27</v>
      </c>
      <c r="C1178" s="5" t="s">
        <v>20</v>
      </c>
      <c r="D1178" s="5" t="s">
        <v>12</v>
      </c>
      <c r="E1178" s="5">
        <v>2014</v>
      </c>
      <c r="F1178" s="5"/>
      <c r="K1178" s="5"/>
      <c r="L1178" s="5"/>
      <c r="M1178" s="5"/>
      <c r="N1178" s="5"/>
      <c r="O1178" s="5"/>
      <c r="P1178" s="5"/>
      <c r="Q1178" s="5"/>
      <c r="R1178" s="5"/>
      <c r="S1178" s="5"/>
      <c r="T1178" s="5"/>
      <c r="U1178" s="5"/>
      <c r="V1178" s="5"/>
      <c r="W1178" s="5"/>
      <c r="X1178" s="5"/>
      <c r="Y1178" s="5"/>
      <c r="Z1178" s="5"/>
      <c r="AA1178" s="5"/>
      <c r="AB1178" s="5"/>
      <c r="AC1178" s="5"/>
      <c r="AD1178" s="5"/>
    </row>
    <row r="1179" spans="1:30" x14ac:dyDescent="0.25">
      <c r="A1179" s="5" t="s">
        <v>22</v>
      </c>
      <c r="B1179" s="5" t="s">
        <v>28</v>
      </c>
      <c r="C1179" s="5" t="s">
        <v>20</v>
      </c>
      <c r="D1179" s="5" t="s">
        <v>12</v>
      </c>
      <c r="E1179" s="5">
        <v>2014</v>
      </c>
      <c r="F1179" s="5"/>
      <c r="K1179" s="5"/>
      <c r="L1179" s="5"/>
      <c r="M1179" s="5"/>
      <c r="N1179" s="5"/>
      <c r="O1179" s="5"/>
      <c r="P1179" s="5"/>
      <c r="Q1179" s="5"/>
      <c r="R1179" s="5"/>
      <c r="S1179" s="5"/>
      <c r="T1179" s="5"/>
      <c r="U1179" s="5"/>
      <c r="V1179" s="5"/>
      <c r="W1179" s="5"/>
      <c r="X1179" s="5"/>
      <c r="Y1179" s="5"/>
      <c r="Z1179" s="5"/>
      <c r="AA1179" s="5"/>
      <c r="AB1179" s="5"/>
      <c r="AC1179" s="5"/>
      <c r="AD1179" s="5"/>
    </row>
    <row r="1180" spans="1:30" x14ac:dyDescent="0.25">
      <c r="A1180" s="5" t="s">
        <v>22</v>
      </c>
      <c r="B1180" s="5" t="s">
        <v>29</v>
      </c>
      <c r="C1180" s="5" t="s">
        <v>20</v>
      </c>
      <c r="D1180" s="5" t="s">
        <v>12</v>
      </c>
      <c r="E1180" s="5">
        <v>2014</v>
      </c>
      <c r="F1180" s="5"/>
      <c r="K1180" s="5"/>
      <c r="L1180" s="5"/>
      <c r="M1180" s="5"/>
      <c r="N1180" s="5"/>
      <c r="O1180" s="5"/>
      <c r="P1180" s="5"/>
      <c r="Q1180" s="5"/>
      <c r="R1180" s="5"/>
      <c r="S1180" s="5"/>
      <c r="T1180" s="5"/>
      <c r="U1180" s="5"/>
      <c r="V1180" s="5"/>
      <c r="W1180" s="5"/>
      <c r="X1180" s="5"/>
      <c r="Y1180" s="5"/>
      <c r="Z1180" s="5"/>
      <c r="AA1180" s="5"/>
      <c r="AB1180" s="5"/>
      <c r="AC1180" s="5"/>
      <c r="AD1180" s="5"/>
    </row>
    <row r="1181" spans="1:30" x14ac:dyDescent="0.25">
      <c r="A1181" s="5" t="s">
        <v>22</v>
      </c>
      <c r="B1181" s="5" t="s">
        <v>30</v>
      </c>
      <c r="C1181" s="5" t="s">
        <v>20</v>
      </c>
      <c r="D1181" s="5" t="s">
        <v>12</v>
      </c>
      <c r="E1181" s="5">
        <v>2014</v>
      </c>
      <c r="F1181" s="5"/>
      <c r="K1181" s="5"/>
      <c r="L1181" s="5"/>
      <c r="M1181" s="5"/>
      <c r="N1181" s="5"/>
      <c r="O1181" s="5"/>
      <c r="P1181" s="5"/>
      <c r="Q1181" s="5"/>
      <c r="R1181" s="5"/>
      <c r="S1181" s="5"/>
      <c r="T1181" s="5"/>
      <c r="U1181" s="5"/>
      <c r="V1181" s="5"/>
      <c r="W1181" s="5"/>
      <c r="X1181" s="5"/>
      <c r="Y1181" s="5"/>
      <c r="Z1181" s="5"/>
      <c r="AA1181" s="5"/>
      <c r="AB1181" s="5"/>
      <c r="AC1181" s="5"/>
      <c r="AD1181" s="5"/>
    </row>
    <row r="1182" spans="1:30" x14ac:dyDescent="0.25">
      <c r="A1182" s="5" t="s">
        <v>21</v>
      </c>
      <c r="B1182" s="5" t="s">
        <v>26</v>
      </c>
      <c r="C1182" s="5" t="s">
        <v>20</v>
      </c>
      <c r="D1182" s="5" t="s">
        <v>15</v>
      </c>
      <c r="E1182" s="5">
        <v>2014</v>
      </c>
      <c r="F1182" s="5"/>
      <c r="K1182" s="5"/>
      <c r="L1182" s="5"/>
      <c r="M1182" s="5"/>
      <c r="N1182" s="5"/>
      <c r="O1182" s="5"/>
      <c r="P1182" s="5"/>
      <c r="Q1182" s="5"/>
      <c r="R1182" s="5"/>
      <c r="S1182" s="5"/>
      <c r="T1182" s="5"/>
      <c r="U1182" s="5"/>
      <c r="V1182" s="5"/>
      <c r="W1182" s="5"/>
      <c r="X1182" s="5"/>
      <c r="Y1182" s="5"/>
      <c r="Z1182" s="5"/>
      <c r="AA1182" s="5"/>
      <c r="AB1182" s="5"/>
      <c r="AC1182" s="5"/>
      <c r="AD1182" s="5"/>
    </row>
    <row r="1183" spans="1:30" x14ac:dyDescent="0.25">
      <c r="A1183" s="5" t="s">
        <v>21</v>
      </c>
      <c r="B1183" s="5" t="s">
        <v>28</v>
      </c>
      <c r="C1183" s="5" t="s">
        <v>20</v>
      </c>
      <c r="D1183" s="5" t="s">
        <v>15</v>
      </c>
      <c r="E1183" s="5">
        <v>2014</v>
      </c>
      <c r="F1183" s="5"/>
      <c r="K1183" s="5"/>
      <c r="L1183" s="5"/>
      <c r="M1183" s="5"/>
      <c r="N1183" s="5"/>
      <c r="O1183" s="5"/>
      <c r="P1183" s="5"/>
      <c r="Q1183" s="5"/>
      <c r="R1183" s="5"/>
      <c r="S1183" s="5"/>
      <c r="T1183" s="5"/>
      <c r="U1183" s="5"/>
      <c r="V1183" s="5"/>
      <c r="W1183" s="5"/>
      <c r="X1183" s="5"/>
      <c r="Y1183" s="5"/>
      <c r="Z1183" s="5"/>
      <c r="AA1183" s="5"/>
      <c r="AB1183" s="5"/>
      <c r="AC1183" s="5"/>
      <c r="AD1183" s="5"/>
    </row>
    <row r="1184" spans="1:30" x14ac:dyDescent="0.25">
      <c r="A1184" s="5" t="s">
        <v>21</v>
      </c>
      <c r="B1184" s="5" t="s">
        <v>29</v>
      </c>
      <c r="C1184" s="5" t="s">
        <v>20</v>
      </c>
      <c r="D1184" s="5" t="s">
        <v>15</v>
      </c>
      <c r="E1184" s="5">
        <v>2014</v>
      </c>
      <c r="F1184" s="5"/>
      <c r="K1184" s="5"/>
      <c r="L1184" s="5"/>
      <c r="M1184" s="5"/>
      <c r="N1184" s="5"/>
      <c r="O1184" s="5"/>
      <c r="P1184" s="5"/>
      <c r="Q1184" s="5"/>
      <c r="R1184" s="5"/>
      <c r="S1184" s="5"/>
      <c r="T1184" s="5"/>
      <c r="U1184" s="5"/>
      <c r="V1184" s="5"/>
      <c r="W1184" s="5"/>
      <c r="X1184" s="5"/>
      <c r="Y1184" s="5"/>
      <c r="Z1184" s="5"/>
      <c r="AA1184" s="5"/>
      <c r="AB1184" s="5"/>
      <c r="AC1184" s="5"/>
      <c r="AD1184" s="5"/>
    </row>
    <row r="1185" spans="1:30" x14ac:dyDescent="0.25">
      <c r="A1185" s="5" t="s">
        <v>21</v>
      </c>
      <c r="B1185" s="5" t="s">
        <v>30</v>
      </c>
      <c r="C1185" s="5" t="s">
        <v>20</v>
      </c>
      <c r="D1185" s="5" t="s">
        <v>15</v>
      </c>
      <c r="E1185" s="5">
        <v>2014</v>
      </c>
      <c r="F1185" s="5"/>
      <c r="K1185" s="5"/>
      <c r="L1185" s="5"/>
      <c r="M1185" s="5"/>
      <c r="N1185" s="5"/>
      <c r="O1185" s="5"/>
      <c r="P1185" s="5"/>
      <c r="Q1185" s="5"/>
      <c r="R1185" s="5"/>
      <c r="S1185" s="5"/>
      <c r="T1185" s="5"/>
      <c r="U1185" s="5"/>
      <c r="V1185" s="5"/>
      <c r="W1185" s="5"/>
      <c r="X1185" s="5"/>
      <c r="Y1185" s="5"/>
      <c r="Z1185" s="5"/>
      <c r="AA1185" s="5"/>
      <c r="AB1185" s="5"/>
      <c r="AC1185" s="5"/>
      <c r="AD1185" s="5"/>
    </row>
    <row r="1186" spans="1:30" x14ac:dyDescent="0.25">
      <c r="A1186" s="4" t="s">
        <v>10</v>
      </c>
      <c r="B1186" s="4" t="s">
        <v>26</v>
      </c>
      <c r="C1186" s="4" t="s">
        <v>20</v>
      </c>
      <c r="D1186" s="4" t="s">
        <v>15</v>
      </c>
      <c r="E1186" s="4">
        <v>2014</v>
      </c>
      <c r="F1186" s="4"/>
      <c r="K1186" s="4"/>
      <c r="L1186" s="4"/>
      <c r="M1186" s="4"/>
      <c r="N1186" s="4"/>
      <c r="O1186" s="4"/>
      <c r="P1186" s="4"/>
      <c r="Q1186" s="4"/>
      <c r="R1186" s="4"/>
      <c r="S1186" s="4"/>
      <c r="T1186" s="4"/>
      <c r="U1186" s="4"/>
      <c r="V1186" s="4"/>
      <c r="W1186" s="4"/>
      <c r="X1186" s="4"/>
      <c r="Y1186" s="4"/>
      <c r="Z1186" s="4"/>
      <c r="AA1186" s="4"/>
      <c r="AB1186" s="4"/>
      <c r="AC1186" s="4"/>
      <c r="AD1186" s="4"/>
    </row>
    <row r="1187" spans="1:30" x14ac:dyDescent="0.25">
      <c r="A1187" s="4" t="s">
        <v>10</v>
      </c>
      <c r="B1187" s="4" t="s">
        <v>28</v>
      </c>
      <c r="C1187" s="4" t="s">
        <v>20</v>
      </c>
      <c r="D1187" s="4" t="s">
        <v>15</v>
      </c>
      <c r="E1187" s="4">
        <v>2014</v>
      </c>
      <c r="F1187" s="4"/>
      <c r="K1187" s="4"/>
      <c r="L1187" s="4"/>
      <c r="M1187" s="4"/>
      <c r="N1187" s="4"/>
      <c r="O1187" s="4"/>
      <c r="P1187" s="4"/>
      <c r="Q1187" s="4"/>
      <c r="R1187" s="4"/>
      <c r="S1187" s="4"/>
      <c r="T1187" s="4"/>
      <c r="U1187" s="4"/>
      <c r="V1187" s="4"/>
      <c r="W1187" s="4"/>
      <c r="X1187" s="4"/>
      <c r="Y1187" s="4"/>
      <c r="Z1187" s="4"/>
      <c r="AA1187" s="4"/>
      <c r="AB1187" s="4"/>
      <c r="AC1187" s="4"/>
      <c r="AD1187" s="4"/>
    </row>
    <row r="1188" spans="1:30" x14ac:dyDescent="0.25">
      <c r="A1188" s="4" t="s">
        <v>10</v>
      </c>
      <c r="B1188" s="4" t="s">
        <v>29</v>
      </c>
      <c r="C1188" s="4" t="s">
        <v>20</v>
      </c>
      <c r="D1188" s="4" t="s">
        <v>15</v>
      </c>
      <c r="E1188" s="4">
        <v>2014</v>
      </c>
      <c r="F1188" s="4"/>
      <c r="K1188" s="4"/>
      <c r="L1188" s="4"/>
      <c r="M1188" s="4"/>
      <c r="N1188" s="4"/>
      <c r="O1188" s="4"/>
      <c r="P1188" s="4"/>
      <c r="Q1188" s="4"/>
      <c r="R1188" s="4"/>
      <c r="S1188" s="4"/>
      <c r="T1188" s="4"/>
      <c r="U1188" s="4"/>
      <c r="V1188" s="4"/>
      <c r="W1188" s="4"/>
      <c r="X1188" s="4"/>
      <c r="Y1188" s="4"/>
      <c r="Z1188" s="4"/>
      <c r="AA1188" s="4"/>
      <c r="AB1188" s="4"/>
      <c r="AC1188" s="4"/>
      <c r="AD1188" s="4"/>
    </row>
    <row r="1189" spans="1:30" x14ac:dyDescent="0.25">
      <c r="A1189" s="4" t="s">
        <v>10</v>
      </c>
      <c r="B1189" s="4" t="s">
        <v>30</v>
      </c>
      <c r="C1189" s="4" t="s">
        <v>20</v>
      </c>
      <c r="D1189" s="4" t="s">
        <v>15</v>
      </c>
      <c r="E1189" s="4">
        <v>2014</v>
      </c>
      <c r="F1189" s="4"/>
      <c r="K1189" s="4"/>
      <c r="L1189" s="4"/>
      <c r="M1189" s="4"/>
      <c r="N1189" s="4"/>
      <c r="O1189" s="4"/>
      <c r="P1189" s="4"/>
      <c r="Q1189" s="4"/>
      <c r="R1189" s="4"/>
      <c r="S1189" s="4"/>
      <c r="T1189" s="4"/>
      <c r="U1189" s="4"/>
      <c r="V1189" s="4"/>
      <c r="W1189" s="4"/>
      <c r="X1189" s="4"/>
      <c r="Y1189" s="4"/>
      <c r="Z1189" s="4"/>
      <c r="AA1189" s="4"/>
      <c r="AB1189" s="4"/>
      <c r="AC1189" s="4"/>
      <c r="AD1189" s="4"/>
    </row>
    <row r="1190" spans="1:30" x14ac:dyDescent="0.25">
      <c r="A1190" s="5" t="s">
        <v>22</v>
      </c>
      <c r="B1190" s="5" t="s">
        <v>26</v>
      </c>
      <c r="C1190" s="5" t="s">
        <v>20</v>
      </c>
      <c r="D1190" s="5" t="s">
        <v>15</v>
      </c>
      <c r="E1190" s="5">
        <v>2014</v>
      </c>
      <c r="F1190" s="5"/>
      <c r="K1190" s="5"/>
      <c r="L1190" s="5"/>
      <c r="M1190" s="5"/>
      <c r="N1190" s="5"/>
      <c r="O1190" s="5"/>
      <c r="P1190" s="5"/>
      <c r="Q1190" s="5"/>
      <c r="R1190" s="5"/>
      <c r="S1190" s="5"/>
      <c r="T1190" s="5"/>
      <c r="U1190" s="5"/>
      <c r="V1190" s="5"/>
      <c r="W1190" s="5"/>
      <c r="X1190" s="5"/>
      <c r="Y1190" s="5"/>
      <c r="Z1190" s="5"/>
      <c r="AA1190" s="5"/>
      <c r="AB1190" s="5"/>
      <c r="AC1190" s="5"/>
      <c r="AD1190" s="5"/>
    </row>
    <row r="1191" spans="1:30" x14ac:dyDescent="0.25">
      <c r="A1191" s="5" t="s">
        <v>22</v>
      </c>
      <c r="B1191" s="5" t="s">
        <v>28</v>
      </c>
      <c r="C1191" s="5" t="s">
        <v>20</v>
      </c>
      <c r="D1191" s="5" t="s">
        <v>15</v>
      </c>
      <c r="E1191" s="5">
        <v>2014</v>
      </c>
      <c r="F1191" s="5"/>
      <c r="K1191" s="5"/>
      <c r="L1191" s="5"/>
      <c r="M1191" s="5"/>
      <c r="N1191" s="5"/>
      <c r="O1191" s="5"/>
      <c r="P1191" s="5"/>
      <c r="Q1191" s="5"/>
      <c r="R1191" s="5"/>
      <c r="S1191" s="5"/>
      <c r="T1191" s="5"/>
      <c r="U1191" s="5"/>
      <c r="V1191" s="5"/>
      <c r="W1191" s="5"/>
      <c r="X1191" s="5"/>
      <c r="Y1191" s="5"/>
      <c r="Z1191" s="5"/>
      <c r="AA1191" s="5"/>
      <c r="AB1191" s="5"/>
      <c r="AC1191" s="5"/>
      <c r="AD1191" s="5"/>
    </row>
    <row r="1192" spans="1:30" x14ac:dyDescent="0.25">
      <c r="A1192" s="5" t="s">
        <v>22</v>
      </c>
      <c r="B1192" s="5" t="s">
        <v>29</v>
      </c>
      <c r="C1192" s="5" t="s">
        <v>20</v>
      </c>
      <c r="D1192" s="5" t="s">
        <v>15</v>
      </c>
      <c r="E1192" s="5">
        <v>2014</v>
      </c>
      <c r="F1192" s="5"/>
      <c r="K1192" s="5"/>
      <c r="L1192" s="5"/>
      <c r="M1192" s="5"/>
      <c r="N1192" s="5"/>
      <c r="O1192" s="5"/>
      <c r="P1192" s="5"/>
      <c r="Q1192" s="5"/>
      <c r="R1192" s="5"/>
      <c r="S1192" s="5"/>
      <c r="T1192" s="5"/>
      <c r="U1192" s="5"/>
      <c r="V1192" s="5"/>
      <c r="W1192" s="5"/>
      <c r="X1192" s="5"/>
      <c r="Y1192" s="5"/>
      <c r="Z1192" s="5"/>
      <c r="AA1192" s="5"/>
      <c r="AB1192" s="5"/>
      <c r="AC1192" s="5"/>
      <c r="AD1192" s="5"/>
    </row>
    <row r="1193" spans="1:30" x14ac:dyDescent="0.25">
      <c r="A1193" s="5" t="s">
        <v>22</v>
      </c>
      <c r="B1193" s="5" t="s">
        <v>30</v>
      </c>
      <c r="C1193" s="5" t="s">
        <v>20</v>
      </c>
      <c r="D1193" s="5" t="s">
        <v>15</v>
      </c>
      <c r="E1193" s="5">
        <v>2014</v>
      </c>
      <c r="F1193" s="5"/>
      <c r="K1193" s="5"/>
      <c r="L1193" s="5"/>
      <c r="M1193" s="5"/>
      <c r="N1193" s="5"/>
      <c r="O1193" s="5"/>
      <c r="P1193" s="5"/>
      <c r="Q1193" s="5"/>
      <c r="R1193" s="5"/>
      <c r="S1193" s="5"/>
      <c r="T1193" s="5"/>
      <c r="U1193" s="5"/>
      <c r="V1193" s="5"/>
      <c r="W1193" s="5"/>
      <c r="X1193" s="5"/>
      <c r="Y1193" s="5"/>
      <c r="Z1193" s="5"/>
      <c r="AA1193" s="5"/>
      <c r="AB1193" s="5"/>
      <c r="AC1193" s="5"/>
      <c r="AD1193" s="5"/>
    </row>
    <row r="1194" spans="1:30" x14ac:dyDescent="0.25">
      <c r="A1194" s="5" t="s">
        <v>21</v>
      </c>
      <c r="B1194" s="5" t="s">
        <v>24</v>
      </c>
      <c r="C1194" s="5" t="s">
        <v>31</v>
      </c>
      <c r="D1194" s="5" t="s">
        <v>12</v>
      </c>
      <c r="E1194" s="5">
        <v>2014</v>
      </c>
      <c r="F1194" s="5"/>
      <c r="K1194" s="5"/>
      <c r="L1194" s="5"/>
      <c r="M1194" s="5"/>
      <c r="N1194" s="5"/>
      <c r="O1194" s="5"/>
      <c r="P1194" s="5"/>
      <c r="Q1194" s="5"/>
      <c r="R1194" s="5"/>
      <c r="S1194" s="5"/>
      <c r="T1194" s="5"/>
      <c r="U1194" s="5"/>
      <c r="V1194" s="5"/>
      <c r="W1194" s="5"/>
      <c r="X1194" s="5"/>
      <c r="Y1194" s="5"/>
      <c r="Z1194" s="5"/>
      <c r="AA1194" s="5"/>
      <c r="AB1194" s="5"/>
      <c r="AC1194" s="5"/>
      <c r="AD1194" s="5"/>
    </row>
    <row r="1195" spans="1:30" x14ac:dyDescent="0.25">
      <c r="A1195" s="5" t="s">
        <v>21</v>
      </c>
      <c r="B1195" s="5" t="s">
        <v>26</v>
      </c>
      <c r="C1195" s="5" t="s">
        <v>31</v>
      </c>
      <c r="D1195" s="5" t="s">
        <v>12</v>
      </c>
      <c r="E1195" s="5">
        <v>2014</v>
      </c>
      <c r="F1195" s="5"/>
      <c r="K1195" s="5"/>
      <c r="L1195" s="5"/>
      <c r="M1195" s="5"/>
      <c r="N1195" s="5"/>
      <c r="O1195" s="5"/>
      <c r="P1195" s="5"/>
      <c r="Q1195" s="5"/>
      <c r="R1195" s="5"/>
      <c r="S1195" s="5"/>
      <c r="T1195" s="5"/>
      <c r="U1195" s="5"/>
      <c r="V1195" s="5"/>
      <c r="W1195" s="5"/>
      <c r="X1195" s="5"/>
      <c r="Y1195" s="5"/>
      <c r="Z1195" s="5"/>
      <c r="AA1195" s="5"/>
      <c r="AB1195" s="5"/>
      <c r="AC1195" s="5"/>
      <c r="AD1195" s="5"/>
    </row>
    <row r="1196" spans="1:30" x14ac:dyDescent="0.25">
      <c r="A1196" s="5" t="s">
        <v>21</v>
      </c>
      <c r="B1196" s="5" t="s">
        <v>27</v>
      </c>
      <c r="C1196" s="5" t="s">
        <v>31</v>
      </c>
      <c r="D1196" s="5" t="s">
        <v>12</v>
      </c>
      <c r="E1196" s="5">
        <v>2014</v>
      </c>
      <c r="F1196" s="5"/>
      <c r="K1196" s="5"/>
      <c r="L1196" s="5"/>
      <c r="M1196" s="5"/>
      <c r="N1196" s="5"/>
      <c r="O1196" s="5"/>
      <c r="P1196" s="5"/>
      <c r="Q1196" s="5"/>
      <c r="R1196" s="5"/>
      <c r="S1196" s="5"/>
      <c r="T1196" s="5"/>
      <c r="U1196" s="5"/>
      <c r="V1196" s="5"/>
      <c r="W1196" s="5"/>
      <c r="X1196" s="5"/>
      <c r="Y1196" s="5"/>
      <c r="Z1196" s="5"/>
      <c r="AA1196" s="5"/>
      <c r="AB1196" s="5"/>
      <c r="AC1196" s="5"/>
      <c r="AD1196" s="5"/>
    </row>
    <row r="1197" spans="1:30" x14ac:dyDescent="0.25">
      <c r="A1197" s="5" t="s">
        <v>21</v>
      </c>
      <c r="B1197" s="5" t="s">
        <v>28</v>
      </c>
      <c r="C1197" s="5" t="s">
        <v>31</v>
      </c>
      <c r="D1197" s="5" t="s">
        <v>12</v>
      </c>
      <c r="E1197" s="5">
        <v>2014</v>
      </c>
      <c r="F1197" s="5"/>
      <c r="K1197" s="5"/>
      <c r="L1197" s="5"/>
      <c r="M1197" s="5"/>
      <c r="N1197" s="5"/>
      <c r="O1197" s="5"/>
      <c r="P1197" s="5"/>
      <c r="Q1197" s="5"/>
      <c r="R1197" s="5"/>
      <c r="S1197" s="5"/>
      <c r="T1197" s="5"/>
      <c r="U1197" s="5"/>
      <c r="V1197" s="5"/>
      <c r="W1197" s="5"/>
      <c r="X1197" s="5"/>
      <c r="Y1197" s="5"/>
      <c r="Z1197" s="5"/>
      <c r="AA1197" s="5"/>
      <c r="AB1197" s="5"/>
      <c r="AC1197" s="5"/>
      <c r="AD1197" s="5"/>
    </row>
    <row r="1198" spans="1:30" x14ac:dyDescent="0.25">
      <c r="A1198" s="5" t="s">
        <v>21</v>
      </c>
      <c r="B1198" s="5" t="s">
        <v>29</v>
      </c>
      <c r="C1198" s="5" t="s">
        <v>31</v>
      </c>
      <c r="D1198" s="5" t="s">
        <v>12</v>
      </c>
      <c r="E1198" s="5">
        <v>2014</v>
      </c>
      <c r="F1198" s="5"/>
      <c r="K1198" s="5"/>
      <c r="L1198" s="5"/>
      <c r="M1198" s="5"/>
      <c r="N1198" s="5"/>
      <c r="O1198" s="5"/>
      <c r="P1198" s="5"/>
      <c r="Q1198" s="5"/>
      <c r="R1198" s="5"/>
      <c r="S1198" s="5"/>
      <c r="T1198" s="5"/>
      <c r="U1198" s="5"/>
      <c r="V1198" s="5"/>
      <c r="W1198" s="5"/>
      <c r="X1198" s="5"/>
      <c r="Y1198" s="5"/>
      <c r="Z1198" s="5"/>
      <c r="AA1198" s="5"/>
      <c r="AB1198" s="5"/>
      <c r="AC1198" s="5"/>
      <c r="AD1198" s="5"/>
    </row>
    <row r="1199" spans="1:30" x14ac:dyDescent="0.25">
      <c r="A1199" s="5" t="s">
        <v>21</v>
      </c>
      <c r="B1199" s="5" t="s">
        <v>30</v>
      </c>
      <c r="C1199" s="5" t="s">
        <v>31</v>
      </c>
      <c r="D1199" s="5" t="s">
        <v>12</v>
      </c>
      <c r="E1199" s="5">
        <v>2014</v>
      </c>
      <c r="F1199" s="5"/>
      <c r="K1199" s="5"/>
      <c r="L1199" s="5"/>
      <c r="M1199" s="5"/>
      <c r="N1199" s="5"/>
      <c r="O1199" s="5"/>
      <c r="P1199" s="5"/>
      <c r="Q1199" s="5"/>
      <c r="R1199" s="5"/>
      <c r="S1199" s="5"/>
      <c r="T1199" s="5"/>
      <c r="U1199" s="5"/>
      <c r="V1199" s="5"/>
      <c r="W1199" s="5"/>
      <c r="X1199" s="5"/>
      <c r="Y1199" s="5"/>
      <c r="Z1199" s="5"/>
      <c r="AA1199" s="5"/>
      <c r="AB1199" s="5"/>
      <c r="AC1199" s="5"/>
      <c r="AD1199" s="5"/>
    </row>
    <row r="1200" spans="1:30" x14ac:dyDescent="0.25">
      <c r="A1200" s="4" t="s">
        <v>10</v>
      </c>
      <c r="B1200" s="4" t="s">
        <v>24</v>
      </c>
      <c r="C1200" s="4" t="s">
        <v>31</v>
      </c>
      <c r="D1200" s="4" t="s">
        <v>12</v>
      </c>
      <c r="E1200" s="4">
        <v>2014</v>
      </c>
      <c r="F1200" s="4"/>
      <c r="K1200" s="4"/>
      <c r="L1200" s="4"/>
      <c r="M1200" s="4"/>
      <c r="N1200" s="4"/>
      <c r="O1200" s="4"/>
      <c r="P1200" s="4"/>
      <c r="Q1200" s="4"/>
      <c r="R1200" s="4"/>
      <c r="S1200" s="4"/>
      <c r="T1200" s="4"/>
      <c r="U1200" s="4"/>
      <c r="V1200" s="4"/>
      <c r="W1200" s="4"/>
      <c r="X1200" s="4"/>
      <c r="Y1200" s="4"/>
      <c r="Z1200" s="4"/>
      <c r="AA1200" s="4"/>
      <c r="AB1200" s="4"/>
      <c r="AC1200" s="4"/>
      <c r="AD1200" s="4"/>
    </row>
    <row r="1201" spans="1:30" x14ac:dyDescent="0.25">
      <c r="A1201" s="4" t="s">
        <v>10</v>
      </c>
      <c r="B1201" s="4" t="s">
        <v>26</v>
      </c>
      <c r="C1201" s="4" t="s">
        <v>31</v>
      </c>
      <c r="D1201" s="4" t="s">
        <v>12</v>
      </c>
      <c r="E1201" s="4">
        <v>2014</v>
      </c>
      <c r="F1201" s="4"/>
      <c r="K1201" s="4"/>
      <c r="L1201" s="4"/>
      <c r="M1201" s="4"/>
      <c r="N1201" s="4"/>
      <c r="O1201" s="4"/>
      <c r="P1201" s="4"/>
      <c r="Q1201" s="4"/>
      <c r="R1201" s="4"/>
      <c r="S1201" s="4"/>
      <c r="T1201" s="4"/>
      <c r="U1201" s="4"/>
      <c r="V1201" s="4"/>
      <c r="W1201" s="4"/>
      <c r="X1201" s="4"/>
      <c r="Y1201" s="4"/>
      <c r="Z1201" s="4"/>
      <c r="AA1201" s="4"/>
      <c r="AB1201" s="4"/>
      <c r="AC1201" s="4"/>
      <c r="AD1201" s="4"/>
    </row>
    <row r="1202" spans="1:30" x14ac:dyDescent="0.25">
      <c r="A1202" s="4" t="s">
        <v>10</v>
      </c>
      <c r="B1202" s="4" t="s">
        <v>27</v>
      </c>
      <c r="C1202" s="4" t="s">
        <v>31</v>
      </c>
      <c r="D1202" s="4" t="s">
        <v>12</v>
      </c>
      <c r="E1202" s="4">
        <v>2014</v>
      </c>
      <c r="F1202" s="4"/>
      <c r="K1202" s="4"/>
      <c r="L1202" s="4"/>
      <c r="M1202" s="4"/>
      <c r="N1202" s="4"/>
      <c r="O1202" s="4"/>
      <c r="P1202" s="4"/>
      <c r="Q1202" s="4"/>
      <c r="R1202" s="4"/>
      <c r="S1202" s="4"/>
      <c r="T1202" s="4"/>
      <c r="U1202" s="4"/>
      <c r="V1202" s="4"/>
      <c r="W1202" s="4"/>
      <c r="X1202" s="4"/>
      <c r="Y1202" s="4"/>
      <c r="Z1202" s="4"/>
      <c r="AA1202" s="4"/>
      <c r="AB1202" s="4"/>
      <c r="AC1202" s="4"/>
      <c r="AD1202" s="4"/>
    </row>
    <row r="1203" spans="1:30" x14ac:dyDescent="0.25">
      <c r="A1203" s="4" t="s">
        <v>10</v>
      </c>
      <c r="B1203" s="4" t="s">
        <v>28</v>
      </c>
      <c r="C1203" s="4" t="s">
        <v>31</v>
      </c>
      <c r="D1203" s="4" t="s">
        <v>12</v>
      </c>
      <c r="E1203" s="4">
        <v>2014</v>
      </c>
      <c r="F1203" s="4"/>
      <c r="K1203" s="4"/>
      <c r="L1203" s="4"/>
      <c r="M1203" s="4"/>
      <c r="N1203" s="4"/>
      <c r="O1203" s="4"/>
      <c r="P1203" s="4"/>
      <c r="Q1203" s="4"/>
      <c r="R1203" s="4"/>
      <c r="S1203" s="4"/>
      <c r="T1203" s="4"/>
      <c r="U1203" s="4"/>
      <c r="V1203" s="4"/>
      <c r="W1203" s="4"/>
      <c r="X1203" s="4"/>
      <c r="Y1203" s="4"/>
      <c r="Z1203" s="4"/>
      <c r="AA1203" s="4"/>
      <c r="AB1203" s="4"/>
      <c r="AC1203" s="4"/>
      <c r="AD1203" s="4"/>
    </row>
    <row r="1204" spans="1:30" x14ac:dyDescent="0.25">
      <c r="A1204" s="4" t="s">
        <v>10</v>
      </c>
      <c r="B1204" s="4" t="s">
        <v>29</v>
      </c>
      <c r="C1204" s="4" t="s">
        <v>31</v>
      </c>
      <c r="D1204" s="4" t="s">
        <v>12</v>
      </c>
      <c r="E1204" s="4">
        <v>2014</v>
      </c>
      <c r="F1204" s="4"/>
      <c r="K1204" s="4"/>
      <c r="L1204" s="4"/>
      <c r="M1204" s="4"/>
      <c r="N1204" s="4"/>
      <c r="O1204" s="4"/>
      <c r="P1204" s="4"/>
      <c r="Q1204" s="4"/>
      <c r="R1204" s="4"/>
      <c r="S1204" s="4"/>
      <c r="T1204" s="4"/>
      <c r="U1204" s="4"/>
      <c r="V1204" s="4"/>
      <c r="W1204" s="4"/>
      <c r="X1204" s="4"/>
      <c r="Y1204" s="4"/>
      <c r="Z1204" s="4"/>
      <c r="AA1204" s="4"/>
      <c r="AB1204" s="4"/>
      <c r="AC1204" s="4"/>
      <c r="AD1204" s="4"/>
    </row>
    <row r="1205" spans="1:30" x14ac:dyDescent="0.25">
      <c r="A1205" s="4" t="s">
        <v>10</v>
      </c>
      <c r="B1205" s="4" t="s">
        <v>30</v>
      </c>
      <c r="C1205" s="4" t="s">
        <v>31</v>
      </c>
      <c r="D1205" s="4" t="s">
        <v>12</v>
      </c>
      <c r="E1205" s="4">
        <v>2014</v>
      </c>
      <c r="F1205" s="4"/>
      <c r="K1205" s="4"/>
      <c r="L1205" s="4"/>
      <c r="M1205" s="4"/>
      <c r="N1205" s="4"/>
      <c r="O1205" s="4"/>
      <c r="P1205" s="4"/>
      <c r="Q1205" s="4"/>
      <c r="R1205" s="4"/>
      <c r="S1205" s="4"/>
      <c r="T1205" s="4"/>
      <c r="U1205" s="4"/>
      <c r="V1205" s="4"/>
      <c r="W1205" s="4"/>
      <c r="X1205" s="4"/>
      <c r="Y1205" s="4"/>
      <c r="Z1205" s="4"/>
      <c r="AA1205" s="4"/>
      <c r="AB1205" s="4"/>
      <c r="AC1205" s="4"/>
      <c r="AD1205" s="4"/>
    </row>
    <row r="1206" spans="1:30" x14ac:dyDescent="0.25">
      <c r="A1206" s="5" t="s">
        <v>22</v>
      </c>
      <c r="B1206" s="5" t="s">
        <v>24</v>
      </c>
      <c r="C1206" s="5" t="s">
        <v>31</v>
      </c>
      <c r="D1206" s="5" t="s">
        <v>12</v>
      </c>
      <c r="E1206" s="5">
        <v>2014</v>
      </c>
      <c r="F1206" s="5"/>
      <c r="K1206" s="5"/>
      <c r="L1206" s="5"/>
      <c r="M1206" s="5"/>
      <c r="N1206" s="5"/>
      <c r="O1206" s="5"/>
      <c r="P1206" s="5"/>
      <c r="Q1206" s="5"/>
      <c r="R1206" s="5"/>
      <c r="S1206" s="5"/>
      <c r="T1206" s="5"/>
      <c r="U1206" s="5"/>
      <c r="V1206" s="5"/>
      <c r="W1206" s="5"/>
      <c r="X1206" s="5"/>
      <c r="Y1206" s="5"/>
      <c r="Z1206" s="5"/>
      <c r="AA1206" s="5"/>
      <c r="AB1206" s="5"/>
      <c r="AC1206" s="5"/>
      <c r="AD1206" s="5"/>
    </row>
    <row r="1207" spans="1:30" x14ac:dyDescent="0.25">
      <c r="A1207" s="5" t="s">
        <v>22</v>
      </c>
      <c r="B1207" s="5" t="s">
        <v>26</v>
      </c>
      <c r="C1207" s="5" t="s">
        <v>31</v>
      </c>
      <c r="D1207" s="5" t="s">
        <v>12</v>
      </c>
      <c r="E1207" s="5">
        <v>2014</v>
      </c>
      <c r="F1207" s="5"/>
      <c r="K1207" s="5"/>
      <c r="L1207" s="5"/>
      <c r="M1207" s="5"/>
      <c r="N1207" s="5"/>
      <c r="O1207" s="5"/>
      <c r="P1207" s="5"/>
      <c r="Q1207" s="5"/>
      <c r="R1207" s="5"/>
      <c r="S1207" s="5"/>
      <c r="T1207" s="5"/>
      <c r="U1207" s="5"/>
      <c r="V1207" s="5"/>
      <c r="W1207" s="5"/>
      <c r="X1207" s="5"/>
      <c r="Y1207" s="5"/>
      <c r="Z1207" s="5"/>
      <c r="AA1207" s="5"/>
      <c r="AB1207" s="5"/>
      <c r="AC1207" s="5"/>
      <c r="AD1207" s="5"/>
    </row>
    <row r="1208" spans="1:30" x14ac:dyDescent="0.25">
      <c r="A1208" s="5" t="s">
        <v>22</v>
      </c>
      <c r="B1208" s="5" t="s">
        <v>27</v>
      </c>
      <c r="C1208" s="5" t="s">
        <v>31</v>
      </c>
      <c r="D1208" s="5" t="s">
        <v>12</v>
      </c>
      <c r="E1208" s="5">
        <v>2014</v>
      </c>
      <c r="F1208" s="5"/>
      <c r="K1208" s="5"/>
      <c r="L1208" s="5"/>
      <c r="M1208" s="5"/>
      <c r="N1208" s="5"/>
      <c r="O1208" s="5"/>
      <c r="P1208" s="5"/>
      <c r="Q1208" s="5"/>
      <c r="R1208" s="5"/>
      <c r="S1208" s="5"/>
      <c r="T1208" s="5"/>
      <c r="U1208" s="5"/>
      <c r="V1208" s="5"/>
      <c r="W1208" s="5"/>
      <c r="X1208" s="5"/>
      <c r="Y1208" s="5"/>
      <c r="Z1208" s="5"/>
      <c r="AA1208" s="5"/>
      <c r="AB1208" s="5"/>
      <c r="AC1208" s="5"/>
      <c r="AD1208" s="5"/>
    </row>
    <row r="1209" spans="1:30" x14ac:dyDescent="0.25">
      <c r="A1209" s="5" t="s">
        <v>22</v>
      </c>
      <c r="B1209" s="5" t="s">
        <v>28</v>
      </c>
      <c r="C1209" s="5" t="s">
        <v>31</v>
      </c>
      <c r="D1209" s="5" t="s">
        <v>12</v>
      </c>
      <c r="E1209" s="5">
        <v>2014</v>
      </c>
      <c r="F1209" s="5"/>
      <c r="K1209" s="5"/>
      <c r="L1209" s="5"/>
      <c r="M1209" s="5"/>
      <c r="N1209" s="5"/>
      <c r="O1209" s="5"/>
      <c r="P1209" s="5"/>
      <c r="Q1209" s="5"/>
      <c r="R1209" s="5"/>
      <c r="S1209" s="5"/>
      <c r="T1209" s="5"/>
      <c r="U1209" s="5"/>
      <c r="V1209" s="5"/>
      <c r="W1209" s="5"/>
      <c r="X1209" s="5"/>
      <c r="Y1209" s="5"/>
      <c r="Z1209" s="5"/>
      <c r="AA1209" s="5"/>
      <c r="AB1209" s="5"/>
      <c r="AC1209" s="5"/>
      <c r="AD1209" s="5"/>
    </row>
    <row r="1210" spans="1:30" x14ac:dyDescent="0.25">
      <c r="A1210" s="5" t="s">
        <v>22</v>
      </c>
      <c r="B1210" s="5" t="s">
        <v>29</v>
      </c>
      <c r="C1210" s="5" t="s">
        <v>31</v>
      </c>
      <c r="D1210" s="5" t="s">
        <v>12</v>
      </c>
      <c r="E1210" s="5">
        <v>2014</v>
      </c>
      <c r="F1210" s="5"/>
      <c r="K1210" s="5"/>
      <c r="L1210" s="5"/>
      <c r="M1210" s="5"/>
      <c r="N1210" s="5"/>
      <c r="O1210" s="5"/>
      <c r="P1210" s="5"/>
      <c r="Q1210" s="5"/>
      <c r="R1210" s="5"/>
      <c r="S1210" s="5"/>
      <c r="T1210" s="5"/>
      <c r="U1210" s="5"/>
      <c r="V1210" s="5"/>
      <c r="W1210" s="5"/>
      <c r="X1210" s="5"/>
      <c r="Y1210" s="5"/>
      <c r="Z1210" s="5"/>
      <c r="AA1210" s="5"/>
      <c r="AB1210" s="5"/>
      <c r="AC1210" s="5"/>
      <c r="AD1210" s="5"/>
    </row>
    <row r="1211" spans="1:30" x14ac:dyDescent="0.25">
      <c r="A1211" s="5" t="s">
        <v>22</v>
      </c>
      <c r="B1211" s="5" t="s">
        <v>30</v>
      </c>
      <c r="C1211" s="5" t="s">
        <v>31</v>
      </c>
      <c r="D1211" s="5" t="s">
        <v>12</v>
      </c>
      <c r="E1211" s="5">
        <v>2014</v>
      </c>
      <c r="F1211" s="5"/>
      <c r="K1211" s="5"/>
      <c r="L1211" s="5"/>
      <c r="M1211" s="5"/>
      <c r="N1211" s="5"/>
      <c r="O1211" s="5"/>
      <c r="P1211" s="5"/>
      <c r="Q1211" s="5"/>
      <c r="R1211" s="5"/>
      <c r="S1211" s="5"/>
      <c r="T1211" s="5"/>
      <c r="U1211" s="5"/>
      <c r="V1211" s="5"/>
      <c r="W1211" s="5"/>
      <c r="X1211" s="5"/>
      <c r="Y1211" s="5"/>
      <c r="Z1211" s="5"/>
      <c r="AA1211" s="5"/>
      <c r="AB1211" s="5"/>
      <c r="AC1211" s="5"/>
      <c r="AD1211" s="5"/>
    </row>
    <row r="1212" spans="1:30" x14ac:dyDescent="0.25">
      <c r="A1212" s="5" t="s">
        <v>21</v>
      </c>
      <c r="B1212" s="5" t="s">
        <v>26</v>
      </c>
      <c r="C1212" s="5" t="s">
        <v>31</v>
      </c>
      <c r="D1212" s="5" t="s">
        <v>15</v>
      </c>
      <c r="E1212" s="5">
        <v>2014</v>
      </c>
      <c r="F1212" s="5"/>
      <c r="K1212" s="5"/>
      <c r="L1212" s="5"/>
      <c r="M1212" s="5"/>
      <c r="N1212" s="5"/>
      <c r="O1212" s="5"/>
      <c r="P1212" s="5"/>
      <c r="Q1212" s="5"/>
      <c r="R1212" s="5"/>
      <c r="S1212" s="5"/>
      <c r="T1212" s="5"/>
      <c r="U1212" s="5"/>
      <c r="V1212" s="5"/>
      <c r="W1212" s="5"/>
      <c r="X1212" s="5"/>
      <c r="Y1212" s="5"/>
      <c r="Z1212" s="5"/>
      <c r="AA1212" s="5"/>
      <c r="AB1212" s="5"/>
      <c r="AC1212" s="5"/>
      <c r="AD1212" s="5"/>
    </row>
    <row r="1213" spans="1:30" x14ac:dyDescent="0.25">
      <c r="A1213" s="5" t="s">
        <v>21</v>
      </c>
      <c r="B1213" s="5" t="s">
        <v>28</v>
      </c>
      <c r="C1213" s="5" t="s">
        <v>31</v>
      </c>
      <c r="D1213" s="5" t="s">
        <v>15</v>
      </c>
      <c r="E1213" s="5">
        <v>2014</v>
      </c>
      <c r="F1213" s="5"/>
      <c r="K1213" s="5"/>
      <c r="L1213" s="5"/>
      <c r="M1213" s="5"/>
      <c r="N1213" s="5"/>
      <c r="O1213" s="5"/>
      <c r="P1213" s="5"/>
      <c r="Q1213" s="5"/>
      <c r="R1213" s="5"/>
      <c r="S1213" s="5"/>
      <c r="T1213" s="5"/>
      <c r="U1213" s="5"/>
      <c r="V1213" s="5"/>
      <c r="W1213" s="5"/>
      <c r="X1213" s="5"/>
      <c r="Y1213" s="5"/>
      <c r="Z1213" s="5"/>
      <c r="AA1213" s="5"/>
      <c r="AB1213" s="5"/>
      <c r="AC1213" s="5"/>
      <c r="AD1213" s="5"/>
    </row>
    <row r="1214" spans="1:30" x14ac:dyDescent="0.25">
      <c r="A1214" s="5" t="s">
        <v>21</v>
      </c>
      <c r="B1214" s="5" t="s">
        <v>29</v>
      </c>
      <c r="C1214" s="5" t="s">
        <v>31</v>
      </c>
      <c r="D1214" s="5" t="s">
        <v>15</v>
      </c>
      <c r="E1214" s="5">
        <v>2014</v>
      </c>
      <c r="F1214" s="5"/>
      <c r="K1214" s="5"/>
      <c r="L1214" s="5"/>
      <c r="M1214" s="5"/>
      <c r="N1214" s="5"/>
      <c r="O1214" s="5"/>
      <c r="P1214" s="5"/>
      <c r="Q1214" s="5"/>
      <c r="R1214" s="5"/>
      <c r="S1214" s="5"/>
      <c r="T1214" s="5"/>
      <c r="U1214" s="5"/>
      <c r="V1214" s="5"/>
      <c r="W1214" s="5"/>
      <c r="X1214" s="5"/>
      <c r="Y1214" s="5"/>
      <c r="Z1214" s="5"/>
      <c r="AA1214" s="5"/>
      <c r="AB1214" s="5"/>
      <c r="AC1214" s="5"/>
      <c r="AD1214" s="5"/>
    </row>
    <row r="1215" spans="1:30" x14ac:dyDescent="0.25">
      <c r="A1215" s="5" t="s">
        <v>21</v>
      </c>
      <c r="B1215" s="5" t="s">
        <v>30</v>
      </c>
      <c r="C1215" s="5" t="s">
        <v>31</v>
      </c>
      <c r="D1215" s="5" t="s">
        <v>15</v>
      </c>
      <c r="E1215" s="5">
        <v>2014</v>
      </c>
      <c r="F1215" s="5"/>
      <c r="K1215" s="5"/>
      <c r="L1215" s="5"/>
      <c r="M1215" s="5"/>
      <c r="N1215" s="5"/>
      <c r="O1215" s="5"/>
      <c r="P1215" s="5"/>
      <c r="Q1215" s="5"/>
      <c r="R1215" s="5"/>
      <c r="S1215" s="5"/>
      <c r="T1215" s="5"/>
      <c r="U1215" s="5"/>
      <c r="V1215" s="5"/>
      <c r="W1215" s="5"/>
      <c r="X1215" s="5"/>
      <c r="Y1215" s="5"/>
      <c r="Z1215" s="5"/>
      <c r="AA1215" s="5"/>
      <c r="AB1215" s="5"/>
      <c r="AC1215" s="5"/>
      <c r="AD1215" s="5"/>
    </row>
    <row r="1216" spans="1:30" x14ac:dyDescent="0.25">
      <c r="A1216" s="4" t="s">
        <v>10</v>
      </c>
      <c r="B1216" s="4" t="s">
        <v>26</v>
      </c>
      <c r="C1216" s="4" t="s">
        <v>31</v>
      </c>
      <c r="D1216" s="4" t="s">
        <v>15</v>
      </c>
      <c r="E1216" s="4">
        <v>2014</v>
      </c>
      <c r="F1216" s="4"/>
      <c r="K1216" s="4"/>
      <c r="L1216" s="4"/>
      <c r="M1216" s="4"/>
      <c r="N1216" s="4"/>
      <c r="O1216" s="4"/>
      <c r="P1216" s="4"/>
      <c r="Q1216" s="4"/>
      <c r="R1216" s="4"/>
      <c r="S1216" s="4"/>
      <c r="T1216" s="4"/>
      <c r="U1216" s="4"/>
      <c r="V1216" s="4"/>
      <c r="W1216" s="4"/>
      <c r="X1216" s="4"/>
      <c r="Y1216" s="4"/>
      <c r="Z1216" s="4"/>
      <c r="AA1216" s="4"/>
      <c r="AB1216" s="4"/>
      <c r="AC1216" s="4"/>
      <c r="AD1216" s="4"/>
    </row>
    <row r="1217" spans="1:30" x14ac:dyDescent="0.25">
      <c r="A1217" s="4" t="s">
        <v>10</v>
      </c>
      <c r="B1217" s="4" t="s">
        <v>28</v>
      </c>
      <c r="C1217" s="4" t="s">
        <v>31</v>
      </c>
      <c r="D1217" s="4" t="s">
        <v>15</v>
      </c>
      <c r="E1217" s="4">
        <v>2014</v>
      </c>
      <c r="F1217" s="4"/>
      <c r="K1217" s="4"/>
      <c r="L1217" s="4"/>
      <c r="M1217" s="4"/>
      <c r="N1217" s="4"/>
      <c r="O1217" s="4"/>
      <c r="P1217" s="4"/>
      <c r="Q1217" s="4"/>
      <c r="R1217" s="4"/>
      <c r="S1217" s="4"/>
      <c r="T1217" s="4"/>
      <c r="U1217" s="4"/>
      <c r="V1217" s="4"/>
      <c r="W1217" s="4"/>
      <c r="X1217" s="4"/>
      <c r="Y1217" s="4"/>
      <c r="Z1217" s="4"/>
      <c r="AA1217" s="4"/>
      <c r="AB1217" s="4"/>
      <c r="AC1217" s="4"/>
      <c r="AD1217" s="4"/>
    </row>
    <row r="1218" spans="1:30" x14ac:dyDescent="0.25">
      <c r="A1218" s="4" t="s">
        <v>10</v>
      </c>
      <c r="B1218" s="4" t="s">
        <v>29</v>
      </c>
      <c r="C1218" s="4" t="s">
        <v>31</v>
      </c>
      <c r="D1218" s="4" t="s">
        <v>15</v>
      </c>
      <c r="E1218" s="4">
        <v>2014</v>
      </c>
      <c r="F1218" s="4"/>
      <c r="K1218" s="4"/>
      <c r="L1218" s="4"/>
      <c r="M1218" s="4"/>
      <c r="N1218" s="4"/>
      <c r="O1218" s="4"/>
      <c r="P1218" s="4"/>
      <c r="Q1218" s="4"/>
      <c r="R1218" s="4"/>
      <c r="S1218" s="4"/>
      <c r="T1218" s="4"/>
      <c r="U1218" s="4"/>
      <c r="V1218" s="4"/>
      <c r="W1218" s="4"/>
      <c r="X1218" s="4"/>
      <c r="Y1218" s="4"/>
      <c r="Z1218" s="4"/>
      <c r="AA1218" s="4"/>
      <c r="AB1218" s="4"/>
      <c r="AC1218" s="4"/>
      <c r="AD1218" s="4"/>
    </row>
    <row r="1219" spans="1:30" x14ac:dyDescent="0.25">
      <c r="A1219" s="4" t="s">
        <v>10</v>
      </c>
      <c r="B1219" s="4" t="s">
        <v>30</v>
      </c>
      <c r="C1219" s="4" t="s">
        <v>31</v>
      </c>
      <c r="D1219" s="4" t="s">
        <v>15</v>
      </c>
      <c r="E1219" s="4">
        <v>2014</v>
      </c>
      <c r="F1219" s="4"/>
      <c r="K1219" s="4"/>
      <c r="L1219" s="4"/>
      <c r="M1219" s="4"/>
      <c r="N1219" s="4"/>
      <c r="O1219" s="4"/>
      <c r="P1219" s="4"/>
      <c r="Q1219" s="4"/>
      <c r="R1219" s="4"/>
      <c r="S1219" s="4"/>
      <c r="T1219" s="4"/>
      <c r="U1219" s="4"/>
      <c r="V1219" s="4"/>
      <c r="W1219" s="4"/>
      <c r="X1219" s="4"/>
      <c r="Y1219" s="4"/>
      <c r="Z1219" s="4"/>
      <c r="AA1219" s="4"/>
      <c r="AB1219" s="4"/>
      <c r="AC1219" s="4"/>
      <c r="AD1219" s="4"/>
    </row>
    <row r="1220" spans="1:30" x14ac:dyDescent="0.25">
      <c r="A1220" s="5" t="s">
        <v>22</v>
      </c>
      <c r="B1220" s="5" t="s">
        <v>26</v>
      </c>
      <c r="C1220" s="5" t="s">
        <v>31</v>
      </c>
      <c r="D1220" s="5" t="s">
        <v>15</v>
      </c>
      <c r="E1220" s="5">
        <v>2014</v>
      </c>
      <c r="F1220" s="5"/>
      <c r="K1220" s="5"/>
      <c r="L1220" s="5"/>
      <c r="M1220" s="5"/>
      <c r="N1220" s="5"/>
      <c r="O1220" s="5"/>
      <c r="P1220" s="5"/>
      <c r="Q1220" s="5"/>
      <c r="R1220" s="5"/>
      <c r="S1220" s="5"/>
      <c r="T1220" s="5"/>
      <c r="U1220" s="5"/>
      <c r="V1220" s="5"/>
      <c r="W1220" s="5"/>
      <c r="X1220" s="5"/>
      <c r="Y1220" s="5"/>
      <c r="Z1220" s="5"/>
      <c r="AA1220" s="5"/>
      <c r="AB1220" s="5"/>
      <c r="AC1220" s="5"/>
      <c r="AD1220" s="5"/>
    </row>
    <row r="1221" spans="1:30" x14ac:dyDescent="0.25">
      <c r="A1221" s="5" t="s">
        <v>22</v>
      </c>
      <c r="B1221" s="5" t="s">
        <v>28</v>
      </c>
      <c r="C1221" s="5" t="s">
        <v>31</v>
      </c>
      <c r="D1221" s="5" t="s">
        <v>15</v>
      </c>
      <c r="E1221" s="5">
        <v>2014</v>
      </c>
      <c r="F1221" s="5"/>
      <c r="K1221" s="5"/>
      <c r="L1221" s="5"/>
      <c r="M1221" s="5"/>
      <c r="N1221" s="5"/>
      <c r="O1221" s="5"/>
      <c r="P1221" s="5"/>
      <c r="Q1221" s="5"/>
      <c r="R1221" s="5"/>
      <c r="S1221" s="5"/>
      <c r="T1221" s="5"/>
      <c r="U1221" s="5"/>
      <c r="V1221" s="5"/>
      <c r="W1221" s="5"/>
      <c r="X1221" s="5"/>
      <c r="Y1221" s="5"/>
      <c r="Z1221" s="5"/>
      <c r="AA1221" s="5"/>
      <c r="AB1221" s="5"/>
      <c r="AC1221" s="5"/>
      <c r="AD1221" s="5"/>
    </row>
    <row r="1222" spans="1:30" x14ac:dyDescent="0.25">
      <c r="A1222" s="5" t="s">
        <v>22</v>
      </c>
      <c r="B1222" s="5" t="s">
        <v>29</v>
      </c>
      <c r="C1222" s="5" t="s">
        <v>31</v>
      </c>
      <c r="D1222" s="5" t="s">
        <v>15</v>
      </c>
      <c r="E1222" s="5">
        <v>2014</v>
      </c>
      <c r="F1222" s="5"/>
      <c r="K1222" s="5"/>
      <c r="L1222" s="5"/>
      <c r="M1222" s="5"/>
      <c r="N1222" s="5"/>
      <c r="O1222" s="5"/>
      <c r="P1222" s="5"/>
      <c r="Q1222" s="5"/>
      <c r="R1222" s="5"/>
      <c r="S1222" s="5"/>
      <c r="T1222" s="5"/>
      <c r="U1222" s="5"/>
      <c r="V1222" s="5"/>
      <c r="W1222" s="5"/>
      <c r="X1222" s="5"/>
      <c r="Y1222" s="5"/>
      <c r="Z1222" s="5"/>
      <c r="AA1222" s="5"/>
      <c r="AB1222" s="5"/>
      <c r="AC1222" s="5"/>
      <c r="AD1222" s="5"/>
    </row>
    <row r="1223" spans="1:30" x14ac:dyDescent="0.25">
      <c r="A1223" s="5" t="s">
        <v>22</v>
      </c>
      <c r="B1223" s="5" t="s">
        <v>30</v>
      </c>
      <c r="C1223" s="5" t="s">
        <v>31</v>
      </c>
      <c r="D1223" s="5" t="s">
        <v>15</v>
      </c>
      <c r="E1223" s="5">
        <v>2014</v>
      </c>
      <c r="F1223" s="5"/>
      <c r="K1223" s="5"/>
      <c r="L1223" s="5"/>
      <c r="M1223" s="5"/>
      <c r="N1223" s="5"/>
      <c r="O1223" s="5"/>
      <c r="P1223" s="5"/>
      <c r="Q1223" s="5"/>
      <c r="R1223" s="5"/>
      <c r="S1223" s="5"/>
      <c r="T1223" s="5"/>
      <c r="U1223" s="5"/>
      <c r="V1223" s="5"/>
      <c r="W1223" s="5"/>
      <c r="X1223" s="5"/>
      <c r="Y1223" s="5"/>
      <c r="Z1223" s="5"/>
      <c r="AA1223" s="5"/>
      <c r="AB1223" s="5"/>
      <c r="AC1223" s="5"/>
      <c r="AD1223" s="5"/>
    </row>
    <row r="1224" spans="1:30" x14ac:dyDescent="0.25">
      <c r="A1224" s="4" t="s">
        <v>21</v>
      </c>
      <c r="B1224" s="4" t="s">
        <v>24</v>
      </c>
      <c r="C1224" s="4" t="s">
        <v>19</v>
      </c>
      <c r="D1224" s="4" t="s">
        <v>12</v>
      </c>
      <c r="E1224" s="4">
        <v>2015</v>
      </c>
      <c r="F1224" s="4"/>
      <c r="K1224" s="4"/>
      <c r="L1224" s="4"/>
      <c r="M1224" s="4"/>
      <c r="N1224" s="4"/>
      <c r="O1224" s="4"/>
      <c r="P1224" s="4"/>
      <c r="Q1224" s="4"/>
      <c r="R1224" s="4"/>
      <c r="S1224" s="4"/>
      <c r="T1224" s="4"/>
      <c r="U1224" s="4"/>
      <c r="V1224" s="4"/>
      <c r="W1224" s="4"/>
      <c r="X1224" s="4"/>
      <c r="Y1224" s="4"/>
      <c r="Z1224" s="4"/>
      <c r="AA1224" s="4"/>
      <c r="AB1224" s="4"/>
      <c r="AC1224" s="4"/>
      <c r="AD1224" s="4"/>
    </row>
    <row r="1225" spans="1:30" x14ac:dyDescent="0.25">
      <c r="A1225" s="4" t="s">
        <v>21</v>
      </c>
      <c r="B1225" s="4" t="s">
        <v>26</v>
      </c>
      <c r="C1225" s="4" t="s">
        <v>19</v>
      </c>
      <c r="D1225" s="4" t="s">
        <v>12</v>
      </c>
      <c r="E1225" s="4">
        <v>2015</v>
      </c>
      <c r="F1225" s="4"/>
      <c r="K1225" s="4"/>
      <c r="L1225" s="4"/>
      <c r="M1225" s="4"/>
      <c r="N1225" s="4"/>
      <c r="O1225" s="4"/>
      <c r="P1225" s="4"/>
      <c r="Q1225" s="4"/>
      <c r="R1225" s="4"/>
      <c r="S1225" s="4"/>
      <c r="T1225" s="4"/>
      <c r="U1225" s="4"/>
      <c r="V1225" s="4"/>
      <c r="W1225" s="4"/>
      <c r="X1225" s="4"/>
      <c r="Y1225" s="4"/>
      <c r="Z1225" s="4"/>
      <c r="AA1225" s="4"/>
      <c r="AB1225" s="4"/>
      <c r="AC1225" s="4"/>
      <c r="AD1225" s="4"/>
    </row>
    <row r="1226" spans="1:30" x14ac:dyDescent="0.25">
      <c r="A1226" s="4" t="s">
        <v>21</v>
      </c>
      <c r="B1226" s="4" t="s">
        <v>27</v>
      </c>
      <c r="C1226" s="4" t="s">
        <v>19</v>
      </c>
      <c r="D1226" s="4" t="s">
        <v>12</v>
      </c>
      <c r="E1226" s="4">
        <v>2015</v>
      </c>
      <c r="F1226" s="4"/>
      <c r="K1226" s="4"/>
      <c r="L1226" s="4"/>
      <c r="M1226" s="4"/>
      <c r="N1226" s="4"/>
      <c r="O1226" s="4"/>
      <c r="P1226" s="4"/>
      <c r="Q1226" s="4"/>
      <c r="R1226" s="4"/>
      <c r="S1226" s="4"/>
      <c r="T1226" s="4"/>
      <c r="U1226" s="4"/>
      <c r="V1226" s="4"/>
      <c r="W1226" s="4"/>
      <c r="X1226" s="4"/>
      <c r="Y1226" s="4"/>
      <c r="Z1226" s="4"/>
      <c r="AA1226" s="4"/>
      <c r="AB1226" s="4"/>
      <c r="AC1226" s="4"/>
      <c r="AD1226" s="4"/>
    </row>
    <row r="1227" spans="1:30" x14ac:dyDescent="0.25">
      <c r="A1227" s="4" t="s">
        <v>21</v>
      </c>
      <c r="B1227" s="4" t="s">
        <v>28</v>
      </c>
      <c r="C1227" s="4" t="s">
        <v>19</v>
      </c>
      <c r="D1227" s="4" t="s">
        <v>12</v>
      </c>
      <c r="E1227" s="4">
        <v>2015</v>
      </c>
      <c r="F1227" s="4"/>
      <c r="K1227" s="4"/>
      <c r="L1227" s="4"/>
      <c r="M1227" s="4"/>
      <c r="N1227" s="4"/>
      <c r="O1227" s="4"/>
      <c r="P1227" s="4"/>
      <c r="Q1227" s="4"/>
      <c r="R1227" s="4"/>
      <c r="S1227" s="4"/>
      <c r="T1227" s="4"/>
      <c r="U1227" s="4"/>
      <c r="V1227" s="4"/>
      <c r="W1227" s="4"/>
      <c r="X1227" s="4"/>
      <c r="Y1227" s="4"/>
      <c r="Z1227" s="4"/>
      <c r="AA1227" s="4"/>
      <c r="AB1227" s="4"/>
      <c r="AC1227" s="4"/>
      <c r="AD1227" s="4"/>
    </row>
    <row r="1228" spans="1:30" x14ac:dyDescent="0.25">
      <c r="A1228" s="4" t="s">
        <v>21</v>
      </c>
      <c r="B1228" s="4" t="s">
        <v>29</v>
      </c>
      <c r="C1228" s="4" t="s">
        <v>19</v>
      </c>
      <c r="D1228" s="4" t="s">
        <v>12</v>
      </c>
      <c r="E1228" s="4">
        <v>2015</v>
      </c>
      <c r="F1228" s="4"/>
      <c r="K1228" s="4"/>
      <c r="L1228" s="4"/>
      <c r="M1228" s="4"/>
      <c r="N1228" s="4"/>
      <c r="O1228" s="4"/>
      <c r="P1228" s="4"/>
      <c r="Q1228" s="4"/>
      <c r="R1228" s="4"/>
      <c r="S1228" s="4"/>
      <c r="T1228" s="4"/>
      <c r="U1228" s="4"/>
      <c r="V1228" s="4"/>
      <c r="W1228" s="4"/>
      <c r="X1228" s="4"/>
      <c r="Y1228" s="4"/>
      <c r="Z1228" s="4"/>
      <c r="AA1228" s="4"/>
      <c r="AB1228" s="4"/>
      <c r="AC1228" s="4"/>
      <c r="AD1228" s="4"/>
    </row>
    <row r="1229" spans="1:30" x14ac:dyDescent="0.25">
      <c r="A1229" s="4" t="s">
        <v>21</v>
      </c>
      <c r="B1229" s="4" t="s">
        <v>30</v>
      </c>
      <c r="C1229" s="4" t="s">
        <v>19</v>
      </c>
      <c r="D1229" s="4" t="s">
        <v>12</v>
      </c>
      <c r="E1229" s="4">
        <v>2015</v>
      </c>
      <c r="F1229" s="4"/>
      <c r="K1229" s="4"/>
      <c r="L1229" s="4"/>
      <c r="M1229" s="4"/>
      <c r="N1229" s="4"/>
      <c r="O1229" s="4"/>
      <c r="P1229" s="4"/>
      <c r="Q1229" s="4"/>
      <c r="R1229" s="4"/>
      <c r="S1229" s="4"/>
      <c r="T1229" s="4"/>
      <c r="U1229" s="4"/>
      <c r="V1229" s="4"/>
      <c r="W1229" s="4"/>
      <c r="X1229" s="4"/>
      <c r="Y1229" s="4"/>
      <c r="Z1229" s="4"/>
      <c r="AA1229" s="4"/>
      <c r="AB1229" s="4"/>
      <c r="AC1229" s="4"/>
      <c r="AD1229" s="4"/>
    </row>
    <row r="1230" spans="1:30" x14ac:dyDescent="0.25">
      <c r="A1230" s="5" t="s">
        <v>10</v>
      </c>
      <c r="B1230" s="5" t="s">
        <v>24</v>
      </c>
      <c r="C1230" s="5" t="s">
        <v>19</v>
      </c>
      <c r="D1230" s="5" t="s">
        <v>12</v>
      </c>
      <c r="E1230" s="5">
        <v>2015</v>
      </c>
      <c r="F1230" s="5"/>
      <c r="K1230" s="5"/>
      <c r="L1230" s="5"/>
      <c r="M1230" s="5"/>
      <c r="N1230" s="5"/>
      <c r="O1230" s="5"/>
      <c r="P1230" s="5"/>
      <c r="Q1230" s="5"/>
      <c r="R1230" s="5"/>
      <c r="S1230" s="5"/>
      <c r="T1230" s="5"/>
      <c r="U1230" s="5"/>
      <c r="V1230" s="5"/>
      <c r="W1230" s="5"/>
      <c r="X1230" s="5"/>
      <c r="Y1230" s="5"/>
      <c r="Z1230" s="5"/>
      <c r="AA1230" s="5"/>
      <c r="AB1230" s="5"/>
      <c r="AC1230" s="5"/>
      <c r="AD1230" s="5"/>
    </row>
    <row r="1231" spans="1:30" x14ac:dyDescent="0.25">
      <c r="A1231" s="5" t="s">
        <v>10</v>
      </c>
      <c r="B1231" s="5" t="s">
        <v>26</v>
      </c>
      <c r="C1231" s="5" t="s">
        <v>19</v>
      </c>
      <c r="D1231" s="5" t="s">
        <v>12</v>
      </c>
      <c r="E1231" s="5">
        <v>2015</v>
      </c>
      <c r="F1231" s="5"/>
      <c r="K1231" s="5"/>
      <c r="L1231" s="5"/>
      <c r="M1231" s="5"/>
      <c r="N1231" s="5"/>
      <c r="O1231" s="5"/>
      <c r="P1231" s="5"/>
      <c r="Q1231" s="5"/>
      <c r="R1231" s="5"/>
      <c r="S1231" s="5"/>
      <c r="T1231" s="5"/>
      <c r="U1231" s="5"/>
      <c r="V1231" s="5"/>
      <c r="W1231" s="5"/>
      <c r="X1231" s="5"/>
      <c r="Y1231" s="5"/>
      <c r="Z1231" s="5"/>
      <c r="AA1231" s="5"/>
      <c r="AB1231" s="5"/>
      <c r="AC1231" s="5"/>
      <c r="AD1231" s="5"/>
    </row>
    <row r="1232" spans="1:30" x14ac:dyDescent="0.25">
      <c r="A1232" s="5" t="s">
        <v>10</v>
      </c>
      <c r="B1232" s="5" t="s">
        <v>27</v>
      </c>
      <c r="C1232" s="5" t="s">
        <v>19</v>
      </c>
      <c r="D1232" s="5" t="s">
        <v>12</v>
      </c>
      <c r="E1232" s="5">
        <v>2015</v>
      </c>
      <c r="F1232" s="5"/>
      <c r="K1232" s="5"/>
      <c r="L1232" s="5"/>
      <c r="M1232" s="5"/>
      <c r="N1232" s="5"/>
      <c r="O1232" s="5"/>
      <c r="P1232" s="5"/>
      <c r="Q1232" s="5"/>
      <c r="R1232" s="5"/>
      <c r="S1232" s="5"/>
      <c r="T1232" s="5"/>
      <c r="U1232" s="5"/>
      <c r="V1232" s="5"/>
      <c r="W1232" s="5"/>
      <c r="X1232" s="5"/>
      <c r="Y1232" s="5"/>
      <c r="Z1232" s="5"/>
      <c r="AA1232" s="5"/>
      <c r="AB1232" s="5"/>
      <c r="AC1232" s="5"/>
      <c r="AD1232" s="5"/>
    </row>
    <row r="1233" spans="1:30" x14ac:dyDescent="0.25">
      <c r="A1233" s="5" t="s">
        <v>10</v>
      </c>
      <c r="B1233" s="5" t="s">
        <v>28</v>
      </c>
      <c r="C1233" s="5" t="s">
        <v>19</v>
      </c>
      <c r="D1233" s="5" t="s">
        <v>12</v>
      </c>
      <c r="E1233" s="5">
        <v>2015</v>
      </c>
      <c r="F1233" s="5"/>
      <c r="K1233" s="5"/>
      <c r="L1233" s="5"/>
      <c r="M1233" s="5"/>
      <c r="N1233" s="5"/>
      <c r="O1233" s="5"/>
      <c r="P1233" s="5"/>
      <c r="Q1233" s="5"/>
      <c r="R1233" s="5"/>
      <c r="S1233" s="5"/>
      <c r="T1233" s="5"/>
      <c r="U1233" s="5"/>
      <c r="V1233" s="5"/>
      <c r="W1233" s="5"/>
      <c r="X1233" s="5"/>
      <c r="Y1233" s="5"/>
      <c r="Z1233" s="5"/>
      <c r="AA1233" s="5"/>
      <c r="AB1233" s="5"/>
      <c r="AC1233" s="5"/>
      <c r="AD1233" s="5"/>
    </row>
    <row r="1234" spans="1:30" x14ac:dyDescent="0.25">
      <c r="A1234" s="5" t="s">
        <v>10</v>
      </c>
      <c r="B1234" s="5" t="s">
        <v>29</v>
      </c>
      <c r="C1234" s="5" t="s">
        <v>19</v>
      </c>
      <c r="D1234" s="5" t="s">
        <v>12</v>
      </c>
      <c r="E1234" s="5">
        <v>2015</v>
      </c>
      <c r="F1234" s="5"/>
      <c r="K1234" s="5"/>
      <c r="L1234" s="5"/>
      <c r="M1234" s="5"/>
      <c r="N1234" s="5"/>
      <c r="O1234" s="5"/>
      <c r="P1234" s="5"/>
      <c r="Q1234" s="5"/>
      <c r="R1234" s="5"/>
      <c r="S1234" s="5"/>
      <c r="T1234" s="5"/>
      <c r="U1234" s="5"/>
      <c r="V1234" s="5"/>
      <c r="W1234" s="5"/>
      <c r="X1234" s="5"/>
      <c r="Y1234" s="5"/>
      <c r="Z1234" s="5"/>
      <c r="AA1234" s="5"/>
      <c r="AB1234" s="5"/>
      <c r="AC1234" s="5"/>
      <c r="AD1234" s="5"/>
    </row>
    <row r="1235" spans="1:30" x14ac:dyDescent="0.25">
      <c r="A1235" s="5" t="s">
        <v>10</v>
      </c>
      <c r="B1235" s="5" t="s">
        <v>30</v>
      </c>
      <c r="C1235" s="5" t="s">
        <v>19</v>
      </c>
      <c r="D1235" s="5" t="s">
        <v>12</v>
      </c>
      <c r="E1235" s="5">
        <v>2015</v>
      </c>
      <c r="F1235" s="5"/>
      <c r="K1235" s="5"/>
      <c r="L1235" s="5"/>
      <c r="M1235" s="5"/>
      <c r="N1235" s="5"/>
      <c r="O1235" s="5"/>
      <c r="P1235" s="5"/>
      <c r="Q1235" s="5"/>
      <c r="R1235" s="5"/>
      <c r="S1235" s="5"/>
      <c r="T1235" s="5"/>
      <c r="U1235" s="5"/>
      <c r="V1235" s="5"/>
      <c r="W1235" s="5"/>
      <c r="X1235" s="5"/>
      <c r="Y1235" s="5"/>
      <c r="Z1235" s="5"/>
      <c r="AA1235" s="5"/>
      <c r="AB1235" s="5"/>
      <c r="AC1235" s="5"/>
      <c r="AD1235" s="5"/>
    </row>
    <row r="1236" spans="1:30" x14ac:dyDescent="0.25">
      <c r="A1236" t="s">
        <v>22</v>
      </c>
      <c r="B1236" t="s">
        <v>24</v>
      </c>
      <c r="C1236" t="s">
        <v>19</v>
      </c>
      <c r="D1236" t="s">
        <v>12</v>
      </c>
      <c r="E1236">
        <v>2015</v>
      </c>
    </row>
    <row r="1237" spans="1:30" x14ac:dyDescent="0.25">
      <c r="A1237" t="s">
        <v>22</v>
      </c>
      <c r="B1237" t="s">
        <v>26</v>
      </c>
      <c r="C1237" t="s">
        <v>19</v>
      </c>
      <c r="D1237" t="s">
        <v>12</v>
      </c>
      <c r="E1237">
        <v>2015</v>
      </c>
    </row>
    <row r="1238" spans="1:30" x14ac:dyDescent="0.25">
      <c r="A1238" t="s">
        <v>22</v>
      </c>
      <c r="B1238" t="s">
        <v>27</v>
      </c>
      <c r="C1238" t="s">
        <v>19</v>
      </c>
      <c r="D1238" t="s">
        <v>12</v>
      </c>
      <c r="E1238">
        <v>2015</v>
      </c>
    </row>
    <row r="1239" spans="1:30" x14ac:dyDescent="0.25">
      <c r="A1239" t="s">
        <v>22</v>
      </c>
      <c r="B1239" t="s">
        <v>28</v>
      </c>
      <c r="C1239" t="s">
        <v>19</v>
      </c>
      <c r="D1239" t="s">
        <v>12</v>
      </c>
      <c r="E1239">
        <v>2015</v>
      </c>
    </row>
    <row r="1240" spans="1:30" x14ac:dyDescent="0.25">
      <c r="A1240" t="s">
        <v>22</v>
      </c>
      <c r="B1240" t="s">
        <v>29</v>
      </c>
      <c r="C1240" t="s">
        <v>19</v>
      </c>
      <c r="D1240" t="s">
        <v>12</v>
      </c>
      <c r="E1240">
        <v>2015</v>
      </c>
    </row>
    <row r="1241" spans="1:30" x14ac:dyDescent="0.25">
      <c r="A1241" t="s">
        <v>22</v>
      </c>
      <c r="B1241" t="s">
        <v>30</v>
      </c>
      <c r="C1241" t="s">
        <v>19</v>
      </c>
      <c r="D1241" t="s">
        <v>12</v>
      </c>
      <c r="E1241">
        <v>2015</v>
      </c>
    </row>
    <row r="1242" spans="1:30" x14ac:dyDescent="0.25">
      <c r="A1242" t="s">
        <v>21</v>
      </c>
      <c r="B1242" t="s">
        <v>26</v>
      </c>
      <c r="C1242" t="s">
        <v>19</v>
      </c>
      <c r="D1242" t="s">
        <v>15</v>
      </c>
      <c r="E1242">
        <v>2015</v>
      </c>
    </row>
    <row r="1243" spans="1:30" x14ac:dyDescent="0.25">
      <c r="A1243" t="s">
        <v>21</v>
      </c>
      <c r="B1243" t="s">
        <v>28</v>
      </c>
      <c r="C1243" t="s">
        <v>19</v>
      </c>
      <c r="D1243" t="s">
        <v>15</v>
      </c>
      <c r="E1243">
        <v>2015</v>
      </c>
    </row>
    <row r="1244" spans="1:30" x14ac:dyDescent="0.25">
      <c r="A1244" t="s">
        <v>21</v>
      </c>
      <c r="B1244" t="s">
        <v>29</v>
      </c>
      <c r="C1244" t="s">
        <v>19</v>
      </c>
      <c r="D1244" t="s">
        <v>15</v>
      </c>
      <c r="E1244">
        <v>2015</v>
      </c>
    </row>
    <row r="1245" spans="1:30" x14ac:dyDescent="0.25">
      <c r="A1245" t="s">
        <v>21</v>
      </c>
      <c r="B1245" t="s">
        <v>30</v>
      </c>
      <c r="C1245" t="s">
        <v>19</v>
      </c>
      <c r="D1245" t="s">
        <v>15</v>
      </c>
      <c r="E1245">
        <v>2015</v>
      </c>
    </row>
    <row r="1246" spans="1:30" x14ac:dyDescent="0.25">
      <c r="A1246" s="5" t="s">
        <v>10</v>
      </c>
      <c r="B1246" s="5" t="s">
        <v>26</v>
      </c>
      <c r="C1246" s="5" t="s">
        <v>19</v>
      </c>
      <c r="D1246" s="5" t="s">
        <v>15</v>
      </c>
      <c r="E1246" s="5">
        <v>2015</v>
      </c>
      <c r="F1246" s="5"/>
      <c r="K1246" s="5"/>
      <c r="L1246" s="5"/>
      <c r="M1246" s="5"/>
      <c r="N1246" s="5"/>
      <c r="O1246" s="5"/>
      <c r="P1246" s="5"/>
      <c r="Q1246" s="5"/>
      <c r="R1246" s="5"/>
      <c r="S1246" s="5"/>
      <c r="T1246" s="5"/>
      <c r="U1246" s="5"/>
      <c r="V1246" s="5"/>
      <c r="W1246" s="5"/>
      <c r="X1246" s="5"/>
      <c r="Y1246" s="5"/>
      <c r="Z1246" s="5"/>
      <c r="AA1246" s="5"/>
      <c r="AB1246" s="5"/>
      <c r="AC1246" s="5"/>
      <c r="AD1246" s="5"/>
    </row>
    <row r="1247" spans="1:30" x14ac:dyDescent="0.25">
      <c r="A1247" s="5" t="s">
        <v>10</v>
      </c>
      <c r="B1247" s="5" t="s">
        <v>28</v>
      </c>
      <c r="C1247" s="5" t="s">
        <v>19</v>
      </c>
      <c r="D1247" s="5" t="s">
        <v>15</v>
      </c>
      <c r="E1247" s="5">
        <v>2015</v>
      </c>
      <c r="F1247" s="5"/>
      <c r="K1247" s="5"/>
      <c r="L1247" s="5"/>
      <c r="M1247" s="5"/>
      <c r="N1247" s="5"/>
      <c r="O1247" s="5"/>
      <c r="P1247" s="5"/>
      <c r="Q1247" s="5"/>
      <c r="R1247" s="5"/>
      <c r="S1247" s="5"/>
      <c r="T1247" s="5"/>
      <c r="U1247" s="5"/>
      <c r="V1247" s="5"/>
      <c r="W1247" s="5"/>
      <c r="X1247" s="5"/>
      <c r="Y1247" s="5"/>
      <c r="Z1247" s="5"/>
      <c r="AA1247" s="5"/>
      <c r="AB1247" s="5"/>
      <c r="AC1247" s="5"/>
      <c r="AD1247" s="5"/>
    </row>
    <row r="1248" spans="1:30" x14ac:dyDescent="0.25">
      <c r="A1248" s="5" t="s">
        <v>10</v>
      </c>
      <c r="B1248" s="5" t="s">
        <v>29</v>
      </c>
      <c r="C1248" s="5" t="s">
        <v>19</v>
      </c>
      <c r="D1248" s="5" t="s">
        <v>15</v>
      </c>
      <c r="E1248" s="5">
        <v>2015</v>
      </c>
      <c r="F1248" s="5"/>
      <c r="K1248" s="5"/>
      <c r="L1248" s="5"/>
      <c r="M1248" s="5"/>
      <c r="N1248" s="5"/>
      <c r="O1248" s="5"/>
      <c r="P1248" s="5"/>
      <c r="Q1248" s="5"/>
      <c r="R1248" s="5"/>
      <c r="S1248" s="5"/>
      <c r="T1248" s="5"/>
      <c r="U1248" s="5"/>
      <c r="V1248" s="5"/>
      <c r="W1248" s="5"/>
      <c r="X1248" s="5"/>
      <c r="Y1248" s="5"/>
      <c r="Z1248" s="5"/>
      <c r="AA1248" s="5"/>
      <c r="AB1248" s="5"/>
      <c r="AC1248" s="5"/>
      <c r="AD1248" s="5"/>
    </row>
    <row r="1249" spans="1:30" x14ac:dyDescent="0.25">
      <c r="A1249" s="5" t="s">
        <v>10</v>
      </c>
      <c r="B1249" s="5" t="s">
        <v>30</v>
      </c>
      <c r="C1249" s="5" t="s">
        <v>19</v>
      </c>
      <c r="D1249" s="5" t="s">
        <v>15</v>
      </c>
      <c r="E1249" s="5">
        <v>2015</v>
      </c>
      <c r="F1249" s="5"/>
      <c r="K1249" s="5"/>
      <c r="L1249" s="5"/>
      <c r="M1249" s="5"/>
      <c r="N1249" s="5"/>
      <c r="O1249" s="5"/>
      <c r="P1249" s="5"/>
      <c r="Q1249" s="5"/>
      <c r="R1249" s="5"/>
      <c r="S1249" s="5"/>
      <c r="T1249" s="5"/>
      <c r="U1249" s="5"/>
      <c r="V1249" s="5"/>
      <c r="W1249" s="5"/>
      <c r="X1249" s="5"/>
      <c r="Y1249" s="5"/>
      <c r="Z1249" s="5"/>
      <c r="AA1249" s="5"/>
      <c r="AB1249" s="5"/>
      <c r="AC1249" s="5"/>
      <c r="AD1249" s="5"/>
    </row>
    <row r="1250" spans="1:30" x14ac:dyDescent="0.25">
      <c r="A1250" t="s">
        <v>22</v>
      </c>
      <c r="B1250" t="s">
        <v>26</v>
      </c>
      <c r="C1250" t="s">
        <v>19</v>
      </c>
      <c r="D1250" t="s">
        <v>15</v>
      </c>
      <c r="E1250">
        <v>2015</v>
      </c>
    </row>
    <row r="1251" spans="1:30" x14ac:dyDescent="0.25">
      <c r="A1251" t="s">
        <v>22</v>
      </c>
      <c r="B1251" t="s">
        <v>28</v>
      </c>
      <c r="C1251" t="s">
        <v>19</v>
      </c>
      <c r="D1251" t="s">
        <v>15</v>
      </c>
      <c r="E1251">
        <v>2015</v>
      </c>
    </row>
    <row r="1252" spans="1:30" x14ac:dyDescent="0.25">
      <c r="A1252" t="s">
        <v>22</v>
      </c>
      <c r="B1252" t="s">
        <v>29</v>
      </c>
      <c r="C1252" t="s">
        <v>19</v>
      </c>
      <c r="D1252" t="s">
        <v>15</v>
      </c>
      <c r="E1252">
        <v>2015</v>
      </c>
    </row>
    <row r="1253" spans="1:30" x14ac:dyDescent="0.25">
      <c r="A1253" t="s">
        <v>22</v>
      </c>
      <c r="B1253" t="s">
        <v>30</v>
      </c>
      <c r="C1253" t="s">
        <v>19</v>
      </c>
      <c r="D1253" t="s">
        <v>15</v>
      </c>
      <c r="E1253">
        <v>2015</v>
      </c>
    </row>
    <row r="1254" spans="1:30" x14ac:dyDescent="0.25">
      <c r="A1254" t="s">
        <v>21</v>
      </c>
      <c r="B1254" t="s">
        <v>24</v>
      </c>
      <c r="C1254" t="s">
        <v>20</v>
      </c>
      <c r="D1254" t="s">
        <v>12</v>
      </c>
      <c r="E1254">
        <v>2015</v>
      </c>
    </row>
    <row r="1255" spans="1:30" x14ac:dyDescent="0.25">
      <c r="A1255" t="s">
        <v>21</v>
      </c>
      <c r="B1255" t="s">
        <v>26</v>
      </c>
      <c r="C1255" t="s">
        <v>20</v>
      </c>
      <c r="D1255" t="s">
        <v>12</v>
      </c>
      <c r="E1255">
        <v>2015</v>
      </c>
    </row>
    <row r="1256" spans="1:30" x14ac:dyDescent="0.25">
      <c r="A1256" t="s">
        <v>21</v>
      </c>
      <c r="B1256" t="s">
        <v>27</v>
      </c>
      <c r="C1256" t="s">
        <v>20</v>
      </c>
      <c r="D1256" t="s">
        <v>12</v>
      </c>
      <c r="E1256">
        <v>2015</v>
      </c>
    </row>
    <row r="1257" spans="1:30" x14ac:dyDescent="0.25">
      <c r="A1257" t="s">
        <v>21</v>
      </c>
      <c r="B1257" t="s">
        <v>28</v>
      </c>
      <c r="C1257" t="s">
        <v>20</v>
      </c>
      <c r="D1257" t="s">
        <v>12</v>
      </c>
      <c r="E1257">
        <v>2015</v>
      </c>
    </row>
    <row r="1258" spans="1:30" x14ac:dyDescent="0.25">
      <c r="A1258" t="s">
        <v>21</v>
      </c>
      <c r="B1258" t="s">
        <v>29</v>
      </c>
      <c r="C1258" t="s">
        <v>20</v>
      </c>
      <c r="D1258" t="s">
        <v>12</v>
      </c>
      <c r="E1258">
        <v>2015</v>
      </c>
    </row>
    <row r="1259" spans="1:30" x14ac:dyDescent="0.25">
      <c r="A1259" t="s">
        <v>21</v>
      </c>
      <c r="B1259" t="s">
        <v>30</v>
      </c>
      <c r="C1259" t="s">
        <v>20</v>
      </c>
      <c r="D1259" t="s">
        <v>12</v>
      </c>
      <c r="E1259">
        <v>2015</v>
      </c>
    </row>
    <row r="1260" spans="1:30" x14ac:dyDescent="0.25">
      <c r="A1260" s="5" t="s">
        <v>10</v>
      </c>
      <c r="B1260" s="5" t="s">
        <v>24</v>
      </c>
      <c r="C1260" s="5" t="s">
        <v>20</v>
      </c>
      <c r="D1260" s="5" t="s">
        <v>12</v>
      </c>
      <c r="E1260" s="5">
        <v>2015</v>
      </c>
      <c r="F1260" s="5"/>
      <c r="K1260" s="5"/>
      <c r="L1260" s="5"/>
      <c r="M1260" s="5"/>
      <c r="N1260" s="5"/>
      <c r="O1260" s="5"/>
      <c r="P1260" s="5"/>
      <c r="Q1260" s="5"/>
      <c r="R1260" s="5"/>
      <c r="S1260" s="5"/>
      <c r="T1260" s="5"/>
      <c r="U1260" s="5"/>
      <c r="V1260" s="5"/>
      <c r="W1260" s="5"/>
      <c r="X1260" s="5"/>
      <c r="Y1260" s="5"/>
      <c r="Z1260" s="5"/>
      <c r="AA1260" s="5"/>
      <c r="AB1260" s="5"/>
      <c r="AC1260" s="5"/>
      <c r="AD1260" s="5"/>
    </row>
    <row r="1261" spans="1:30" x14ac:dyDescent="0.25">
      <c r="A1261" s="5" t="s">
        <v>10</v>
      </c>
      <c r="B1261" s="5" t="s">
        <v>26</v>
      </c>
      <c r="C1261" s="5" t="s">
        <v>20</v>
      </c>
      <c r="D1261" s="5" t="s">
        <v>12</v>
      </c>
      <c r="E1261" s="5">
        <v>2015</v>
      </c>
      <c r="F1261" s="5"/>
      <c r="K1261" s="5"/>
      <c r="L1261" s="5"/>
      <c r="M1261" s="5"/>
      <c r="N1261" s="5"/>
      <c r="O1261" s="5"/>
      <c r="P1261" s="5"/>
      <c r="Q1261" s="5"/>
      <c r="R1261" s="5"/>
      <c r="S1261" s="5"/>
      <c r="T1261" s="5"/>
      <c r="U1261" s="5"/>
      <c r="V1261" s="5"/>
      <c r="W1261" s="5"/>
      <c r="X1261" s="5"/>
      <c r="Y1261" s="5"/>
      <c r="Z1261" s="5"/>
      <c r="AA1261" s="5"/>
      <c r="AB1261" s="5"/>
      <c r="AC1261" s="5"/>
      <c r="AD1261" s="5"/>
    </row>
    <row r="1262" spans="1:30" x14ac:dyDescent="0.25">
      <c r="A1262" s="5" t="s">
        <v>10</v>
      </c>
      <c r="B1262" s="5" t="s">
        <v>27</v>
      </c>
      <c r="C1262" s="5" t="s">
        <v>20</v>
      </c>
      <c r="D1262" s="5" t="s">
        <v>12</v>
      </c>
      <c r="E1262" s="5">
        <v>2015</v>
      </c>
      <c r="F1262" s="5"/>
      <c r="K1262" s="5"/>
      <c r="L1262" s="5"/>
      <c r="M1262" s="5"/>
      <c r="N1262" s="5"/>
      <c r="O1262" s="5"/>
      <c r="P1262" s="5"/>
      <c r="Q1262" s="5"/>
      <c r="R1262" s="5"/>
      <c r="S1262" s="5"/>
      <c r="T1262" s="5"/>
      <c r="U1262" s="5"/>
      <c r="V1262" s="5"/>
      <c r="W1262" s="5"/>
      <c r="X1262" s="5"/>
      <c r="Y1262" s="5"/>
      <c r="Z1262" s="5"/>
      <c r="AA1262" s="5"/>
      <c r="AB1262" s="5"/>
      <c r="AC1262" s="5"/>
      <c r="AD1262" s="5"/>
    </row>
    <row r="1263" spans="1:30" x14ac:dyDescent="0.25">
      <c r="A1263" s="5" t="s">
        <v>10</v>
      </c>
      <c r="B1263" s="5" t="s">
        <v>28</v>
      </c>
      <c r="C1263" s="5" t="s">
        <v>20</v>
      </c>
      <c r="D1263" s="5" t="s">
        <v>12</v>
      </c>
      <c r="E1263" s="5">
        <v>2015</v>
      </c>
      <c r="F1263" s="5"/>
      <c r="K1263" s="5"/>
      <c r="L1263" s="5"/>
      <c r="M1263" s="5"/>
      <c r="N1263" s="5"/>
      <c r="O1263" s="5"/>
      <c r="P1263" s="5"/>
      <c r="Q1263" s="5"/>
      <c r="R1263" s="5"/>
      <c r="S1263" s="5"/>
      <c r="T1263" s="5"/>
      <c r="U1263" s="5"/>
      <c r="V1263" s="5"/>
      <c r="W1263" s="5"/>
      <c r="X1263" s="5"/>
      <c r="Y1263" s="5"/>
      <c r="Z1263" s="5"/>
      <c r="AA1263" s="5"/>
      <c r="AB1263" s="5"/>
      <c r="AC1263" s="5"/>
      <c r="AD1263" s="5"/>
    </row>
    <row r="1264" spans="1:30" x14ac:dyDescent="0.25">
      <c r="A1264" s="5" t="s">
        <v>10</v>
      </c>
      <c r="B1264" s="5" t="s">
        <v>29</v>
      </c>
      <c r="C1264" s="5" t="s">
        <v>20</v>
      </c>
      <c r="D1264" s="5" t="s">
        <v>12</v>
      </c>
      <c r="E1264" s="5">
        <v>2015</v>
      </c>
      <c r="F1264" s="5"/>
      <c r="K1264" s="5"/>
      <c r="L1264" s="5"/>
      <c r="M1264" s="5"/>
      <c r="N1264" s="5"/>
      <c r="O1264" s="5"/>
      <c r="P1264" s="5"/>
      <c r="Q1264" s="5"/>
      <c r="R1264" s="5"/>
      <c r="S1264" s="5"/>
      <c r="T1264" s="5"/>
      <c r="U1264" s="5"/>
      <c r="V1264" s="5"/>
      <c r="W1264" s="5"/>
      <c r="X1264" s="5"/>
      <c r="Y1264" s="5"/>
      <c r="Z1264" s="5"/>
      <c r="AA1264" s="5"/>
      <c r="AB1264" s="5"/>
      <c r="AC1264" s="5"/>
      <c r="AD1264" s="5"/>
    </row>
    <row r="1265" spans="1:30" x14ac:dyDescent="0.25">
      <c r="A1265" s="5" t="s">
        <v>10</v>
      </c>
      <c r="B1265" s="5" t="s">
        <v>30</v>
      </c>
      <c r="C1265" s="5" t="s">
        <v>20</v>
      </c>
      <c r="D1265" s="5" t="s">
        <v>12</v>
      </c>
      <c r="E1265" s="5">
        <v>2015</v>
      </c>
      <c r="F1265" s="5"/>
      <c r="K1265" s="5"/>
      <c r="L1265" s="5"/>
      <c r="M1265" s="5"/>
      <c r="N1265" s="5"/>
      <c r="O1265" s="5"/>
      <c r="P1265" s="5"/>
      <c r="Q1265" s="5"/>
      <c r="R1265" s="5"/>
      <c r="S1265" s="5"/>
      <c r="T1265" s="5"/>
      <c r="U1265" s="5"/>
      <c r="V1265" s="5"/>
      <c r="W1265" s="5"/>
      <c r="X1265" s="5"/>
      <c r="Y1265" s="5"/>
      <c r="Z1265" s="5"/>
      <c r="AA1265" s="5"/>
      <c r="AB1265" s="5"/>
      <c r="AC1265" s="5"/>
      <c r="AD1265" s="5"/>
    </row>
    <row r="1266" spans="1:30" x14ac:dyDescent="0.25">
      <c r="A1266" t="s">
        <v>22</v>
      </c>
      <c r="B1266" t="s">
        <v>24</v>
      </c>
      <c r="C1266" t="s">
        <v>20</v>
      </c>
      <c r="D1266" t="s">
        <v>12</v>
      </c>
      <c r="E1266">
        <v>2015</v>
      </c>
    </row>
    <row r="1267" spans="1:30" x14ac:dyDescent="0.25">
      <c r="A1267" t="s">
        <v>22</v>
      </c>
      <c r="B1267" t="s">
        <v>26</v>
      </c>
      <c r="C1267" t="s">
        <v>20</v>
      </c>
      <c r="D1267" t="s">
        <v>12</v>
      </c>
      <c r="E1267">
        <v>2015</v>
      </c>
    </row>
    <row r="1268" spans="1:30" x14ac:dyDescent="0.25">
      <c r="A1268" t="s">
        <v>22</v>
      </c>
      <c r="B1268" t="s">
        <v>27</v>
      </c>
      <c r="C1268" t="s">
        <v>20</v>
      </c>
      <c r="D1268" t="s">
        <v>12</v>
      </c>
      <c r="E1268">
        <v>2015</v>
      </c>
    </row>
    <row r="1269" spans="1:30" x14ac:dyDescent="0.25">
      <c r="A1269" t="s">
        <v>22</v>
      </c>
      <c r="B1269" t="s">
        <v>28</v>
      </c>
      <c r="C1269" t="s">
        <v>20</v>
      </c>
      <c r="D1269" t="s">
        <v>12</v>
      </c>
      <c r="E1269">
        <v>2015</v>
      </c>
    </row>
    <row r="1270" spans="1:30" x14ac:dyDescent="0.25">
      <c r="A1270" t="s">
        <v>22</v>
      </c>
      <c r="B1270" t="s">
        <v>29</v>
      </c>
      <c r="C1270" t="s">
        <v>20</v>
      </c>
      <c r="D1270" t="s">
        <v>12</v>
      </c>
      <c r="E1270">
        <v>2015</v>
      </c>
    </row>
    <row r="1271" spans="1:30" x14ac:dyDescent="0.25">
      <c r="A1271" t="s">
        <v>22</v>
      </c>
      <c r="B1271" t="s">
        <v>30</v>
      </c>
      <c r="C1271" t="s">
        <v>20</v>
      </c>
      <c r="D1271" t="s">
        <v>12</v>
      </c>
      <c r="E1271">
        <v>2015</v>
      </c>
    </row>
    <row r="1272" spans="1:30" x14ac:dyDescent="0.25">
      <c r="A1272" t="s">
        <v>21</v>
      </c>
      <c r="B1272" t="s">
        <v>26</v>
      </c>
      <c r="C1272" t="s">
        <v>20</v>
      </c>
      <c r="D1272" t="s">
        <v>15</v>
      </c>
      <c r="E1272">
        <v>2015</v>
      </c>
    </row>
    <row r="1273" spans="1:30" x14ac:dyDescent="0.25">
      <c r="A1273" t="s">
        <v>21</v>
      </c>
      <c r="B1273" t="s">
        <v>28</v>
      </c>
      <c r="C1273" t="s">
        <v>20</v>
      </c>
      <c r="D1273" t="s">
        <v>15</v>
      </c>
      <c r="E1273">
        <v>2015</v>
      </c>
    </row>
    <row r="1274" spans="1:30" x14ac:dyDescent="0.25">
      <c r="A1274" t="s">
        <v>21</v>
      </c>
      <c r="B1274" t="s">
        <v>29</v>
      </c>
      <c r="C1274" t="s">
        <v>20</v>
      </c>
      <c r="D1274" t="s">
        <v>15</v>
      </c>
      <c r="E1274">
        <v>2015</v>
      </c>
    </row>
    <row r="1275" spans="1:30" x14ac:dyDescent="0.25">
      <c r="A1275" t="s">
        <v>21</v>
      </c>
      <c r="B1275" t="s">
        <v>30</v>
      </c>
      <c r="C1275" t="s">
        <v>20</v>
      </c>
      <c r="D1275" t="s">
        <v>15</v>
      </c>
      <c r="E1275">
        <v>2015</v>
      </c>
    </row>
    <row r="1276" spans="1:30" x14ac:dyDescent="0.25">
      <c r="A1276" s="5" t="s">
        <v>10</v>
      </c>
      <c r="B1276" s="5" t="s">
        <v>26</v>
      </c>
      <c r="C1276" s="5" t="s">
        <v>20</v>
      </c>
      <c r="D1276" s="5" t="s">
        <v>15</v>
      </c>
      <c r="E1276" s="5">
        <v>2015</v>
      </c>
      <c r="F1276" s="5"/>
      <c r="K1276" s="5"/>
      <c r="L1276" s="5"/>
      <c r="M1276" s="5"/>
      <c r="N1276" s="5"/>
      <c r="O1276" s="5"/>
      <c r="P1276" s="5"/>
      <c r="Q1276" s="5"/>
      <c r="R1276" s="5"/>
      <c r="S1276" s="5"/>
      <c r="T1276" s="5"/>
      <c r="U1276" s="5"/>
      <c r="V1276" s="5"/>
      <c r="W1276" s="5"/>
      <c r="X1276" s="5"/>
      <c r="Y1276" s="5"/>
      <c r="Z1276" s="5"/>
      <c r="AA1276" s="5"/>
      <c r="AB1276" s="5"/>
      <c r="AC1276" s="5"/>
      <c r="AD1276" s="5"/>
    </row>
    <row r="1277" spans="1:30" x14ac:dyDescent="0.25">
      <c r="A1277" s="5" t="s">
        <v>10</v>
      </c>
      <c r="B1277" s="5" t="s">
        <v>28</v>
      </c>
      <c r="C1277" s="5" t="s">
        <v>20</v>
      </c>
      <c r="D1277" s="5" t="s">
        <v>15</v>
      </c>
      <c r="E1277" s="5">
        <v>2015</v>
      </c>
      <c r="F1277" s="5"/>
      <c r="K1277" s="5"/>
      <c r="L1277" s="5"/>
      <c r="M1277" s="5"/>
      <c r="N1277" s="5"/>
      <c r="O1277" s="5"/>
      <c r="P1277" s="5"/>
      <c r="Q1277" s="5"/>
      <c r="R1277" s="5"/>
      <c r="S1277" s="5"/>
      <c r="T1277" s="5"/>
      <c r="U1277" s="5"/>
      <c r="V1277" s="5"/>
      <c r="W1277" s="5"/>
      <c r="X1277" s="5"/>
      <c r="Y1277" s="5"/>
      <c r="Z1277" s="5"/>
      <c r="AA1277" s="5"/>
      <c r="AB1277" s="5"/>
      <c r="AC1277" s="5"/>
      <c r="AD1277" s="5"/>
    </row>
    <row r="1278" spans="1:30" x14ac:dyDescent="0.25">
      <c r="A1278" s="5" t="s">
        <v>10</v>
      </c>
      <c r="B1278" s="5" t="s">
        <v>29</v>
      </c>
      <c r="C1278" s="5" t="s">
        <v>20</v>
      </c>
      <c r="D1278" s="5" t="s">
        <v>15</v>
      </c>
      <c r="E1278" s="5">
        <v>2015</v>
      </c>
      <c r="F1278" s="5"/>
      <c r="K1278" s="5"/>
      <c r="L1278" s="5"/>
      <c r="M1278" s="5"/>
      <c r="N1278" s="5"/>
      <c r="O1278" s="5"/>
      <c r="P1278" s="5"/>
      <c r="Q1278" s="5"/>
      <c r="R1278" s="5"/>
      <c r="S1278" s="5"/>
      <c r="T1278" s="5"/>
      <c r="U1278" s="5"/>
      <c r="V1278" s="5"/>
      <c r="W1278" s="5"/>
      <c r="X1278" s="5"/>
      <c r="Y1278" s="5"/>
      <c r="Z1278" s="5"/>
      <c r="AA1278" s="5"/>
      <c r="AB1278" s="5"/>
      <c r="AC1278" s="5"/>
      <c r="AD1278" s="5"/>
    </row>
    <row r="1279" spans="1:30" x14ac:dyDescent="0.25">
      <c r="A1279" s="5" t="s">
        <v>10</v>
      </c>
      <c r="B1279" s="5" t="s">
        <v>30</v>
      </c>
      <c r="C1279" s="5" t="s">
        <v>20</v>
      </c>
      <c r="D1279" s="5" t="s">
        <v>15</v>
      </c>
      <c r="E1279" s="5">
        <v>2015</v>
      </c>
      <c r="F1279" s="5"/>
      <c r="K1279" s="5"/>
      <c r="L1279" s="5"/>
      <c r="M1279" s="5"/>
      <c r="N1279" s="5"/>
      <c r="O1279" s="5"/>
      <c r="P1279" s="5"/>
      <c r="Q1279" s="5"/>
      <c r="R1279" s="5"/>
      <c r="S1279" s="5"/>
      <c r="T1279" s="5"/>
      <c r="U1279" s="5"/>
      <c r="V1279" s="5"/>
      <c r="W1279" s="5"/>
      <c r="X1279" s="5"/>
      <c r="Y1279" s="5"/>
      <c r="Z1279" s="5"/>
      <c r="AA1279" s="5"/>
      <c r="AB1279" s="5"/>
      <c r="AC1279" s="5"/>
      <c r="AD1279" s="5"/>
    </row>
    <row r="1280" spans="1:30" x14ac:dyDescent="0.25">
      <c r="A1280" t="s">
        <v>22</v>
      </c>
      <c r="B1280" t="s">
        <v>26</v>
      </c>
      <c r="C1280" t="s">
        <v>20</v>
      </c>
      <c r="D1280" t="s">
        <v>15</v>
      </c>
      <c r="E1280">
        <v>2015</v>
      </c>
    </row>
    <row r="1281" spans="1:30" x14ac:dyDescent="0.25">
      <c r="A1281" t="s">
        <v>22</v>
      </c>
      <c r="B1281" t="s">
        <v>28</v>
      </c>
      <c r="C1281" t="s">
        <v>20</v>
      </c>
      <c r="D1281" t="s">
        <v>15</v>
      </c>
      <c r="E1281">
        <v>2015</v>
      </c>
    </row>
    <row r="1282" spans="1:30" x14ac:dyDescent="0.25">
      <c r="A1282" t="s">
        <v>22</v>
      </c>
      <c r="B1282" t="s">
        <v>29</v>
      </c>
      <c r="C1282" t="s">
        <v>20</v>
      </c>
      <c r="D1282" t="s">
        <v>15</v>
      </c>
      <c r="E1282">
        <v>2015</v>
      </c>
    </row>
    <row r="1283" spans="1:30" x14ac:dyDescent="0.25">
      <c r="A1283" t="s">
        <v>22</v>
      </c>
      <c r="B1283" t="s">
        <v>30</v>
      </c>
      <c r="C1283" t="s">
        <v>20</v>
      </c>
      <c r="D1283" t="s">
        <v>15</v>
      </c>
      <c r="E1283">
        <v>2015</v>
      </c>
    </row>
    <row r="1284" spans="1:30" x14ac:dyDescent="0.25">
      <c r="A1284" t="s">
        <v>21</v>
      </c>
      <c r="B1284" t="s">
        <v>24</v>
      </c>
      <c r="C1284" t="s">
        <v>31</v>
      </c>
      <c r="D1284" t="s">
        <v>12</v>
      </c>
      <c r="E1284">
        <v>2015</v>
      </c>
    </row>
    <row r="1285" spans="1:30" x14ac:dyDescent="0.25">
      <c r="A1285" t="s">
        <v>21</v>
      </c>
      <c r="B1285" t="s">
        <v>26</v>
      </c>
      <c r="C1285" t="s">
        <v>31</v>
      </c>
      <c r="D1285" t="s">
        <v>12</v>
      </c>
      <c r="E1285">
        <v>2015</v>
      </c>
    </row>
    <row r="1286" spans="1:30" x14ac:dyDescent="0.25">
      <c r="A1286" t="s">
        <v>21</v>
      </c>
      <c r="B1286" t="s">
        <v>27</v>
      </c>
      <c r="C1286" t="s">
        <v>31</v>
      </c>
      <c r="D1286" t="s">
        <v>12</v>
      </c>
      <c r="E1286">
        <v>2015</v>
      </c>
    </row>
    <row r="1287" spans="1:30" x14ac:dyDescent="0.25">
      <c r="A1287" t="s">
        <v>21</v>
      </c>
      <c r="B1287" t="s">
        <v>28</v>
      </c>
      <c r="C1287" t="s">
        <v>31</v>
      </c>
      <c r="D1287" t="s">
        <v>12</v>
      </c>
      <c r="E1287">
        <v>2015</v>
      </c>
    </row>
    <row r="1288" spans="1:30" x14ac:dyDescent="0.25">
      <c r="A1288" t="s">
        <v>21</v>
      </c>
      <c r="B1288" t="s">
        <v>29</v>
      </c>
      <c r="C1288" t="s">
        <v>31</v>
      </c>
      <c r="D1288" t="s">
        <v>12</v>
      </c>
      <c r="E1288">
        <v>2015</v>
      </c>
    </row>
    <row r="1289" spans="1:30" x14ac:dyDescent="0.25">
      <c r="A1289" t="s">
        <v>21</v>
      </c>
      <c r="B1289" t="s">
        <v>30</v>
      </c>
      <c r="C1289" t="s">
        <v>31</v>
      </c>
      <c r="D1289" t="s">
        <v>12</v>
      </c>
      <c r="E1289">
        <v>2015</v>
      </c>
    </row>
    <row r="1290" spans="1:30" x14ac:dyDescent="0.25">
      <c r="A1290" s="5" t="s">
        <v>10</v>
      </c>
      <c r="B1290" s="5" t="s">
        <v>24</v>
      </c>
      <c r="C1290" s="5" t="s">
        <v>31</v>
      </c>
      <c r="D1290" s="5" t="s">
        <v>12</v>
      </c>
      <c r="E1290" s="5">
        <v>2015</v>
      </c>
      <c r="F1290" s="5"/>
      <c r="K1290" s="5"/>
      <c r="L1290" s="5"/>
      <c r="M1290" s="5"/>
      <c r="N1290" s="5"/>
      <c r="O1290" s="5"/>
      <c r="P1290" s="5"/>
      <c r="Q1290" s="5"/>
      <c r="R1290" s="5"/>
      <c r="S1290" s="5"/>
      <c r="T1290" s="5"/>
      <c r="U1290" s="5"/>
      <c r="V1290" s="5"/>
      <c r="W1290" s="5"/>
      <c r="X1290" s="5"/>
      <c r="Y1290" s="5"/>
      <c r="Z1290" s="5"/>
      <c r="AA1290" s="5"/>
      <c r="AB1290" s="5"/>
      <c r="AC1290" s="5"/>
      <c r="AD1290" s="5"/>
    </row>
    <row r="1291" spans="1:30" x14ac:dyDescent="0.25">
      <c r="A1291" s="5" t="s">
        <v>10</v>
      </c>
      <c r="B1291" s="5" t="s">
        <v>26</v>
      </c>
      <c r="C1291" s="5" t="s">
        <v>31</v>
      </c>
      <c r="D1291" s="5" t="s">
        <v>12</v>
      </c>
      <c r="E1291" s="5">
        <v>2015</v>
      </c>
      <c r="F1291" s="5"/>
      <c r="K1291" s="5"/>
      <c r="L1291" s="5"/>
      <c r="M1291" s="5"/>
      <c r="N1291" s="5"/>
      <c r="O1291" s="5"/>
      <c r="P1291" s="5"/>
      <c r="Q1291" s="5"/>
      <c r="R1291" s="5"/>
      <c r="S1291" s="5"/>
      <c r="T1291" s="5"/>
      <c r="U1291" s="5"/>
      <c r="V1291" s="5"/>
      <c r="W1291" s="5"/>
      <c r="X1291" s="5"/>
      <c r="Y1291" s="5"/>
      <c r="Z1291" s="5"/>
      <c r="AA1291" s="5"/>
      <c r="AB1291" s="5"/>
      <c r="AC1291" s="5"/>
      <c r="AD1291" s="5"/>
    </row>
    <row r="1292" spans="1:30" x14ac:dyDescent="0.25">
      <c r="A1292" s="5" t="s">
        <v>10</v>
      </c>
      <c r="B1292" s="5" t="s">
        <v>27</v>
      </c>
      <c r="C1292" s="5" t="s">
        <v>31</v>
      </c>
      <c r="D1292" s="5" t="s">
        <v>12</v>
      </c>
      <c r="E1292" s="5">
        <v>2015</v>
      </c>
      <c r="F1292" s="5"/>
      <c r="K1292" s="5"/>
      <c r="L1292" s="5"/>
      <c r="M1292" s="5"/>
      <c r="N1292" s="5"/>
      <c r="O1292" s="5"/>
      <c r="P1292" s="5"/>
      <c r="Q1292" s="5"/>
      <c r="R1292" s="5"/>
      <c r="S1292" s="5"/>
      <c r="T1292" s="5"/>
      <c r="U1292" s="5"/>
      <c r="V1292" s="5"/>
      <c r="W1292" s="5"/>
      <c r="X1292" s="5"/>
      <c r="Y1292" s="5"/>
      <c r="Z1292" s="5"/>
      <c r="AA1292" s="5"/>
      <c r="AB1292" s="5"/>
      <c r="AC1292" s="5"/>
      <c r="AD1292" s="5"/>
    </row>
    <row r="1293" spans="1:30" x14ac:dyDescent="0.25">
      <c r="A1293" s="5" t="s">
        <v>10</v>
      </c>
      <c r="B1293" s="5" t="s">
        <v>28</v>
      </c>
      <c r="C1293" s="5" t="s">
        <v>31</v>
      </c>
      <c r="D1293" s="5" t="s">
        <v>12</v>
      </c>
      <c r="E1293" s="5">
        <v>2015</v>
      </c>
      <c r="F1293" s="5"/>
      <c r="K1293" s="5"/>
      <c r="L1293" s="5"/>
      <c r="M1293" s="5"/>
      <c r="N1293" s="5"/>
      <c r="O1293" s="5"/>
      <c r="P1293" s="5"/>
      <c r="Q1293" s="5"/>
      <c r="R1293" s="5"/>
      <c r="S1293" s="5"/>
      <c r="T1293" s="5"/>
      <c r="U1293" s="5"/>
      <c r="V1293" s="5"/>
      <c r="W1293" s="5"/>
      <c r="X1293" s="5"/>
      <c r="Y1293" s="5"/>
      <c r="Z1293" s="5"/>
      <c r="AA1293" s="5"/>
      <c r="AB1293" s="5"/>
      <c r="AC1293" s="5"/>
      <c r="AD1293" s="5"/>
    </row>
    <row r="1294" spans="1:30" x14ac:dyDescent="0.25">
      <c r="A1294" s="5" t="s">
        <v>10</v>
      </c>
      <c r="B1294" s="5" t="s">
        <v>29</v>
      </c>
      <c r="C1294" s="5" t="s">
        <v>31</v>
      </c>
      <c r="D1294" s="5" t="s">
        <v>12</v>
      </c>
      <c r="E1294" s="5">
        <v>2015</v>
      </c>
      <c r="F1294" s="5"/>
      <c r="K1294" s="5"/>
      <c r="L1294" s="5"/>
      <c r="M1294" s="5"/>
      <c r="N1294" s="5"/>
      <c r="O1294" s="5"/>
      <c r="P1294" s="5"/>
      <c r="Q1294" s="5"/>
      <c r="R1294" s="5"/>
      <c r="S1294" s="5"/>
      <c r="T1294" s="5"/>
      <c r="U1294" s="5"/>
      <c r="V1294" s="5"/>
      <c r="W1294" s="5"/>
      <c r="X1294" s="5"/>
      <c r="Y1294" s="5"/>
      <c r="Z1294" s="5"/>
      <c r="AA1294" s="5"/>
      <c r="AB1294" s="5"/>
      <c r="AC1294" s="5"/>
      <c r="AD1294" s="5"/>
    </row>
    <row r="1295" spans="1:30" x14ac:dyDescent="0.25">
      <c r="A1295" s="5" t="s">
        <v>10</v>
      </c>
      <c r="B1295" s="5" t="s">
        <v>30</v>
      </c>
      <c r="C1295" s="5" t="s">
        <v>31</v>
      </c>
      <c r="D1295" s="5" t="s">
        <v>12</v>
      </c>
      <c r="E1295" s="5">
        <v>2015</v>
      </c>
      <c r="F1295" s="5"/>
      <c r="K1295" s="5"/>
      <c r="L1295" s="5"/>
      <c r="M1295" s="5"/>
      <c r="N1295" s="5"/>
      <c r="O1295" s="5"/>
      <c r="P1295" s="5"/>
      <c r="Q1295" s="5"/>
      <c r="R1295" s="5"/>
      <c r="S1295" s="5"/>
      <c r="T1295" s="5"/>
      <c r="U1295" s="5"/>
      <c r="V1295" s="5"/>
      <c r="W1295" s="5"/>
      <c r="X1295" s="5"/>
      <c r="Y1295" s="5"/>
      <c r="Z1295" s="5"/>
      <c r="AA1295" s="5"/>
      <c r="AB1295" s="5"/>
      <c r="AC1295" s="5"/>
      <c r="AD1295" s="5"/>
    </row>
    <row r="1296" spans="1:30" x14ac:dyDescent="0.25">
      <c r="A1296" t="s">
        <v>22</v>
      </c>
      <c r="B1296" t="s">
        <v>24</v>
      </c>
      <c r="C1296" t="s">
        <v>31</v>
      </c>
      <c r="D1296" t="s">
        <v>12</v>
      </c>
      <c r="E1296">
        <v>2015</v>
      </c>
    </row>
    <row r="1297" spans="1:30" x14ac:dyDescent="0.25">
      <c r="A1297" t="s">
        <v>22</v>
      </c>
      <c r="B1297" t="s">
        <v>26</v>
      </c>
      <c r="C1297" t="s">
        <v>31</v>
      </c>
      <c r="D1297" t="s">
        <v>12</v>
      </c>
      <c r="E1297">
        <v>2015</v>
      </c>
    </row>
    <row r="1298" spans="1:30" x14ac:dyDescent="0.25">
      <c r="A1298" t="s">
        <v>22</v>
      </c>
      <c r="B1298" t="s">
        <v>27</v>
      </c>
      <c r="C1298" t="s">
        <v>31</v>
      </c>
      <c r="D1298" t="s">
        <v>12</v>
      </c>
      <c r="E1298">
        <v>2015</v>
      </c>
    </row>
    <row r="1299" spans="1:30" x14ac:dyDescent="0.25">
      <c r="A1299" t="s">
        <v>22</v>
      </c>
      <c r="B1299" t="s">
        <v>28</v>
      </c>
      <c r="C1299" t="s">
        <v>31</v>
      </c>
      <c r="D1299" t="s">
        <v>12</v>
      </c>
      <c r="E1299">
        <v>2015</v>
      </c>
    </row>
    <row r="1300" spans="1:30" x14ac:dyDescent="0.25">
      <c r="A1300" t="s">
        <v>22</v>
      </c>
      <c r="B1300" t="s">
        <v>29</v>
      </c>
      <c r="C1300" t="s">
        <v>31</v>
      </c>
      <c r="D1300" t="s">
        <v>12</v>
      </c>
      <c r="E1300">
        <v>2015</v>
      </c>
    </row>
    <row r="1301" spans="1:30" x14ac:dyDescent="0.25">
      <c r="A1301" t="s">
        <v>22</v>
      </c>
      <c r="B1301" t="s">
        <v>30</v>
      </c>
      <c r="C1301" t="s">
        <v>31</v>
      </c>
      <c r="D1301" t="s">
        <v>12</v>
      </c>
      <c r="E1301">
        <v>2015</v>
      </c>
    </row>
    <row r="1302" spans="1:30" x14ac:dyDescent="0.25">
      <c r="A1302" t="s">
        <v>21</v>
      </c>
      <c r="B1302" t="s">
        <v>26</v>
      </c>
      <c r="C1302" t="s">
        <v>31</v>
      </c>
      <c r="D1302" t="s">
        <v>15</v>
      </c>
      <c r="E1302">
        <v>2015</v>
      </c>
    </row>
    <row r="1303" spans="1:30" x14ac:dyDescent="0.25">
      <c r="A1303" t="s">
        <v>21</v>
      </c>
      <c r="B1303" t="s">
        <v>28</v>
      </c>
      <c r="C1303" t="s">
        <v>31</v>
      </c>
      <c r="D1303" t="s">
        <v>15</v>
      </c>
      <c r="E1303">
        <v>2015</v>
      </c>
    </row>
    <row r="1304" spans="1:30" x14ac:dyDescent="0.25">
      <c r="A1304" t="s">
        <v>21</v>
      </c>
      <c r="B1304" t="s">
        <v>29</v>
      </c>
      <c r="C1304" t="s">
        <v>31</v>
      </c>
      <c r="D1304" t="s">
        <v>15</v>
      </c>
      <c r="E1304">
        <v>2015</v>
      </c>
    </row>
    <row r="1305" spans="1:30" x14ac:dyDescent="0.25">
      <c r="A1305" t="s">
        <v>21</v>
      </c>
      <c r="B1305" t="s">
        <v>30</v>
      </c>
      <c r="C1305" t="s">
        <v>31</v>
      </c>
      <c r="D1305" t="s">
        <v>15</v>
      </c>
      <c r="E1305">
        <v>2015</v>
      </c>
    </row>
    <row r="1306" spans="1:30" x14ac:dyDescent="0.25">
      <c r="A1306" s="5" t="s">
        <v>10</v>
      </c>
      <c r="B1306" s="5" t="s">
        <v>26</v>
      </c>
      <c r="C1306" s="5" t="s">
        <v>31</v>
      </c>
      <c r="D1306" s="5" t="s">
        <v>15</v>
      </c>
      <c r="E1306" s="5">
        <v>2015</v>
      </c>
      <c r="F1306" s="5"/>
      <c r="K1306" s="5"/>
      <c r="L1306" s="5"/>
      <c r="M1306" s="5"/>
      <c r="N1306" s="5"/>
      <c r="O1306" s="5"/>
      <c r="P1306" s="5"/>
      <c r="Q1306" s="5"/>
      <c r="R1306" s="5"/>
      <c r="S1306" s="5"/>
      <c r="T1306" s="5"/>
      <c r="U1306" s="5"/>
      <c r="V1306" s="5"/>
      <c r="W1306" s="5"/>
      <c r="X1306" s="5"/>
      <c r="Y1306" s="5"/>
      <c r="Z1306" s="5"/>
      <c r="AA1306" s="5"/>
      <c r="AB1306" s="5"/>
      <c r="AC1306" s="5"/>
      <c r="AD1306" s="5"/>
    </row>
    <row r="1307" spans="1:30" x14ac:dyDescent="0.25">
      <c r="A1307" s="5" t="s">
        <v>10</v>
      </c>
      <c r="B1307" s="5" t="s">
        <v>28</v>
      </c>
      <c r="C1307" s="5" t="s">
        <v>31</v>
      </c>
      <c r="D1307" s="5" t="s">
        <v>15</v>
      </c>
      <c r="E1307" s="5">
        <v>2015</v>
      </c>
      <c r="F1307" s="5"/>
      <c r="K1307" s="5"/>
      <c r="L1307" s="5"/>
      <c r="M1307" s="5"/>
      <c r="N1307" s="5"/>
      <c r="O1307" s="5"/>
      <c r="P1307" s="5"/>
      <c r="Q1307" s="5"/>
      <c r="R1307" s="5"/>
      <c r="S1307" s="5"/>
      <c r="T1307" s="5"/>
      <c r="U1307" s="5"/>
      <c r="V1307" s="5"/>
      <c r="W1307" s="5"/>
      <c r="X1307" s="5"/>
      <c r="Y1307" s="5"/>
      <c r="Z1307" s="5"/>
      <c r="AA1307" s="5"/>
      <c r="AB1307" s="5"/>
      <c r="AC1307" s="5"/>
      <c r="AD1307" s="5"/>
    </row>
    <row r="1308" spans="1:30" x14ac:dyDescent="0.25">
      <c r="A1308" s="5" t="s">
        <v>10</v>
      </c>
      <c r="B1308" s="5" t="s">
        <v>29</v>
      </c>
      <c r="C1308" s="5" t="s">
        <v>31</v>
      </c>
      <c r="D1308" s="5" t="s">
        <v>15</v>
      </c>
      <c r="E1308" s="5">
        <v>2015</v>
      </c>
      <c r="F1308" s="5"/>
      <c r="K1308" s="5"/>
      <c r="L1308" s="5"/>
      <c r="M1308" s="5"/>
      <c r="N1308" s="5"/>
      <c r="O1308" s="5"/>
      <c r="P1308" s="5"/>
      <c r="Q1308" s="5"/>
      <c r="R1308" s="5"/>
      <c r="S1308" s="5"/>
      <c r="T1308" s="5"/>
      <c r="U1308" s="5"/>
      <c r="V1308" s="5"/>
      <c r="W1308" s="5"/>
      <c r="X1308" s="5"/>
      <c r="Y1308" s="5"/>
      <c r="Z1308" s="5"/>
      <c r="AA1308" s="5"/>
      <c r="AB1308" s="5"/>
      <c r="AC1308" s="5"/>
      <c r="AD1308" s="5"/>
    </row>
    <row r="1309" spans="1:30" x14ac:dyDescent="0.25">
      <c r="A1309" s="5" t="s">
        <v>10</v>
      </c>
      <c r="B1309" s="5" t="s">
        <v>30</v>
      </c>
      <c r="C1309" s="5" t="s">
        <v>31</v>
      </c>
      <c r="D1309" s="5" t="s">
        <v>15</v>
      </c>
      <c r="E1309" s="5">
        <v>2015</v>
      </c>
      <c r="F1309" s="5"/>
      <c r="K1309" s="5"/>
      <c r="L1309" s="5"/>
      <c r="M1309" s="5"/>
      <c r="N1309" s="5"/>
      <c r="O1309" s="5"/>
      <c r="P1309" s="5"/>
      <c r="Q1309" s="5"/>
      <c r="R1309" s="5"/>
      <c r="S1309" s="5"/>
      <c r="T1309" s="5"/>
      <c r="U1309" s="5"/>
      <c r="V1309" s="5"/>
      <c r="W1309" s="5"/>
      <c r="X1309" s="5"/>
      <c r="Y1309" s="5"/>
      <c r="Z1309" s="5"/>
      <c r="AA1309" s="5"/>
      <c r="AB1309" s="5"/>
      <c r="AC1309" s="5"/>
      <c r="AD1309" s="5"/>
    </row>
    <row r="1310" spans="1:30" x14ac:dyDescent="0.25">
      <c r="A1310" t="s">
        <v>22</v>
      </c>
      <c r="B1310" t="s">
        <v>26</v>
      </c>
      <c r="C1310" t="s">
        <v>31</v>
      </c>
      <c r="D1310" t="s">
        <v>15</v>
      </c>
      <c r="E1310">
        <v>2015</v>
      </c>
    </row>
    <row r="1311" spans="1:30" x14ac:dyDescent="0.25">
      <c r="A1311" t="s">
        <v>22</v>
      </c>
      <c r="B1311" t="s">
        <v>28</v>
      </c>
      <c r="C1311" t="s">
        <v>31</v>
      </c>
      <c r="D1311" t="s">
        <v>15</v>
      </c>
      <c r="E1311">
        <v>2015</v>
      </c>
    </row>
    <row r="1312" spans="1:30" x14ac:dyDescent="0.25">
      <c r="A1312" t="s">
        <v>22</v>
      </c>
      <c r="B1312" t="s">
        <v>29</v>
      </c>
      <c r="C1312" t="s">
        <v>31</v>
      </c>
      <c r="D1312" t="s">
        <v>15</v>
      </c>
      <c r="E1312">
        <v>2015</v>
      </c>
    </row>
    <row r="1313" spans="1:31" x14ac:dyDescent="0.25">
      <c r="A1313" t="s">
        <v>22</v>
      </c>
      <c r="B1313" t="s">
        <v>30</v>
      </c>
      <c r="C1313" t="s">
        <v>31</v>
      </c>
      <c r="D1313" t="s">
        <v>15</v>
      </c>
      <c r="E1313">
        <v>2015</v>
      </c>
    </row>
    <row r="1314" spans="1:31" x14ac:dyDescent="0.25">
      <c r="A1314" t="s">
        <v>32</v>
      </c>
      <c r="B1314" t="s">
        <v>11</v>
      </c>
      <c r="C1314" t="s">
        <v>11</v>
      </c>
      <c r="D1314" t="s">
        <v>33</v>
      </c>
      <c r="E1314">
        <v>2015</v>
      </c>
      <c r="AE1314" t="s">
        <v>34</v>
      </c>
    </row>
    <row r="1315" spans="1:31" x14ac:dyDescent="0.25">
      <c r="A1315" t="s">
        <v>32</v>
      </c>
      <c r="B1315" t="s">
        <v>11</v>
      </c>
      <c r="C1315" t="s">
        <v>11</v>
      </c>
      <c r="D1315" t="s">
        <v>33</v>
      </c>
      <c r="E1315">
        <v>2014</v>
      </c>
      <c r="AE1315" t="s">
        <v>34</v>
      </c>
    </row>
    <row r="1316" spans="1:31" x14ac:dyDescent="0.25">
      <c r="A1316" t="s">
        <v>32</v>
      </c>
      <c r="B1316" t="s">
        <v>11</v>
      </c>
      <c r="C1316" t="s">
        <v>11</v>
      </c>
      <c r="D1316" t="s">
        <v>33</v>
      </c>
      <c r="E1316">
        <v>2013</v>
      </c>
      <c r="AE1316" t="s">
        <v>34</v>
      </c>
    </row>
    <row r="1317" spans="1:31" x14ac:dyDescent="0.25">
      <c r="A1317" t="s">
        <v>32</v>
      </c>
      <c r="B1317" t="s">
        <v>11</v>
      </c>
      <c r="C1317" t="s">
        <v>11</v>
      </c>
      <c r="D1317" t="s">
        <v>33</v>
      </c>
      <c r="E1317">
        <v>2012</v>
      </c>
      <c r="AE1317" t="s">
        <v>34</v>
      </c>
    </row>
    <row r="1318" spans="1:31" x14ac:dyDescent="0.25">
      <c r="A1318" t="s">
        <v>32</v>
      </c>
      <c r="B1318" t="s">
        <v>11</v>
      </c>
      <c r="C1318" t="s">
        <v>11</v>
      </c>
      <c r="D1318" t="s">
        <v>33</v>
      </c>
      <c r="E1318">
        <v>2011</v>
      </c>
      <c r="AE1318" t="s">
        <v>34</v>
      </c>
    </row>
    <row r="1319" spans="1:31" x14ac:dyDescent="0.25">
      <c r="A1319" t="s">
        <v>32</v>
      </c>
      <c r="B1319" t="s">
        <v>35</v>
      </c>
      <c r="C1319" t="s">
        <v>11</v>
      </c>
      <c r="D1319" t="s">
        <v>33</v>
      </c>
      <c r="E1319">
        <v>2015</v>
      </c>
      <c r="AE1319" t="s">
        <v>34</v>
      </c>
    </row>
    <row r="1320" spans="1:31" x14ac:dyDescent="0.25">
      <c r="A1320" t="s">
        <v>32</v>
      </c>
      <c r="B1320" t="s">
        <v>35</v>
      </c>
      <c r="C1320" t="s">
        <v>11</v>
      </c>
      <c r="D1320" t="s">
        <v>33</v>
      </c>
      <c r="E1320">
        <v>2014</v>
      </c>
      <c r="AE1320" t="s">
        <v>34</v>
      </c>
    </row>
    <row r="1321" spans="1:31" x14ac:dyDescent="0.25">
      <c r="A1321" t="s">
        <v>32</v>
      </c>
      <c r="B1321" t="s">
        <v>35</v>
      </c>
      <c r="C1321" t="s">
        <v>11</v>
      </c>
      <c r="D1321" t="s">
        <v>33</v>
      </c>
      <c r="E1321">
        <v>2013</v>
      </c>
      <c r="AE1321" t="s">
        <v>34</v>
      </c>
    </row>
    <row r="1322" spans="1:31" x14ac:dyDescent="0.25">
      <c r="A1322" t="s">
        <v>32</v>
      </c>
      <c r="B1322" t="s">
        <v>35</v>
      </c>
      <c r="C1322" t="s">
        <v>11</v>
      </c>
      <c r="D1322" t="s">
        <v>33</v>
      </c>
      <c r="E1322">
        <v>2012</v>
      </c>
      <c r="AE1322" t="s">
        <v>34</v>
      </c>
    </row>
    <row r="1323" spans="1:31" x14ac:dyDescent="0.25">
      <c r="A1323" t="s">
        <v>32</v>
      </c>
      <c r="B1323" t="s">
        <v>35</v>
      </c>
      <c r="C1323" t="s">
        <v>11</v>
      </c>
      <c r="D1323" t="s">
        <v>33</v>
      </c>
      <c r="E1323">
        <v>2011</v>
      </c>
      <c r="AE1323" t="s">
        <v>34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3"/>
  <sheetViews>
    <sheetView zoomScale="80" zoomScaleNormal="80" workbookViewId="0">
      <pane ySplit="1" topLeftCell="A308" activePane="bottomLeft" state="frozen"/>
      <selection activeCell="E872" sqref="E872"/>
      <selection pane="bottomLeft" activeCell="J316" sqref="J316:K343"/>
    </sheetView>
  </sheetViews>
  <sheetFormatPr defaultRowHeight="15" x14ac:dyDescent="0.25"/>
  <cols>
    <col min="1" max="1" width="31.85546875" style="37" customWidth="1"/>
    <col min="2" max="2" width="15.140625" style="37" customWidth="1"/>
    <col min="3" max="3" width="18.28515625" style="37" customWidth="1"/>
    <col min="4" max="4" width="13.85546875" style="37" customWidth="1"/>
    <col min="5" max="5" width="9.140625" style="37"/>
    <col min="6" max="9" width="13.28515625" style="37" customWidth="1"/>
    <col min="10" max="10" width="10.7109375" style="37" customWidth="1"/>
    <col min="11" max="11" width="17.7109375" style="37" customWidth="1"/>
    <col min="12" max="13" width="9.140625" style="37"/>
    <col min="14" max="14" width="97.5703125" style="37" customWidth="1"/>
    <col min="15" max="15" width="9.85546875" style="37" customWidth="1"/>
    <col min="16" max="16" width="10.5703125" style="37" customWidth="1"/>
    <col min="17" max="16384" width="9.140625" style="37"/>
  </cols>
  <sheetData>
    <row r="1" spans="1:14" x14ac:dyDescent="0.25">
      <c r="A1" s="37" t="s">
        <v>0</v>
      </c>
      <c r="B1" s="37" t="s">
        <v>1</v>
      </c>
      <c r="C1" s="37" t="s">
        <v>2</v>
      </c>
      <c r="D1" s="37" t="s">
        <v>3</v>
      </c>
      <c r="E1" s="37" t="s">
        <v>4</v>
      </c>
      <c r="F1" s="43" t="s">
        <v>55</v>
      </c>
      <c r="G1" s="64" t="s">
        <v>72</v>
      </c>
      <c r="H1" s="64" t="s">
        <v>73</v>
      </c>
      <c r="I1" s="64" t="s">
        <v>74</v>
      </c>
      <c r="J1" s="37" t="s">
        <v>65</v>
      </c>
      <c r="K1" s="37" t="s">
        <v>58</v>
      </c>
      <c r="N1" s="37" t="s">
        <v>9</v>
      </c>
    </row>
    <row r="2" spans="1:14" x14ac:dyDescent="0.25">
      <c r="A2" s="9" t="s">
        <v>10</v>
      </c>
      <c r="B2" s="9" t="s">
        <v>11</v>
      </c>
      <c r="C2" s="9" t="s">
        <v>11</v>
      </c>
      <c r="D2" s="9" t="s">
        <v>11</v>
      </c>
      <c r="E2" s="9">
        <v>2011</v>
      </c>
      <c r="F2" s="44">
        <f>SUM(F3:F20)</f>
        <v>23750.892981309411</v>
      </c>
      <c r="G2" s="38">
        <v>23748.644</v>
      </c>
      <c r="H2" s="38">
        <v>23444.975000000002</v>
      </c>
      <c r="I2" s="38">
        <v>24054</v>
      </c>
      <c r="J2" s="24"/>
      <c r="K2" s="9"/>
      <c r="L2" s="9"/>
      <c r="M2" s="9"/>
    </row>
    <row r="3" spans="1:14" x14ac:dyDescent="0.25">
      <c r="A3" s="37" t="s">
        <v>10</v>
      </c>
      <c r="B3" s="37" t="s">
        <v>24</v>
      </c>
      <c r="C3" s="9" t="s">
        <v>31</v>
      </c>
      <c r="D3" s="11" t="s">
        <v>11</v>
      </c>
      <c r="E3" s="37">
        <v>2011</v>
      </c>
      <c r="F3" s="44">
        <f t="shared" ref="F3:F114" si="0">J3*K3</f>
        <v>1793.208619717868</v>
      </c>
      <c r="G3" s="38">
        <v>1793.2800779619588</v>
      </c>
      <c r="H3" s="38">
        <v>1711.7355262140354</v>
      </c>
      <c r="I3" s="38">
        <v>1876.3486047525635</v>
      </c>
      <c r="J3" s="1">
        <v>1970.3424016238523</v>
      </c>
      <c r="K3" s="37">
        <v>0.91010000000000002</v>
      </c>
      <c r="N3" s="37" t="s">
        <v>47</v>
      </c>
    </row>
    <row r="4" spans="1:14" x14ac:dyDescent="0.25">
      <c r="A4" s="37" t="s">
        <v>10</v>
      </c>
      <c r="B4" s="37" t="s">
        <v>24</v>
      </c>
      <c r="C4" s="9" t="s">
        <v>19</v>
      </c>
      <c r="D4" s="11" t="s">
        <v>11</v>
      </c>
      <c r="E4" s="37">
        <v>2011</v>
      </c>
      <c r="F4" s="44">
        <f t="shared" si="0"/>
        <v>4042.6996421492881</v>
      </c>
      <c r="G4" s="38">
        <v>4041.3202560562531</v>
      </c>
      <c r="H4" s="38">
        <v>3917.1636187691283</v>
      </c>
      <c r="I4" s="38">
        <v>4165.2321851616907</v>
      </c>
      <c r="J4" s="1">
        <v>4442.0389431373342</v>
      </c>
      <c r="K4" s="37">
        <v>0.91010000000000002</v>
      </c>
      <c r="N4" s="37" t="s">
        <v>48</v>
      </c>
    </row>
    <row r="5" spans="1:14" x14ac:dyDescent="0.25">
      <c r="A5" s="37" t="s">
        <v>10</v>
      </c>
      <c r="B5" s="37" t="s">
        <v>24</v>
      </c>
      <c r="C5" s="9" t="s">
        <v>20</v>
      </c>
      <c r="D5" s="11" t="s">
        <v>11</v>
      </c>
      <c r="E5" s="37">
        <v>2011</v>
      </c>
      <c r="F5" s="44">
        <f t="shared" si="0"/>
        <v>6191.4204768757945</v>
      </c>
      <c r="G5" s="38">
        <v>6190.5958263693965</v>
      </c>
      <c r="H5" s="38">
        <v>6037.4124399183356</v>
      </c>
      <c r="I5" s="38">
        <v>6343.5962212844925</v>
      </c>
      <c r="J5" s="1">
        <v>6803.0111821511864</v>
      </c>
      <c r="K5" s="37">
        <v>0.91010000000000002</v>
      </c>
    </row>
    <row r="6" spans="1:14" x14ac:dyDescent="0.25">
      <c r="A6" s="37" t="s">
        <v>10</v>
      </c>
      <c r="B6" s="37" t="s">
        <v>26</v>
      </c>
      <c r="C6" s="9" t="s">
        <v>31</v>
      </c>
      <c r="D6" s="11" t="s">
        <v>12</v>
      </c>
      <c r="E6" s="37">
        <v>2011</v>
      </c>
      <c r="F6" s="44">
        <f t="shared" si="0"/>
        <v>133.20052034589975</v>
      </c>
      <c r="G6" s="38">
        <v>133.24742812615779</v>
      </c>
      <c r="H6" s="38">
        <v>111.38299377793039</v>
      </c>
      <c r="I6" s="38">
        <v>156.49364909753729</v>
      </c>
      <c r="J6" s="1">
        <v>146.35811487298071</v>
      </c>
      <c r="K6" s="37">
        <v>0.91010000000000002</v>
      </c>
    </row>
    <row r="7" spans="1:14" x14ac:dyDescent="0.25">
      <c r="A7" s="37" t="s">
        <v>10</v>
      </c>
      <c r="B7" s="37" t="s">
        <v>26</v>
      </c>
      <c r="C7" s="9" t="s">
        <v>19</v>
      </c>
      <c r="D7" s="11" t="s">
        <v>12</v>
      </c>
      <c r="E7" s="37">
        <v>2011</v>
      </c>
      <c r="F7" s="44">
        <f t="shared" si="0"/>
        <v>300.29394796306002</v>
      </c>
      <c r="G7" s="38">
        <v>300.24303940253435</v>
      </c>
      <c r="H7" s="38">
        <v>266.82686145604589</v>
      </c>
      <c r="I7" s="38">
        <v>335.39396462439225</v>
      </c>
      <c r="J7" s="1">
        <v>329.95709038903419</v>
      </c>
      <c r="K7" s="37">
        <v>0.91010000000000002</v>
      </c>
    </row>
    <row r="8" spans="1:14" x14ac:dyDescent="0.25">
      <c r="A8" s="37" t="s">
        <v>10</v>
      </c>
      <c r="B8" s="37" t="s">
        <v>26</v>
      </c>
      <c r="C8" s="9" t="s">
        <v>20</v>
      </c>
      <c r="D8" s="11" t="s">
        <v>12</v>
      </c>
      <c r="E8" s="37">
        <v>2011</v>
      </c>
      <c r="F8" s="44">
        <f t="shared" si="0"/>
        <v>459.90211073704756</v>
      </c>
      <c r="G8" s="38">
        <v>459.7759408319522</v>
      </c>
      <c r="H8" s="38">
        <v>419.32654932508979</v>
      </c>
      <c r="I8" s="38">
        <v>502.67527703851113</v>
      </c>
      <c r="J8" s="1">
        <v>505.33140395236518</v>
      </c>
      <c r="K8" s="37">
        <v>0.91010000000000002</v>
      </c>
    </row>
    <row r="9" spans="1:14" x14ac:dyDescent="0.25">
      <c r="A9" s="37" t="s">
        <v>10</v>
      </c>
      <c r="B9" s="37" t="s">
        <v>26</v>
      </c>
      <c r="C9" s="9" t="s">
        <v>31</v>
      </c>
      <c r="D9" s="37" t="s">
        <v>15</v>
      </c>
      <c r="E9" s="37">
        <v>2011</v>
      </c>
      <c r="F9" s="44">
        <f t="shared" si="0"/>
        <v>43.506193936431195</v>
      </c>
      <c r="G9" s="38">
        <v>43.532566075357508</v>
      </c>
      <c r="H9" s="38">
        <v>31.57308424317246</v>
      </c>
      <c r="I9" s="38">
        <v>56.896747224976735</v>
      </c>
      <c r="J9" s="1">
        <v>46.535665778619318</v>
      </c>
      <c r="K9" s="37">
        <v>0.93489999999999995</v>
      </c>
    </row>
    <row r="10" spans="1:14" x14ac:dyDescent="0.25">
      <c r="A10" s="37" t="s">
        <v>10</v>
      </c>
      <c r="B10" s="37" t="s">
        <v>26</v>
      </c>
      <c r="C10" s="9" t="s">
        <v>19</v>
      </c>
      <c r="D10" s="37" t="s">
        <v>15</v>
      </c>
      <c r="E10" s="37">
        <v>2011</v>
      </c>
      <c r="F10" s="44">
        <f t="shared" si="0"/>
        <v>527.93093026707834</v>
      </c>
      <c r="G10" s="38">
        <v>527.98636379989239</v>
      </c>
      <c r="H10" s="38">
        <v>483.96104954610206</v>
      </c>
      <c r="I10" s="38">
        <v>572.92095090776627</v>
      </c>
      <c r="J10" s="1">
        <v>564.69240589055335</v>
      </c>
      <c r="K10" s="37">
        <v>0.93489999999999995</v>
      </c>
    </row>
    <row r="11" spans="1:14" x14ac:dyDescent="0.25">
      <c r="A11" s="37" t="s">
        <v>10</v>
      </c>
      <c r="B11" s="37" t="s">
        <v>26</v>
      </c>
      <c r="C11" s="9" t="s">
        <v>20</v>
      </c>
      <c r="D11" s="37" t="s">
        <v>15</v>
      </c>
      <c r="E11" s="37">
        <v>2011</v>
      </c>
      <c r="F11" s="44">
        <f t="shared" si="0"/>
        <v>173.71102915483701</v>
      </c>
      <c r="G11" s="38">
        <v>173.88120057287239</v>
      </c>
      <c r="H11" s="38">
        <v>148.93971560643706</v>
      </c>
      <c r="I11" s="38">
        <v>200.4791204235288</v>
      </c>
      <c r="J11" s="1">
        <v>185.80706937088141</v>
      </c>
      <c r="K11" s="37">
        <v>0.93489999999999995</v>
      </c>
    </row>
    <row r="12" spans="1:14" x14ac:dyDescent="0.25">
      <c r="A12" s="37" t="s">
        <v>10</v>
      </c>
      <c r="B12" s="37" t="s">
        <v>27</v>
      </c>
      <c r="C12" s="9" t="s">
        <v>31</v>
      </c>
      <c r="D12" s="11" t="s">
        <v>11</v>
      </c>
      <c r="E12" s="37">
        <v>2011</v>
      </c>
      <c r="F12" s="44">
        <f t="shared" si="0"/>
        <v>102.84062039334634</v>
      </c>
      <c r="G12" s="38">
        <v>102.83190431291222</v>
      </c>
      <c r="H12" s="38">
        <v>83.923644924720676</v>
      </c>
      <c r="I12" s="38">
        <v>123.51268454133461</v>
      </c>
      <c r="J12" s="1">
        <v>112.99925326156064</v>
      </c>
      <c r="K12" s="37">
        <v>0.91010000000000002</v>
      </c>
    </row>
    <row r="13" spans="1:14" x14ac:dyDescent="0.25">
      <c r="A13" s="37" t="s">
        <v>10</v>
      </c>
      <c r="B13" s="37" t="s">
        <v>27</v>
      </c>
      <c r="C13" s="9" t="s">
        <v>19</v>
      </c>
      <c r="D13" s="11" t="s">
        <v>11</v>
      </c>
      <c r="E13" s="37">
        <v>2011</v>
      </c>
      <c r="F13" s="44">
        <f t="shared" si="0"/>
        <v>231.84906356740814</v>
      </c>
      <c r="G13" s="38">
        <v>231.67816870264465</v>
      </c>
      <c r="H13" s="38">
        <v>202.80944103261581</v>
      </c>
      <c r="I13" s="38">
        <v>262.26898711797378</v>
      </c>
      <c r="J13" s="1">
        <v>254.75119609648186</v>
      </c>
      <c r="K13" s="37">
        <v>0.91010000000000002</v>
      </c>
    </row>
    <row r="14" spans="1:14" x14ac:dyDescent="0.25">
      <c r="A14" s="37" t="s">
        <v>10</v>
      </c>
      <c r="B14" s="37" t="s">
        <v>27</v>
      </c>
      <c r="C14" s="9" t="s">
        <v>20</v>
      </c>
      <c r="D14" s="11" t="s">
        <v>11</v>
      </c>
      <c r="E14" s="37">
        <v>2011</v>
      </c>
      <c r="F14" s="44">
        <f t="shared" si="0"/>
        <v>355.07833051692234</v>
      </c>
      <c r="G14" s="38">
        <v>354.83334721713317</v>
      </c>
      <c r="H14" s="38">
        <v>318.86021289758355</v>
      </c>
      <c r="I14" s="38">
        <v>393.09433311710768</v>
      </c>
      <c r="J14" s="1">
        <v>390.15309363468009</v>
      </c>
      <c r="K14" s="37">
        <v>0.91010000000000002</v>
      </c>
    </row>
    <row r="15" spans="1:14" x14ac:dyDescent="0.25">
      <c r="A15" s="37" t="s">
        <v>10</v>
      </c>
      <c r="B15" s="37" t="s">
        <v>28</v>
      </c>
      <c r="C15" s="37" t="s">
        <v>31</v>
      </c>
      <c r="D15" s="37" t="s">
        <v>12</v>
      </c>
      <c r="E15" s="37">
        <v>2011</v>
      </c>
      <c r="F15" s="44">
        <f t="shared" si="0"/>
        <v>514.33551504987736</v>
      </c>
      <c r="G15" s="38">
        <v>514.27909658081273</v>
      </c>
      <c r="H15" s="38">
        <v>469.54284475023206</v>
      </c>
      <c r="I15" s="38">
        <v>561.22179267117792</v>
      </c>
      <c r="J15" s="1">
        <v>565.14175920215064</v>
      </c>
      <c r="K15" s="37">
        <v>0.91010000000000002</v>
      </c>
    </row>
    <row r="16" spans="1:14" x14ac:dyDescent="0.25">
      <c r="A16" s="37" t="s">
        <v>10</v>
      </c>
      <c r="B16" s="37" t="s">
        <v>28</v>
      </c>
      <c r="C16" s="37" t="s">
        <v>19</v>
      </c>
      <c r="D16" s="37" t="s">
        <v>12</v>
      </c>
      <c r="E16" s="37">
        <v>2011</v>
      </c>
      <c r="F16" s="44">
        <f t="shared" si="0"/>
        <v>1159.5438365470004</v>
      </c>
      <c r="G16" s="38">
        <v>1160.5129343762958</v>
      </c>
      <c r="H16" s="38">
        <v>1094.7843333912517</v>
      </c>
      <c r="I16" s="38">
        <v>1229.5336698056581</v>
      </c>
      <c r="J16" s="1">
        <v>1274.0839869761569</v>
      </c>
      <c r="K16" s="37">
        <v>0.91010000000000002</v>
      </c>
    </row>
    <row r="17" spans="1:15" x14ac:dyDescent="0.25">
      <c r="A17" s="37" t="s">
        <v>10</v>
      </c>
      <c r="B17" s="37" t="s">
        <v>28</v>
      </c>
      <c r="C17" s="37" t="s">
        <v>20</v>
      </c>
      <c r="D17" s="37" t="s">
        <v>12</v>
      </c>
      <c r="E17" s="37">
        <v>2011</v>
      </c>
      <c r="F17" s="44">
        <f t="shared" si="0"/>
        <v>1775.8488359069399</v>
      </c>
      <c r="G17" s="38">
        <v>1775.7465343608769</v>
      </c>
      <c r="H17" s="38">
        <v>1692.1988368980212</v>
      </c>
      <c r="I17" s="38">
        <v>1859.9275719567099</v>
      </c>
      <c r="J17" s="1">
        <v>1951.2678122260629</v>
      </c>
      <c r="K17" s="37">
        <v>0.91010000000000002</v>
      </c>
    </row>
    <row r="18" spans="1:15" x14ac:dyDescent="0.25">
      <c r="A18" s="37" t="s">
        <v>10</v>
      </c>
      <c r="B18" s="37" t="s">
        <v>28</v>
      </c>
      <c r="C18" s="37" t="s">
        <v>31</v>
      </c>
      <c r="D18" s="37" t="s">
        <v>15</v>
      </c>
      <c r="E18" s="37">
        <v>2011</v>
      </c>
      <c r="F18" s="44">
        <f t="shared" si="0"/>
        <v>347.13511525658015</v>
      </c>
      <c r="G18" s="38">
        <v>346.9504444119035</v>
      </c>
      <c r="H18" s="38">
        <v>311.17218455586965</v>
      </c>
      <c r="I18" s="38">
        <v>384.26756913256861</v>
      </c>
      <c r="J18" s="1">
        <v>371.30721494981299</v>
      </c>
      <c r="K18" s="37">
        <v>0.93489999999999995</v>
      </c>
    </row>
    <row r="19" spans="1:15" x14ac:dyDescent="0.25">
      <c r="A19" s="37" t="s">
        <v>10</v>
      </c>
      <c r="B19" s="37" t="s">
        <v>28</v>
      </c>
      <c r="C19" s="37" t="s">
        <v>19</v>
      </c>
      <c r="D19" s="37" t="s">
        <v>15</v>
      </c>
      <c r="E19" s="37">
        <v>2011</v>
      </c>
      <c r="F19" s="44">
        <f t="shared" si="0"/>
        <v>4212.3511101327322</v>
      </c>
      <c r="G19" s="38">
        <v>4212.8100222716694</v>
      </c>
      <c r="H19" s="38">
        <v>4086.7411890756089</v>
      </c>
      <c r="I19" s="38">
        <v>4339.5555837125366</v>
      </c>
      <c r="J19" s="1">
        <v>4505.6702429486922</v>
      </c>
      <c r="K19" s="37">
        <v>0.93489999999999995</v>
      </c>
    </row>
    <row r="20" spans="1:15" ht="15.75" thickBot="1" x14ac:dyDescent="0.3">
      <c r="A20" s="6" t="s">
        <v>10</v>
      </c>
      <c r="B20" s="6" t="s">
        <v>28</v>
      </c>
      <c r="C20" s="6" t="s">
        <v>20</v>
      </c>
      <c r="D20" s="6" t="s">
        <v>15</v>
      </c>
      <c r="E20" s="6">
        <v>2011</v>
      </c>
      <c r="F20" s="45">
        <f t="shared" si="0"/>
        <v>1386.0370827912973</v>
      </c>
      <c r="G20" s="65">
        <v>1385.1388485693763</v>
      </c>
      <c r="H20" s="65">
        <v>1312.32998309104</v>
      </c>
      <c r="I20" s="65">
        <v>1457.804140936609</v>
      </c>
      <c r="J20" s="42">
        <v>1482.5511635375947</v>
      </c>
      <c r="K20" s="6">
        <v>0.93489999999999995</v>
      </c>
      <c r="L20" s="6"/>
      <c r="M20" s="6"/>
      <c r="N20" s="6"/>
    </row>
    <row r="21" spans="1:15" x14ac:dyDescent="0.25">
      <c r="A21" s="9" t="s">
        <v>10</v>
      </c>
      <c r="B21" s="9" t="s">
        <v>11</v>
      </c>
      <c r="C21" s="9" t="s">
        <v>11</v>
      </c>
      <c r="D21" s="9" t="s">
        <v>11</v>
      </c>
      <c r="E21" s="9">
        <v>2012</v>
      </c>
      <c r="F21" s="44">
        <f>SUM(F22:F24,F26:F31,F33:F35,F36:F41)</f>
        <v>24629.284784953474</v>
      </c>
      <c r="G21" s="38">
        <v>24627.4352</v>
      </c>
      <c r="H21" s="38">
        <v>24321.975000000002</v>
      </c>
      <c r="I21" s="38">
        <v>24932</v>
      </c>
      <c r="J21" s="24"/>
      <c r="K21" s="9"/>
      <c r="L21" s="9"/>
      <c r="M21" s="9"/>
      <c r="N21" s="9"/>
    </row>
    <row r="22" spans="1:15" x14ac:dyDescent="0.25">
      <c r="A22" s="9" t="s">
        <v>10</v>
      </c>
      <c r="B22" s="9" t="s">
        <v>24</v>
      </c>
      <c r="C22" s="9" t="s">
        <v>31</v>
      </c>
      <c r="D22" s="9" t="s">
        <v>11</v>
      </c>
      <c r="E22" s="9">
        <v>2012</v>
      </c>
      <c r="F22" s="44">
        <f t="shared" si="0"/>
        <v>1788.8132483087011</v>
      </c>
      <c r="G22" s="38">
        <v>1788.1072866471011</v>
      </c>
      <c r="H22" s="38">
        <v>1705.3178863335429</v>
      </c>
      <c r="I22" s="38">
        <v>1871.0535912577482</v>
      </c>
      <c r="J22" s="24">
        <v>1965.5128538717734</v>
      </c>
      <c r="K22" s="9">
        <v>0.91010000000000002</v>
      </c>
      <c r="L22" s="9"/>
      <c r="M22" s="9"/>
      <c r="O22" s="9"/>
    </row>
    <row r="23" spans="1:15" x14ac:dyDescent="0.25">
      <c r="A23" s="9" t="s">
        <v>10</v>
      </c>
      <c r="B23" s="9" t="s">
        <v>24</v>
      </c>
      <c r="C23" s="9" t="s">
        <v>19</v>
      </c>
      <c r="D23" s="9" t="s">
        <v>11</v>
      </c>
      <c r="E23" s="9">
        <v>2012</v>
      </c>
      <c r="F23" s="44">
        <f t="shared" si="0"/>
        <v>4032.7904959252705</v>
      </c>
      <c r="G23" s="38">
        <v>4032.9181406279095</v>
      </c>
      <c r="H23" s="38">
        <v>3909.9282918291633</v>
      </c>
      <c r="I23" s="38">
        <v>4160.6477150067958</v>
      </c>
      <c r="J23" s="24">
        <v>4431.1509679433802</v>
      </c>
      <c r="K23" s="9">
        <v>0.91010000000000002</v>
      </c>
      <c r="L23" s="9"/>
      <c r="M23" s="9"/>
      <c r="O23" s="9"/>
    </row>
    <row r="24" spans="1:15" x14ac:dyDescent="0.25">
      <c r="A24" s="9" t="s">
        <v>10</v>
      </c>
      <c r="B24" s="9" t="s">
        <v>24</v>
      </c>
      <c r="C24" s="9" t="s">
        <v>20</v>
      </c>
      <c r="D24" s="9" t="s">
        <v>11</v>
      </c>
      <c r="E24" s="9">
        <v>2012</v>
      </c>
      <c r="F24" s="44">
        <f t="shared" si="0"/>
        <v>6176.2445557660294</v>
      </c>
      <c r="G24" s="38">
        <v>6176.08069728594</v>
      </c>
      <c r="H24" s="38">
        <v>6022.8424380131637</v>
      </c>
      <c r="I24" s="38">
        <v>6333.2929505406646</v>
      </c>
      <c r="J24" s="24">
        <v>6786.3361781848471</v>
      </c>
      <c r="K24" s="9">
        <v>0.91010000000000002</v>
      </c>
      <c r="L24" s="9"/>
      <c r="M24" s="9"/>
      <c r="O24" s="9"/>
    </row>
    <row r="25" spans="1:15" x14ac:dyDescent="0.25">
      <c r="A25" s="9" t="s">
        <v>10</v>
      </c>
      <c r="B25" s="9" t="s">
        <v>26</v>
      </c>
      <c r="C25" s="9" t="s">
        <v>11</v>
      </c>
      <c r="D25" s="9" t="s">
        <v>11</v>
      </c>
      <c r="E25" s="9">
        <v>2012</v>
      </c>
      <c r="F25" s="44">
        <f>SUM(F26:F31)</f>
        <v>1921.650295960224</v>
      </c>
      <c r="G25" s="38"/>
      <c r="H25" s="38"/>
      <c r="I25" s="38"/>
      <c r="J25" s="24"/>
      <c r="K25" s="9"/>
      <c r="L25" s="9"/>
      <c r="M25" s="9"/>
      <c r="O25" s="9"/>
    </row>
    <row r="26" spans="1:15" x14ac:dyDescent="0.25">
      <c r="A26" s="9" t="s">
        <v>10</v>
      </c>
      <c r="B26" s="9" t="s">
        <v>26</v>
      </c>
      <c r="C26" s="9" t="s">
        <v>31</v>
      </c>
      <c r="D26" s="9" t="s">
        <v>12</v>
      </c>
      <c r="E26" s="9">
        <v>2012</v>
      </c>
      <c r="F26" s="44">
        <f t="shared" si="0"/>
        <v>156.21472779028656</v>
      </c>
      <c r="G26" s="38">
        <v>156.14845265511906</v>
      </c>
      <c r="H26" s="38">
        <v>132.84647008383638</v>
      </c>
      <c r="I26" s="38">
        <v>181.74854283799121</v>
      </c>
      <c r="J26" s="24">
        <v>171.64567387131805</v>
      </c>
      <c r="K26" s="9">
        <v>0.91010000000000002</v>
      </c>
      <c r="L26" s="9"/>
      <c r="M26" s="9"/>
      <c r="O26" s="9"/>
    </row>
    <row r="27" spans="1:15" x14ac:dyDescent="0.25">
      <c r="A27" s="9" t="s">
        <v>10</v>
      </c>
      <c r="B27" s="9" t="s">
        <v>26</v>
      </c>
      <c r="C27" s="9" t="s">
        <v>19</v>
      </c>
      <c r="D27" s="9" t="s">
        <v>12</v>
      </c>
      <c r="E27" s="9">
        <v>2012</v>
      </c>
      <c r="F27" s="44">
        <f t="shared" si="0"/>
        <v>352.17833396071956</v>
      </c>
      <c r="G27" s="38">
        <v>352.09626949546146</v>
      </c>
      <c r="H27" s="38">
        <v>316.18561537100697</v>
      </c>
      <c r="I27" s="38">
        <v>390.0136605290013</v>
      </c>
      <c r="J27" s="24">
        <v>386.96663439261567</v>
      </c>
      <c r="K27" s="9">
        <v>0.91010000000000002</v>
      </c>
      <c r="L27" s="9"/>
      <c r="M27" s="9"/>
      <c r="O27" s="9"/>
    </row>
    <row r="28" spans="1:15" x14ac:dyDescent="0.25">
      <c r="A28" s="9" t="s">
        <v>10</v>
      </c>
      <c r="B28" s="9" t="s">
        <v>26</v>
      </c>
      <c r="C28" s="9" t="s">
        <v>20</v>
      </c>
      <c r="D28" s="9" t="s">
        <v>12</v>
      </c>
      <c r="E28" s="9">
        <v>2012</v>
      </c>
      <c r="F28" s="44">
        <f t="shared" si="0"/>
        <v>539.36338125707357</v>
      </c>
      <c r="G28" s="38">
        <v>538.71857736845254</v>
      </c>
      <c r="H28" s="38">
        <v>494.84409712431386</v>
      </c>
      <c r="I28" s="38">
        <v>585.54900056193492</v>
      </c>
      <c r="J28" s="3">
        <v>592.64188688833485</v>
      </c>
      <c r="K28" s="9">
        <v>0.91010000000000002</v>
      </c>
      <c r="L28" s="9"/>
      <c r="M28" s="9"/>
      <c r="O28" s="9"/>
    </row>
    <row r="29" spans="1:15" x14ac:dyDescent="0.25">
      <c r="A29" s="9" t="s">
        <v>10</v>
      </c>
      <c r="B29" s="9" t="s">
        <v>26</v>
      </c>
      <c r="C29" s="9" t="s">
        <v>31</v>
      </c>
      <c r="D29" s="9" t="s">
        <v>15</v>
      </c>
      <c r="E29" s="9">
        <v>2012</v>
      </c>
      <c r="F29" s="44">
        <f t="shared" si="0"/>
        <v>51.023135835521707</v>
      </c>
      <c r="G29" s="38">
        <v>51.064856742042032</v>
      </c>
      <c r="H29" s="38">
        <v>37.973981739797075</v>
      </c>
      <c r="I29" s="38">
        <v>65.949847246257491</v>
      </c>
      <c r="J29" s="24">
        <v>54.576035763741267</v>
      </c>
      <c r="K29" s="9">
        <v>0.93489999999999995</v>
      </c>
      <c r="L29" s="9"/>
      <c r="M29" s="9"/>
      <c r="O29" s="9"/>
    </row>
    <row r="30" spans="1:15" x14ac:dyDescent="0.25">
      <c r="A30" s="9" t="s">
        <v>10</v>
      </c>
      <c r="B30" s="9" t="s">
        <v>26</v>
      </c>
      <c r="C30" s="9" t="s">
        <v>19</v>
      </c>
      <c r="D30" s="9" t="s">
        <v>15</v>
      </c>
      <c r="E30" s="9">
        <v>2012</v>
      </c>
      <c r="F30" s="44">
        <f t="shared" si="0"/>
        <v>619.14612908104186</v>
      </c>
      <c r="G30" s="38">
        <v>618.85488535784134</v>
      </c>
      <c r="H30" s="38">
        <v>571.8145264190008</v>
      </c>
      <c r="I30" s="38">
        <v>669.07742709525519</v>
      </c>
      <c r="J30" s="24">
        <v>662.25920321001377</v>
      </c>
      <c r="K30" s="9">
        <v>0.93489999999999995</v>
      </c>
      <c r="L30" s="9"/>
      <c r="M30" s="9"/>
      <c r="O30" s="9"/>
    </row>
    <row r="31" spans="1:15" x14ac:dyDescent="0.25">
      <c r="A31" s="9" t="s">
        <v>10</v>
      </c>
      <c r="B31" s="9" t="s">
        <v>26</v>
      </c>
      <c r="C31" s="9" t="s">
        <v>20</v>
      </c>
      <c r="D31" s="9" t="s">
        <v>15</v>
      </c>
      <c r="E31" s="9">
        <v>2012</v>
      </c>
      <c r="F31" s="44">
        <f t="shared" si="0"/>
        <v>203.72458803558058</v>
      </c>
      <c r="G31" s="38">
        <v>203.57223432835477</v>
      </c>
      <c r="H31" s="38">
        <v>176.07634943718548</v>
      </c>
      <c r="I31" s="38">
        <v>232.83357307802146</v>
      </c>
      <c r="J31" s="3">
        <v>217.91056587397645</v>
      </c>
      <c r="K31" s="9">
        <v>0.93489999999999995</v>
      </c>
      <c r="L31" s="9"/>
      <c r="M31" s="9"/>
      <c r="O31" s="9"/>
    </row>
    <row r="32" spans="1:15" x14ac:dyDescent="0.25">
      <c r="A32" s="9" t="s">
        <v>10</v>
      </c>
      <c r="B32" s="9" t="s">
        <v>27</v>
      </c>
      <c r="C32" s="9" t="s">
        <v>11</v>
      </c>
      <c r="D32" s="9" t="s">
        <v>11</v>
      </c>
      <c r="E32" s="9">
        <v>2012</v>
      </c>
      <c r="F32" s="44">
        <f>SUM(F33:F35)</f>
        <v>804.52840000000003</v>
      </c>
      <c r="G32" s="38"/>
      <c r="H32" s="38"/>
      <c r="I32" s="38"/>
      <c r="J32" s="3"/>
      <c r="K32" s="9"/>
      <c r="L32" s="9"/>
      <c r="M32" s="9"/>
      <c r="O32" s="9"/>
    </row>
    <row r="33" spans="1:15" x14ac:dyDescent="0.25">
      <c r="A33" s="9" t="s">
        <v>10</v>
      </c>
      <c r="B33" s="9" t="s">
        <v>27</v>
      </c>
      <c r="C33" s="9" t="s">
        <v>31</v>
      </c>
      <c r="D33" s="9" t="s">
        <v>11</v>
      </c>
      <c r="E33" s="9">
        <v>2012</v>
      </c>
      <c r="F33" s="44">
        <f t="shared" si="0"/>
        <v>119.95076321815149</v>
      </c>
      <c r="G33" s="38">
        <v>119.74835594951506</v>
      </c>
      <c r="H33" s="38">
        <v>99.201262769873452</v>
      </c>
      <c r="I33" s="38">
        <v>142.42607604301463</v>
      </c>
      <c r="J33" s="24">
        <v>131.79954204829303</v>
      </c>
      <c r="K33" s="9">
        <v>0.91010000000000002</v>
      </c>
      <c r="L33" s="9"/>
      <c r="M33" s="9"/>
      <c r="O33" s="9"/>
    </row>
    <row r="34" spans="1:15" x14ac:dyDescent="0.25">
      <c r="A34" s="9" t="s">
        <v>10</v>
      </c>
      <c r="B34" s="9" t="s">
        <v>27</v>
      </c>
      <c r="C34" s="9" t="s">
        <v>19</v>
      </c>
      <c r="D34" s="9" t="s">
        <v>11</v>
      </c>
      <c r="E34" s="9">
        <v>2012</v>
      </c>
      <c r="F34" s="44">
        <f t="shared" si="0"/>
        <v>270.4230295378851</v>
      </c>
      <c r="G34" s="38">
        <v>270.40330486297347</v>
      </c>
      <c r="H34" s="38">
        <v>239.17467312870886</v>
      </c>
      <c r="I34" s="38">
        <v>303.75912515714106</v>
      </c>
      <c r="J34" s="24">
        <v>297.13551207327225</v>
      </c>
      <c r="K34" s="9">
        <v>0.91010000000000002</v>
      </c>
      <c r="L34" s="9"/>
      <c r="M34" s="9"/>
      <c r="O34" s="9"/>
    </row>
    <row r="35" spans="1:15" x14ac:dyDescent="0.25">
      <c r="A35" s="9" t="s">
        <v>10</v>
      </c>
      <c r="B35" s="9" t="s">
        <v>27</v>
      </c>
      <c r="C35" s="9" t="s">
        <v>20</v>
      </c>
      <c r="D35" s="9" t="s">
        <v>11</v>
      </c>
      <c r="E35" s="9">
        <v>2012</v>
      </c>
      <c r="F35" s="44">
        <f t="shared" si="0"/>
        <v>414.15460724396343</v>
      </c>
      <c r="G35" s="38">
        <v>413.80507781657047</v>
      </c>
      <c r="H35" s="38">
        <v>375.3057696795064</v>
      </c>
      <c r="I35" s="38">
        <v>454.96225454990019</v>
      </c>
      <c r="J35" s="3">
        <v>455.06494587843468</v>
      </c>
      <c r="K35" s="9">
        <v>0.91010000000000002</v>
      </c>
      <c r="L35" s="9"/>
      <c r="M35" s="9"/>
      <c r="O35" s="9"/>
    </row>
    <row r="36" spans="1:15" x14ac:dyDescent="0.25">
      <c r="A36" s="9" t="s">
        <v>10</v>
      </c>
      <c r="B36" s="9" t="s">
        <v>28</v>
      </c>
      <c r="C36" s="9" t="s">
        <v>31</v>
      </c>
      <c r="D36" s="9" t="s">
        <v>12</v>
      </c>
      <c r="E36" s="9">
        <v>2012</v>
      </c>
      <c r="F36" s="44">
        <f t="shared" si="0"/>
        <v>542.25540092713788</v>
      </c>
      <c r="G36" s="38">
        <v>542.2571701787823</v>
      </c>
      <c r="H36" s="38">
        <v>497.62760280926085</v>
      </c>
      <c r="I36" s="38">
        <v>587.75626286351417</v>
      </c>
      <c r="J36" s="24">
        <v>595.81958128462577</v>
      </c>
      <c r="K36" s="9">
        <v>0.91010000000000002</v>
      </c>
      <c r="L36" s="9"/>
      <c r="M36" s="9"/>
      <c r="O36" s="9"/>
    </row>
    <row r="37" spans="1:15" x14ac:dyDescent="0.25">
      <c r="A37" s="9" t="s">
        <v>10</v>
      </c>
      <c r="B37" s="9" t="s">
        <v>28</v>
      </c>
      <c r="C37" s="9" t="s">
        <v>19</v>
      </c>
      <c r="D37" s="9" t="s">
        <v>12</v>
      </c>
      <c r="E37" s="9">
        <v>2012</v>
      </c>
      <c r="F37" s="44">
        <f t="shared" si="0"/>
        <v>1222.4878305718612</v>
      </c>
      <c r="G37" s="38">
        <v>1222.7853409679592</v>
      </c>
      <c r="H37" s="38">
        <v>1153.6715940326562</v>
      </c>
      <c r="I37" s="38">
        <v>1293.6647827323752</v>
      </c>
      <c r="J37" s="24">
        <v>1343.2456110008363</v>
      </c>
      <c r="K37" s="9">
        <v>0.91010000000000002</v>
      </c>
      <c r="L37" s="9"/>
      <c r="M37" s="9"/>
      <c r="O37" s="9"/>
    </row>
    <row r="38" spans="1:15" x14ac:dyDescent="0.25">
      <c r="A38" s="9" t="s">
        <v>10</v>
      </c>
      <c r="B38" s="9" t="s">
        <v>28</v>
      </c>
      <c r="C38" s="9" t="s">
        <v>20</v>
      </c>
      <c r="D38" s="9" t="s">
        <v>12</v>
      </c>
      <c r="E38" s="9">
        <v>2012</v>
      </c>
      <c r="F38" s="44">
        <f t="shared" si="0"/>
        <v>1872.2479671801902</v>
      </c>
      <c r="G38" s="38">
        <v>1871.9908181850474</v>
      </c>
      <c r="H38" s="38">
        <v>1787.3803451894746</v>
      </c>
      <c r="I38" s="38">
        <v>1959.9336829989763</v>
      </c>
      <c r="J38" s="24">
        <v>2057.1892837931987</v>
      </c>
      <c r="K38" s="9">
        <v>0.91010000000000002</v>
      </c>
      <c r="L38" s="9"/>
      <c r="M38" s="9"/>
      <c r="O38" s="9"/>
    </row>
    <row r="39" spans="1:15" x14ac:dyDescent="0.25">
      <c r="A39" s="9" t="s">
        <v>10</v>
      </c>
      <c r="B39" s="9" t="s">
        <v>28</v>
      </c>
      <c r="C39" s="9" t="s">
        <v>31</v>
      </c>
      <c r="D39" s="9" t="s">
        <v>15</v>
      </c>
      <c r="E39" s="9">
        <v>2012</v>
      </c>
      <c r="F39" s="44">
        <f t="shared" si="0"/>
        <v>365.97879320289803</v>
      </c>
      <c r="G39" s="38">
        <v>366.01596105938978</v>
      </c>
      <c r="H39" s="38">
        <v>329.18568590169008</v>
      </c>
      <c r="I39" s="38">
        <v>404.83769704173875</v>
      </c>
      <c r="J39" s="24">
        <v>391.46303690544232</v>
      </c>
      <c r="K39" s="9">
        <v>0.93489999999999995</v>
      </c>
      <c r="L39" s="9"/>
      <c r="M39" s="9"/>
      <c r="O39" s="9"/>
    </row>
    <row r="40" spans="1:15" x14ac:dyDescent="0.25">
      <c r="A40" s="9" t="s">
        <v>10</v>
      </c>
      <c r="B40" s="9" t="s">
        <v>28</v>
      </c>
      <c r="C40" s="9" t="s">
        <v>19</v>
      </c>
      <c r="D40" s="9" t="s">
        <v>15</v>
      </c>
      <c r="E40" s="9">
        <v>2012</v>
      </c>
      <c r="F40" s="44">
        <f t="shared" si="0"/>
        <v>4441.0118944428586</v>
      </c>
      <c r="G40" s="38">
        <v>4441.6333990221146</v>
      </c>
      <c r="H40" s="38">
        <v>4311.6288106887332</v>
      </c>
      <c r="I40" s="38">
        <v>4570.4431627783524</v>
      </c>
      <c r="J40" s="24">
        <v>4750.2533901410407</v>
      </c>
      <c r="K40" s="9">
        <v>0.93489999999999995</v>
      </c>
      <c r="L40" s="9"/>
      <c r="M40" s="9"/>
      <c r="O40" s="9"/>
    </row>
    <row r="41" spans="1:15" x14ac:dyDescent="0.25">
      <c r="A41" s="9" t="s">
        <v>10</v>
      </c>
      <c r="B41" s="9" t="s">
        <v>28</v>
      </c>
      <c r="C41" s="9" t="s">
        <v>20</v>
      </c>
      <c r="D41" s="9" t="s">
        <v>15</v>
      </c>
      <c r="E41" s="9">
        <v>2012</v>
      </c>
      <c r="F41" s="44">
        <f t="shared" si="0"/>
        <v>1461.275902668302</v>
      </c>
      <c r="G41" s="38">
        <v>1461.2343714494261</v>
      </c>
      <c r="H41" s="38">
        <v>1386.3076475953758</v>
      </c>
      <c r="I41" s="38">
        <v>1536.2655349084894</v>
      </c>
      <c r="J41" s="24">
        <v>1563.0290968748552</v>
      </c>
      <c r="K41" s="9">
        <v>0.93489999999999995</v>
      </c>
      <c r="L41" s="9"/>
      <c r="M41" s="9"/>
      <c r="O41" s="9"/>
    </row>
    <row r="42" spans="1:15" x14ac:dyDescent="0.25">
      <c r="A42" s="9" t="s">
        <v>21</v>
      </c>
      <c r="B42" s="9" t="s">
        <v>24</v>
      </c>
      <c r="C42" s="9" t="s">
        <v>11</v>
      </c>
      <c r="D42" s="9" t="s">
        <v>11</v>
      </c>
      <c r="E42" s="9">
        <v>2012</v>
      </c>
      <c r="F42" s="44">
        <f t="shared" si="0"/>
        <v>679.19295254333622</v>
      </c>
      <c r="G42" s="38"/>
      <c r="H42" s="38"/>
      <c r="I42" s="38"/>
      <c r="J42" s="3">
        <v>704</v>
      </c>
      <c r="K42" s="9">
        <v>0.96476271668087532</v>
      </c>
      <c r="L42" s="9"/>
      <c r="M42" s="9"/>
      <c r="O42" s="9"/>
    </row>
    <row r="43" spans="1:15" x14ac:dyDescent="0.25">
      <c r="A43" s="9" t="s">
        <v>21</v>
      </c>
      <c r="B43" s="9" t="s">
        <v>24</v>
      </c>
      <c r="C43" s="9" t="s">
        <v>31</v>
      </c>
      <c r="D43" s="9" t="s">
        <v>11</v>
      </c>
      <c r="E43" s="9">
        <v>2012</v>
      </c>
      <c r="F43" s="44">
        <f t="shared" si="0"/>
        <v>94.380606363652007</v>
      </c>
      <c r="G43" s="38">
        <v>94.418051096261919</v>
      </c>
      <c r="H43" s="38">
        <v>76.140042367036955</v>
      </c>
      <c r="I43" s="38">
        <v>114.35924338144288</v>
      </c>
      <c r="J43" s="24">
        <v>97.827791986359756</v>
      </c>
      <c r="K43" s="9">
        <v>0.96476271668087532</v>
      </c>
      <c r="L43" s="9"/>
      <c r="M43" s="9"/>
      <c r="O43" s="9"/>
    </row>
    <row r="44" spans="1:15" x14ac:dyDescent="0.25">
      <c r="A44" s="9" t="s">
        <v>21</v>
      </c>
      <c r="B44" s="9" t="s">
        <v>24</v>
      </c>
      <c r="C44" s="9" t="s">
        <v>19</v>
      </c>
      <c r="D44" s="9" t="s">
        <v>11</v>
      </c>
      <c r="E44" s="9">
        <v>2012</v>
      </c>
      <c r="F44" s="44">
        <f t="shared" si="0"/>
        <v>261.13897834360154</v>
      </c>
      <c r="G44" s="38">
        <v>260.99218266289222</v>
      </c>
      <c r="H44" s="38">
        <v>230.36289834245042</v>
      </c>
      <c r="I44" s="38">
        <v>293.50402055535142</v>
      </c>
      <c r="J44" s="24">
        <v>270.67689684569478</v>
      </c>
      <c r="K44" s="9">
        <v>0.96476271668087532</v>
      </c>
      <c r="L44" s="9"/>
      <c r="M44" s="9"/>
      <c r="N44" s="8"/>
      <c r="O44" s="9"/>
    </row>
    <row r="45" spans="1:15" x14ac:dyDescent="0.25">
      <c r="A45" s="9" t="s">
        <v>21</v>
      </c>
      <c r="B45" s="9" t="s">
        <v>24</v>
      </c>
      <c r="C45" s="9" t="s">
        <v>20</v>
      </c>
      <c r="D45" s="9" t="s">
        <v>11</v>
      </c>
      <c r="E45" s="9">
        <v>2012</v>
      </c>
      <c r="F45" s="44">
        <f t="shared" si="0"/>
        <v>323.67336783608266</v>
      </c>
      <c r="G45" s="38">
        <v>323.6005757465166</v>
      </c>
      <c r="H45" s="38">
        <v>289.29901259010001</v>
      </c>
      <c r="I45" s="38">
        <v>359.28208833979124</v>
      </c>
      <c r="J45" s="24">
        <v>335.49531116794543</v>
      </c>
      <c r="K45" s="9">
        <v>0.96476271668087532</v>
      </c>
      <c r="L45" s="9"/>
      <c r="M45" s="9"/>
      <c r="O45" s="9"/>
    </row>
    <row r="46" spans="1:15" x14ac:dyDescent="0.25">
      <c r="A46" s="9" t="s">
        <v>21</v>
      </c>
      <c r="B46" s="9" t="s">
        <v>26</v>
      </c>
      <c r="C46" s="9" t="s">
        <v>11</v>
      </c>
      <c r="D46" s="9" t="s">
        <v>11</v>
      </c>
      <c r="E46" s="9">
        <v>2012</v>
      </c>
      <c r="F46" s="44">
        <f t="shared" si="0"/>
        <v>19.295254333617507</v>
      </c>
      <c r="G46" s="38"/>
      <c r="H46" s="38"/>
      <c r="I46" s="38"/>
      <c r="J46" s="3">
        <f>SUM(J47:J52)</f>
        <v>20</v>
      </c>
      <c r="K46" s="9">
        <v>0.96476271668087532</v>
      </c>
      <c r="L46" s="9"/>
      <c r="M46" s="9"/>
      <c r="O46" s="9"/>
    </row>
    <row r="47" spans="1:15" x14ac:dyDescent="0.25">
      <c r="A47" s="9" t="s">
        <v>21</v>
      </c>
      <c r="B47" s="9" t="s">
        <v>26</v>
      </c>
      <c r="C47" s="9" t="s">
        <v>31</v>
      </c>
      <c r="D47" s="9" t="s">
        <v>12</v>
      </c>
      <c r="E47" s="9">
        <v>2012</v>
      </c>
      <c r="F47" s="44">
        <f t="shared" si="0"/>
        <v>1.0725068904960455</v>
      </c>
      <c r="G47" s="38">
        <v>1.0793840692655805</v>
      </c>
      <c r="H47" s="38">
        <v>3.3505790676817533E-2</v>
      </c>
      <c r="I47" s="38">
        <v>3.9335115119283866</v>
      </c>
      <c r="J47" s="24">
        <v>1.1116794543904518</v>
      </c>
      <c r="K47" s="9">
        <v>0.96476271668087532</v>
      </c>
      <c r="L47" s="9"/>
      <c r="M47" s="9"/>
      <c r="O47" s="9"/>
    </row>
    <row r="48" spans="1:15" x14ac:dyDescent="0.25">
      <c r="A48" s="9" t="s">
        <v>21</v>
      </c>
      <c r="B48" s="9" t="s">
        <v>26</v>
      </c>
      <c r="C48" s="9" t="s">
        <v>19</v>
      </c>
      <c r="D48" s="9" t="s">
        <v>12</v>
      </c>
      <c r="E48" s="9">
        <v>2012</v>
      </c>
      <c r="F48" s="44">
        <f t="shared" si="0"/>
        <v>2.9674883902681994</v>
      </c>
      <c r="G48" s="38">
        <v>2.9467991395376636</v>
      </c>
      <c r="H48" s="38">
        <v>0.59749333606156441</v>
      </c>
      <c r="I48" s="38">
        <v>7.034995482074887</v>
      </c>
      <c r="J48" s="24">
        <v>3.0758738277919861</v>
      </c>
      <c r="K48" s="9">
        <v>0.96476271668087532</v>
      </c>
      <c r="L48" s="9"/>
      <c r="M48" s="9"/>
      <c r="O48" s="9"/>
    </row>
    <row r="49" spans="1:15" x14ac:dyDescent="0.25">
      <c r="A49" s="9" t="s">
        <v>21</v>
      </c>
      <c r="B49" s="9" t="s">
        <v>26</v>
      </c>
      <c r="C49" s="9" t="s">
        <v>20</v>
      </c>
      <c r="D49" s="9" t="s">
        <v>12</v>
      </c>
      <c r="E49" s="9">
        <v>2012</v>
      </c>
      <c r="F49" s="44">
        <f t="shared" si="0"/>
        <v>3.6781064526827576</v>
      </c>
      <c r="G49" s="38">
        <v>3.6757128179749632</v>
      </c>
      <c r="H49" s="38">
        <v>0.88354654181065118</v>
      </c>
      <c r="I49" s="38">
        <v>8.4209081979267228</v>
      </c>
      <c r="J49" s="24">
        <v>3.8124467178175618</v>
      </c>
      <c r="K49" s="9">
        <v>0.96476271668087532</v>
      </c>
      <c r="L49" s="9"/>
      <c r="M49" s="9"/>
      <c r="O49" s="9"/>
    </row>
    <row r="50" spans="1:15" x14ac:dyDescent="0.25">
      <c r="A50" s="9" t="s">
        <v>21</v>
      </c>
      <c r="B50" s="9" t="s">
        <v>26</v>
      </c>
      <c r="C50" s="9" t="s">
        <v>31</v>
      </c>
      <c r="D50" s="9" t="s">
        <v>15</v>
      </c>
      <c r="E50" s="9">
        <v>2012</v>
      </c>
      <c r="F50" s="44">
        <f t="shared" si="0"/>
        <v>1.6087603357440681</v>
      </c>
      <c r="G50" s="38">
        <v>1.6093932023230237</v>
      </c>
      <c r="H50" s="38">
        <v>0.12988544088728046</v>
      </c>
      <c r="I50" s="38">
        <v>4.9155368655125526</v>
      </c>
      <c r="J50" s="24">
        <v>1.6675191815856776</v>
      </c>
      <c r="K50" s="9">
        <v>0.96476271668087532</v>
      </c>
      <c r="L50" s="9"/>
      <c r="M50" s="9"/>
      <c r="O50" s="9"/>
    </row>
    <row r="51" spans="1:15" x14ac:dyDescent="0.25">
      <c r="A51" s="9" t="s">
        <v>21</v>
      </c>
      <c r="B51" s="9" t="s">
        <v>26</v>
      </c>
      <c r="C51" s="9" t="s">
        <v>19</v>
      </c>
      <c r="D51" s="9" t="s">
        <v>15</v>
      </c>
      <c r="E51" s="9">
        <v>2012</v>
      </c>
      <c r="F51" s="44">
        <f t="shared" si="0"/>
        <v>4.4512325854022992</v>
      </c>
      <c r="G51" s="38">
        <v>4.4531708225919271</v>
      </c>
      <c r="H51" s="38">
        <v>1.3430216563108694</v>
      </c>
      <c r="I51" s="38">
        <v>9.4210122670583711</v>
      </c>
      <c r="J51" s="24">
        <v>4.6138107416879794</v>
      </c>
      <c r="K51" s="9">
        <v>0.96476271668087532</v>
      </c>
      <c r="L51" s="9"/>
      <c r="M51" s="9"/>
      <c r="O51" s="9"/>
    </row>
    <row r="52" spans="1:15" x14ac:dyDescent="0.25">
      <c r="A52" s="9" t="s">
        <v>21</v>
      </c>
      <c r="B52" s="9" t="s">
        <v>26</v>
      </c>
      <c r="C52" s="9" t="s">
        <v>20</v>
      </c>
      <c r="D52" s="9" t="s">
        <v>15</v>
      </c>
      <c r="E52" s="9">
        <v>2012</v>
      </c>
      <c r="F52" s="44">
        <f t="shared" si="0"/>
        <v>5.517159679024136</v>
      </c>
      <c r="G52" s="38">
        <v>5.5336117277399586</v>
      </c>
      <c r="H52" s="38">
        <v>1.9027370330074098</v>
      </c>
      <c r="I52" s="38">
        <v>10.964292363989973</v>
      </c>
      <c r="J52" s="24">
        <v>5.718670076726343</v>
      </c>
      <c r="K52" s="9">
        <v>0.96476271668087532</v>
      </c>
      <c r="L52" s="9"/>
      <c r="M52" s="9"/>
      <c r="O52" s="9"/>
    </row>
    <row r="53" spans="1:15" x14ac:dyDescent="0.25">
      <c r="A53" s="9" t="s">
        <v>21</v>
      </c>
      <c r="B53" s="9" t="s">
        <v>27</v>
      </c>
      <c r="C53" s="11" t="s">
        <v>11</v>
      </c>
      <c r="D53" s="9" t="s">
        <v>11</v>
      </c>
      <c r="E53" s="9">
        <v>2012</v>
      </c>
      <c r="F53" s="44">
        <f t="shared" si="0"/>
        <v>10.612389883489628</v>
      </c>
      <c r="G53" s="38"/>
      <c r="H53" s="38"/>
      <c r="I53" s="38"/>
      <c r="J53" s="3">
        <v>11</v>
      </c>
      <c r="K53" s="9">
        <v>0.96476271668087532</v>
      </c>
      <c r="L53" s="9"/>
      <c r="M53" s="9"/>
      <c r="O53" s="9"/>
    </row>
    <row r="54" spans="1:15" x14ac:dyDescent="0.25">
      <c r="A54" s="9" t="s">
        <v>21</v>
      </c>
      <c r="B54" s="9" t="s">
        <v>27</v>
      </c>
      <c r="C54" s="9" t="s">
        <v>31</v>
      </c>
      <c r="D54" s="9" t="s">
        <v>11</v>
      </c>
      <c r="E54" s="9">
        <v>2012</v>
      </c>
      <c r="F54" s="44">
        <f t="shared" si="0"/>
        <v>1.4746969744320626</v>
      </c>
      <c r="G54" s="38">
        <v>1.480218432576998</v>
      </c>
      <c r="H54" s="38">
        <v>0.10500717873531924</v>
      </c>
      <c r="I54" s="38">
        <v>4.5950136041222525</v>
      </c>
      <c r="J54" s="24">
        <v>1.5285592497868712</v>
      </c>
      <c r="K54" s="9">
        <v>0.96476271668087532</v>
      </c>
      <c r="L54" s="9"/>
      <c r="M54" s="9"/>
      <c r="O54" s="9"/>
    </row>
    <row r="55" spans="1:15" x14ac:dyDescent="0.25">
      <c r="A55" s="9" t="s">
        <v>21</v>
      </c>
      <c r="B55" s="9" t="s">
        <v>27</v>
      </c>
      <c r="C55" s="9" t="s">
        <v>19</v>
      </c>
      <c r="D55" s="9" t="s">
        <v>11</v>
      </c>
      <c r="E55" s="9">
        <v>2012</v>
      </c>
      <c r="F55" s="44">
        <f t="shared" si="0"/>
        <v>4.080296536618774</v>
      </c>
      <c r="G55" s="38">
        <v>4.0685856863260561</v>
      </c>
      <c r="H55" s="38">
        <v>1.1051557256670803</v>
      </c>
      <c r="I55" s="38">
        <v>8.7472340566603837</v>
      </c>
      <c r="J55" s="24">
        <v>4.229326513213981</v>
      </c>
      <c r="K55" s="9">
        <v>0.96476271668087532</v>
      </c>
      <c r="L55" s="9"/>
      <c r="M55" s="9"/>
      <c r="O55" s="9"/>
    </row>
    <row r="56" spans="1:15" x14ac:dyDescent="0.25">
      <c r="A56" s="9" t="s">
        <v>21</v>
      </c>
      <c r="B56" s="9" t="s">
        <v>27</v>
      </c>
      <c r="C56" s="9" t="s">
        <v>20</v>
      </c>
      <c r="D56" s="9" t="s">
        <v>11</v>
      </c>
      <c r="E56" s="9">
        <v>2012</v>
      </c>
      <c r="F56" s="44">
        <f t="shared" si="0"/>
        <v>5.0573963724387916</v>
      </c>
      <c r="G56" s="38">
        <v>5.0546759273032</v>
      </c>
      <c r="H56" s="38">
        <v>1.6818222459527372</v>
      </c>
      <c r="I56" s="38">
        <v>10.22861687269452</v>
      </c>
      <c r="J56" s="24">
        <v>5.2421142369991474</v>
      </c>
      <c r="K56" s="9">
        <v>0.96476271668087532</v>
      </c>
      <c r="L56" s="9"/>
      <c r="M56" s="9"/>
      <c r="O56" s="9"/>
    </row>
    <row r="57" spans="1:15" x14ac:dyDescent="0.25">
      <c r="A57" s="9" t="s">
        <v>21</v>
      </c>
      <c r="B57" s="9" t="s">
        <v>28</v>
      </c>
      <c r="C57" s="11" t="s">
        <v>11</v>
      </c>
      <c r="D57" s="9" t="s">
        <v>11</v>
      </c>
      <c r="E57" s="9">
        <v>2012</v>
      </c>
      <c r="F57" s="44">
        <f t="shared" si="0"/>
        <v>422.56606990622339</v>
      </c>
      <c r="G57" s="38"/>
      <c r="H57" s="38"/>
      <c r="I57" s="38"/>
      <c r="J57" s="3">
        <f>SUM(J58:J63)</f>
        <v>438</v>
      </c>
      <c r="K57" s="9">
        <v>0.96476271668087532</v>
      </c>
      <c r="L57" s="9"/>
      <c r="M57" s="9"/>
      <c r="O57" s="9"/>
    </row>
    <row r="58" spans="1:15" x14ac:dyDescent="0.25">
      <c r="A58" s="9" t="s">
        <v>21</v>
      </c>
      <c r="B58" s="9" t="s">
        <v>28</v>
      </c>
      <c r="C58" s="9" t="s">
        <v>31</v>
      </c>
      <c r="D58" s="9" t="s">
        <v>12</v>
      </c>
      <c r="E58" s="9">
        <v>2012</v>
      </c>
      <c r="F58" s="44">
        <f t="shared" si="0"/>
        <v>26.678608901089131</v>
      </c>
      <c r="G58" s="38">
        <v>26.731572011323561</v>
      </c>
      <c r="H58" s="38">
        <v>17.496214368155336</v>
      </c>
      <c r="I58" s="38">
        <v>37.520696597979025</v>
      </c>
      <c r="J58" s="24">
        <v>27.653026427962487</v>
      </c>
      <c r="K58" s="9">
        <v>0.96476271668087532</v>
      </c>
      <c r="L58" s="9"/>
      <c r="M58" s="9"/>
      <c r="O58" s="9"/>
    </row>
    <row r="59" spans="1:15" x14ac:dyDescent="0.25">
      <c r="A59" s="9" t="s">
        <v>21</v>
      </c>
      <c r="B59" s="9" t="s">
        <v>28</v>
      </c>
      <c r="C59" s="9" t="s">
        <v>19</v>
      </c>
      <c r="D59" s="9" t="s">
        <v>12</v>
      </c>
      <c r="E59" s="9">
        <v>2012</v>
      </c>
      <c r="F59" s="44">
        <f t="shared" si="0"/>
        <v>73.816273707921468</v>
      </c>
      <c r="G59" s="38">
        <v>73.850100380720349</v>
      </c>
      <c r="H59" s="38">
        <v>57.726294038516556</v>
      </c>
      <c r="I59" s="38">
        <v>92.415412520755936</v>
      </c>
      <c r="J59" s="24">
        <v>76.512361466325657</v>
      </c>
      <c r="K59" s="9">
        <v>0.96476271668087532</v>
      </c>
      <c r="L59" s="9"/>
      <c r="M59" s="9"/>
      <c r="O59" s="9"/>
    </row>
    <row r="60" spans="1:15" x14ac:dyDescent="0.25">
      <c r="A60" s="9" t="s">
        <v>21</v>
      </c>
      <c r="B60" s="9" t="s">
        <v>28</v>
      </c>
      <c r="C60" s="9" t="s">
        <v>20</v>
      </c>
      <c r="D60" s="9" t="s">
        <v>12</v>
      </c>
      <c r="E60" s="9">
        <v>2012</v>
      </c>
      <c r="F60" s="44">
        <f t="shared" si="0"/>
        <v>91.4928980104836</v>
      </c>
      <c r="G60" s="38">
        <v>91.452752744799483</v>
      </c>
      <c r="H60" s="38">
        <v>73.69300983276085</v>
      </c>
      <c r="I60" s="38">
        <v>110.97629371733154</v>
      </c>
      <c r="J60" s="24">
        <v>94.834612105711855</v>
      </c>
      <c r="K60" s="9">
        <v>0.96476271668087532</v>
      </c>
      <c r="L60" s="9"/>
      <c r="M60" s="9"/>
      <c r="O60" s="9"/>
    </row>
    <row r="61" spans="1:15" x14ac:dyDescent="0.25">
      <c r="A61" s="9" t="s">
        <v>21</v>
      </c>
      <c r="B61" s="9" t="s">
        <v>28</v>
      </c>
      <c r="C61" s="9" t="s">
        <v>31</v>
      </c>
      <c r="D61" s="9" t="s">
        <v>15</v>
      </c>
      <c r="E61" s="9">
        <v>2012</v>
      </c>
      <c r="F61" s="44">
        <f t="shared" si="0"/>
        <v>32.04114335356936</v>
      </c>
      <c r="G61" s="38">
        <v>32.044905851964657</v>
      </c>
      <c r="H61" s="38">
        <v>21.955284796340237</v>
      </c>
      <c r="I61" s="38">
        <v>44.066857302825071</v>
      </c>
      <c r="J61" s="24">
        <v>33.211423699914747</v>
      </c>
      <c r="K61" s="9">
        <v>0.96476271668087532</v>
      </c>
      <c r="L61" s="9"/>
      <c r="M61" s="9"/>
      <c r="O61" s="9"/>
    </row>
    <row r="62" spans="1:15" x14ac:dyDescent="0.25">
      <c r="A62" s="9" t="s">
        <v>21</v>
      </c>
      <c r="B62" s="9" t="s">
        <v>28</v>
      </c>
      <c r="C62" s="9" t="s">
        <v>19</v>
      </c>
      <c r="D62" s="9" t="s">
        <v>15</v>
      </c>
      <c r="E62" s="9">
        <v>2012</v>
      </c>
      <c r="F62" s="44">
        <f t="shared" si="0"/>
        <v>88.65371565926246</v>
      </c>
      <c r="G62" s="38">
        <v>88.735667886182</v>
      </c>
      <c r="H62" s="38">
        <v>71.387373824419768</v>
      </c>
      <c r="I62" s="38">
        <v>108.0599042250399</v>
      </c>
      <c r="J62" s="24">
        <v>91.891730605285588</v>
      </c>
      <c r="K62" s="9">
        <v>0.96476271668087532</v>
      </c>
      <c r="L62" s="9"/>
      <c r="M62" s="9"/>
      <c r="O62" s="9"/>
    </row>
    <row r="63" spans="1:15" x14ac:dyDescent="0.25">
      <c r="A63" s="9" t="s">
        <v>21</v>
      </c>
      <c r="B63" s="9" t="s">
        <v>28</v>
      </c>
      <c r="C63" s="9" t="s">
        <v>20</v>
      </c>
      <c r="D63" s="9" t="s">
        <v>15</v>
      </c>
      <c r="E63" s="9">
        <v>2012</v>
      </c>
      <c r="F63" s="44">
        <f t="shared" si="0"/>
        <v>109.88343027389739</v>
      </c>
      <c r="G63" s="38">
        <v>109.77193979369981</v>
      </c>
      <c r="H63" s="38">
        <v>89.921977957214438</v>
      </c>
      <c r="I63" s="38">
        <v>131.24300064864943</v>
      </c>
      <c r="J63" s="24">
        <v>113.89684569479967</v>
      </c>
      <c r="K63" s="9">
        <v>0.96476271668087532</v>
      </c>
      <c r="L63" s="9"/>
      <c r="M63" s="9"/>
      <c r="O63" s="9"/>
    </row>
    <row r="64" spans="1:15" x14ac:dyDescent="0.25">
      <c r="A64" s="9" t="s">
        <v>22</v>
      </c>
      <c r="B64" s="9" t="s">
        <v>11</v>
      </c>
      <c r="C64" s="9" t="s">
        <v>11</v>
      </c>
      <c r="D64" s="9" t="s">
        <v>11</v>
      </c>
      <c r="E64" s="9">
        <v>2012</v>
      </c>
      <c r="F64" s="44">
        <f>F65+F68+F71</f>
        <v>416.42446389406211</v>
      </c>
      <c r="G64" s="38">
        <v>416.33539999999999</v>
      </c>
      <c r="H64" s="38">
        <v>376</v>
      </c>
      <c r="I64" s="38">
        <v>458</v>
      </c>
      <c r="J64" s="11"/>
      <c r="K64" s="9"/>
      <c r="L64" s="9"/>
      <c r="M64" s="9"/>
      <c r="O64" s="9"/>
    </row>
    <row r="65" spans="1:15" x14ac:dyDescent="0.25">
      <c r="A65" s="9" t="s">
        <v>22</v>
      </c>
      <c r="B65" s="9" t="s">
        <v>11</v>
      </c>
      <c r="C65" s="11" t="s">
        <v>31</v>
      </c>
      <c r="D65" s="9" t="s">
        <v>11</v>
      </c>
      <c r="E65" s="9">
        <v>2012</v>
      </c>
      <c r="F65" s="44">
        <f t="shared" si="0"/>
        <v>58.363810503002114</v>
      </c>
      <c r="G65" s="38"/>
      <c r="H65" s="38"/>
      <c r="I65" s="38"/>
      <c r="J65" s="3">
        <v>68.627843447028482</v>
      </c>
      <c r="K65" s="9">
        <v>0.85043923240938168</v>
      </c>
      <c r="L65" s="9"/>
      <c r="M65" s="9"/>
      <c r="O65" s="9"/>
    </row>
    <row r="66" spans="1:15" x14ac:dyDescent="0.25">
      <c r="A66" s="9" t="s">
        <v>22</v>
      </c>
      <c r="B66" s="9" t="s">
        <v>11</v>
      </c>
      <c r="C66" s="11" t="s">
        <v>31</v>
      </c>
      <c r="D66" s="11" t="s">
        <v>12</v>
      </c>
      <c r="E66" s="9">
        <v>2012</v>
      </c>
      <c r="F66" s="44">
        <f t="shared" si="0"/>
        <v>33.350748858858353</v>
      </c>
      <c r="G66" s="38">
        <v>33.345655126948728</v>
      </c>
      <c r="H66" s="38">
        <v>23.121118283100834</v>
      </c>
      <c r="I66" s="38">
        <v>45.789395092708816</v>
      </c>
      <c r="J66" s="3">
        <v>39.215910541159133</v>
      </c>
      <c r="K66" s="9">
        <v>0.85043923240938168</v>
      </c>
      <c r="L66" s="9"/>
      <c r="M66" s="9"/>
      <c r="O66" s="9"/>
    </row>
    <row r="67" spans="1:15" x14ac:dyDescent="0.25">
      <c r="A67" s="9" t="s">
        <v>22</v>
      </c>
      <c r="B67" s="9" t="s">
        <v>11</v>
      </c>
      <c r="C67" s="11" t="s">
        <v>31</v>
      </c>
      <c r="D67" s="11" t="s">
        <v>15</v>
      </c>
      <c r="E67" s="9">
        <v>2012</v>
      </c>
      <c r="F67" s="44">
        <f t="shared" si="0"/>
        <v>25.013061644143765</v>
      </c>
      <c r="G67" s="38">
        <v>25.032992162654935</v>
      </c>
      <c r="H67" s="38">
        <v>16.065162967126074</v>
      </c>
      <c r="I67" s="38">
        <v>125.80503581493851</v>
      </c>
      <c r="J67" s="3">
        <v>29.411932905869349</v>
      </c>
      <c r="K67" s="9">
        <v>0.85043923240938168</v>
      </c>
      <c r="L67" s="9"/>
      <c r="M67" s="9"/>
      <c r="O67" s="9"/>
    </row>
    <row r="68" spans="1:15" x14ac:dyDescent="0.25">
      <c r="A68" s="9" t="s">
        <v>22</v>
      </c>
      <c r="B68" s="9" t="s">
        <v>11</v>
      </c>
      <c r="C68" s="9" t="s">
        <v>19</v>
      </c>
      <c r="D68" s="9" t="s">
        <v>11</v>
      </c>
      <c r="E68" s="9">
        <v>2012</v>
      </c>
      <c r="F68" s="44">
        <f t="shared" si="0"/>
        <v>242.05604500212456</v>
      </c>
      <c r="G68" s="38"/>
      <c r="H68" s="38"/>
      <c r="I68" s="38"/>
      <c r="J68" s="3">
        <v>284.6247395200183</v>
      </c>
      <c r="K68" s="9">
        <v>0.85043923240938168</v>
      </c>
      <c r="L68" s="9"/>
      <c r="M68" s="9"/>
      <c r="N68" s="9"/>
      <c r="O68" s="9"/>
    </row>
    <row r="69" spans="1:15" x14ac:dyDescent="0.25">
      <c r="A69" s="9" t="s">
        <v>22</v>
      </c>
      <c r="B69" s="9" t="s">
        <v>11</v>
      </c>
      <c r="C69" s="9" t="s">
        <v>19</v>
      </c>
      <c r="D69" s="11" t="s">
        <v>12</v>
      </c>
      <c r="E69" s="9">
        <v>2012</v>
      </c>
      <c r="F69" s="44">
        <f>J69*K69</f>
        <v>136.97745182290768</v>
      </c>
      <c r="G69" s="38">
        <v>136.90608918556782</v>
      </c>
      <c r="H69" s="38">
        <v>114.91692919123379</v>
      </c>
      <c r="I69" s="38">
        <v>35.833852212787299</v>
      </c>
      <c r="J69" s="3">
        <v>161.06671306171577</v>
      </c>
      <c r="K69" s="9">
        <v>0.85043923240938168</v>
      </c>
      <c r="L69" s="9"/>
      <c r="M69" s="9"/>
      <c r="N69" s="9"/>
      <c r="O69" s="9"/>
    </row>
    <row r="70" spans="1:15" x14ac:dyDescent="0.25">
      <c r="A70" s="9" t="s">
        <v>22</v>
      </c>
      <c r="B70" s="9" t="s">
        <v>11</v>
      </c>
      <c r="C70" s="9" t="s">
        <v>19</v>
      </c>
      <c r="D70" s="11" t="s">
        <v>15</v>
      </c>
      <c r="E70" s="9">
        <v>2012</v>
      </c>
      <c r="F70" s="44">
        <f t="shared" si="0"/>
        <v>105.07859317921685</v>
      </c>
      <c r="G70" s="38">
        <v>105.02063493537672</v>
      </c>
      <c r="H70" s="38">
        <v>86.202807277681572</v>
      </c>
      <c r="I70" s="38">
        <v>121.36844248322717</v>
      </c>
      <c r="J70" s="3">
        <v>123.55802645830251</v>
      </c>
      <c r="K70" s="9">
        <v>0.85043923240938168</v>
      </c>
      <c r="L70" s="9"/>
      <c r="M70" s="9"/>
      <c r="N70" s="9"/>
      <c r="O70" s="9"/>
    </row>
    <row r="71" spans="1:15" x14ac:dyDescent="0.25">
      <c r="A71" s="9" t="s">
        <v>22</v>
      </c>
      <c r="B71" s="9" t="s">
        <v>11</v>
      </c>
      <c r="C71" s="11" t="s">
        <v>20</v>
      </c>
      <c r="D71" s="9" t="s">
        <v>11</v>
      </c>
      <c r="E71" s="9">
        <v>2012</v>
      </c>
      <c r="F71" s="44">
        <f t="shared" si="0"/>
        <v>116.00460838893545</v>
      </c>
      <c r="G71" s="38"/>
      <c r="H71" s="38"/>
      <c r="I71" s="38"/>
      <c r="J71" s="3">
        <v>136.40552313218487</v>
      </c>
      <c r="K71" s="9">
        <v>0.85043923240938168</v>
      </c>
      <c r="L71" s="9"/>
      <c r="M71" s="9"/>
      <c r="N71" s="9"/>
      <c r="O71" s="9"/>
    </row>
    <row r="72" spans="1:15" x14ac:dyDescent="0.25">
      <c r="A72" s="9" t="s">
        <v>22</v>
      </c>
      <c r="B72" s="9" t="s">
        <v>11</v>
      </c>
      <c r="C72" s="11" t="s">
        <v>20</v>
      </c>
      <c r="D72" s="11" t="s">
        <v>12</v>
      </c>
      <c r="E72" s="9">
        <v>2012</v>
      </c>
      <c r="F72" s="44">
        <f t="shared" si="0"/>
        <v>100.38860341350184</v>
      </c>
      <c r="G72" s="38">
        <v>100.35824203653736</v>
      </c>
      <c r="H72" s="38">
        <v>81.824911874859865</v>
      </c>
      <c r="I72" s="38">
        <v>160.50526258454613</v>
      </c>
      <c r="J72" s="3">
        <v>118.04324117208306</v>
      </c>
      <c r="K72" s="9">
        <v>0.85043923240938168</v>
      </c>
      <c r="L72" s="9"/>
      <c r="M72" s="9"/>
      <c r="N72" s="9"/>
      <c r="O72" s="9"/>
    </row>
    <row r="73" spans="1:15" x14ac:dyDescent="0.25">
      <c r="A73" s="9" t="s">
        <v>22</v>
      </c>
      <c r="B73" s="9" t="s">
        <v>11</v>
      </c>
      <c r="C73" s="11" t="s">
        <v>20</v>
      </c>
      <c r="D73" s="11" t="s">
        <v>15</v>
      </c>
      <c r="E73" s="9">
        <v>2012</v>
      </c>
      <c r="F73" s="44">
        <f t="shared" si="0"/>
        <v>15.616004975433617</v>
      </c>
      <c r="G73" s="38">
        <v>15.671786552914458</v>
      </c>
      <c r="H73" s="38">
        <v>8.8685633255013929</v>
      </c>
      <c r="I73" s="38">
        <v>24.212864979780033</v>
      </c>
      <c r="J73" s="3">
        <v>18.362281960101807</v>
      </c>
      <c r="K73" s="9">
        <v>0.85043923240938168</v>
      </c>
      <c r="L73" s="9"/>
      <c r="M73" s="9"/>
      <c r="N73" s="9"/>
      <c r="O73" s="9"/>
    </row>
    <row r="74" spans="1:15" x14ac:dyDescent="0.25">
      <c r="A74" s="52" t="s">
        <v>22</v>
      </c>
      <c r="B74" s="52" t="s">
        <v>24</v>
      </c>
      <c r="C74" s="52" t="s">
        <v>11</v>
      </c>
      <c r="D74" s="52" t="s">
        <v>11</v>
      </c>
      <c r="E74" s="52">
        <v>2012</v>
      </c>
      <c r="F74" s="51">
        <f t="shared" si="0"/>
        <v>0</v>
      </c>
      <c r="G74" s="66"/>
      <c r="H74" s="66"/>
      <c r="I74" s="66"/>
      <c r="J74" s="52"/>
      <c r="K74" s="52"/>
      <c r="L74" s="9"/>
      <c r="M74" s="9"/>
      <c r="N74" s="9"/>
      <c r="O74" s="9"/>
    </row>
    <row r="75" spans="1:15" x14ac:dyDescent="0.25">
      <c r="A75" s="52" t="s">
        <v>22</v>
      </c>
      <c r="B75" s="52" t="s">
        <v>24</v>
      </c>
      <c r="C75" s="52" t="s">
        <v>31</v>
      </c>
      <c r="D75" s="52" t="s">
        <v>11</v>
      </c>
      <c r="E75" s="52">
        <v>2012</v>
      </c>
      <c r="F75" s="51">
        <f t="shared" si="0"/>
        <v>0</v>
      </c>
      <c r="G75" s="66"/>
      <c r="H75" s="66"/>
      <c r="I75" s="66"/>
      <c r="J75" s="52"/>
      <c r="K75" s="52"/>
      <c r="L75" s="9"/>
      <c r="M75" s="9"/>
      <c r="N75" s="9"/>
      <c r="O75" s="9"/>
    </row>
    <row r="76" spans="1:15" x14ac:dyDescent="0.25">
      <c r="A76" s="52" t="s">
        <v>22</v>
      </c>
      <c r="B76" s="52" t="s">
        <v>24</v>
      </c>
      <c r="C76" s="52" t="s">
        <v>19</v>
      </c>
      <c r="D76" s="52" t="s">
        <v>11</v>
      </c>
      <c r="E76" s="52">
        <v>2012</v>
      </c>
      <c r="F76" s="51">
        <f t="shared" si="0"/>
        <v>0</v>
      </c>
      <c r="G76" s="66"/>
      <c r="H76" s="66"/>
      <c r="I76" s="66"/>
      <c r="J76" s="52"/>
      <c r="K76" s="52"/>
      <c r="L76" s="9"/>
      <c r="M76" s="9"/>
      <c r="N76" s="9"/>
      <c r="O76" s="9"/>
    </row>
    <row r="77" spans="1:15" x14ac:dyDescent="0.25">
      <c r="A77" s="52" t="s">
        <v>22</v>
      </c>
      <c r="B77" s="52" t="s">
        <v>24</v>
      </c>
      <c r="C77" s="52" t="s">
        <v>20</v>
      </c>
      <c r="D77" s="52" t="s">
        <v>11</v>
      </c>
      <c r="E77" s="52">
        <v>2012</v>
      </c>
      <c r="F77" s="51">
        <f t="shared" si="0"/>
        <v>0</v>
      </c>
      <c r="G77" s="66"/>
      <c r="H77" s="66"/>
      <c r="I77" s="66"/>
      <c r="J77" s="52"/>
      <c r="K77" s="52"/>
      <c r="L77" s="9"/>
      <c r="M77" s="9"/>
      <c r="N77" s="9"/>
      <c r="O77" s="9"/>
    </row>
    <row r="78" spans="1:15" x14ac:dyDescent="0.25">
      <c r="A78" s="52" t="s">
        <v>22</v>
      </c>
      <c r="B78" s="52" t="s">
        <v>26</v>
      </c>
      <c r="C78" s="52" t="s">
        <v>31</v>
      </c>
      <c r="D78" s="52" t="s">
        <v>12</v>
      </c>
      <c r="E78" s="52">
        <v>2012</v>
      </c>
      <c r="F78" s="51">
        <f t="shared" si="0"/>
        <v>0</v>
      </c>
      <c r="G78" s="66"/>
      <c r="H78" s="66"/>
      <c r="I78" s="66"/>
      <c r="J78" s="52"/>
      <c r="K78" s="52"/>
      <c r="L78" s="9"/>
      <c r="M78" s="9"/>
      <c r="N78" s="9"/>
      <c r="O78" s="9"/>
    </row>
    <row r="79" spans="1:15" x14ac:dyDescent="0.25">
      <c r="A79" s="52" t="s">
        <v>22</v>
      </c>
      <c r="B79" s="52" t="s">
        <v>26</v>
      </c>
      <c r="C79" s="52" t="s">
        <v>19</v>
      </c>
      <c r="D79" s="52" t="s">
        <v>12</v>
      </c>
      <c r="E79" s="52">
        <v>2012</v>
      </c>
      <c r="F79" s="51">
        <f t="shared" si="0"/>
        <v>0</v>
      </c>
      <c r="G79" s="66"/>
      <c r="H79" s="66"/>
      <c r="I79" s="66"/>
      <c r="J79" s="52"/>
      <c r="K79" s="52"/>
      <c r="L79" s="9"/>
      <c r="M79" s="9"/>
      <c r="N79" s="9"/>
      <c r="O79" s="9"/>
    </row>
    <row r="80" spans="1:15" x14ac:dyDescent="0.25">
      <c r="A80" s="52" t="s">
        <v>22</v>
      </c>
      <c r="B80" s="52" t="s">
        <v>26</v>
      </c>
      <c r="C80" s="52" t="s">
        <v>20</v>
      </c>
      <c r="D80" s="52" t="s">
        <v>12</v>
      </c>
      <c r="E80" s="52">
        <v>2012</v>
      </c>
      <c r="F80" s="51">
        <f t="shared" si="0"/>
        <v>0</v>
      </c>
      <c r="G80" s="66"/>
      <c r="H80" s="66"/>
      <c r="I80" s="66"/>
      <c r="J80" s="52"/>
      <c r="K80" s="52"/>
      <c r="L80" s="9"/>
      <c r="M80" s="9"/>
      <c r="N80" s="9"/>
      <c r="O80" s="9"/>
    </row>
    <row r="81" spans="1:15" x14ac:dyDescent="0.25">
      <c r="A81" s="52" t="s">
        <v>22</v>
      </c>
      <c r="B81" s="52" t="s">
        <v>26</v>
      </c>
      <c r="C81" s="52" t="s">
        <v>31</v>
      </c>
      <c r="D81" s="52" t="s">
        <v>15</v>
      </c>
      <c r="E81" s="52">
        <v>2012</v>
      </c>
      <c r="F81" s="51">
        <f t="shared" si="0"/>
        <v>0</v>
      </c>
      <c r="G81" s="66"/>
      <c r="H81" s="66"/>
      <c r="I81" s="66"/>
      <c r="J81" s="52"/>
      <c r="K81" s="52"/>
      <c r="L81" s="9"/>
      <c r="M81" s="9"/>
      <c r="N81" s="9"/>
      <c r="O81" s="9"/>
    </row>
    <row r="82" spans="1:15" x14ac:dyDescent="0.25">
      <c r="A82" s="52" t="s">
        <v>22</v>
      </c>
      <c r="B82" s="52" t="s">
        <v>26</v>
      </c>
      <c r="C82" s="52" t="s">
        <v>19</v>
      </c>
      <c r="D82" s="52" t="s">
        <v>15</v>
      </c>
      <c r="E82" s="52">
        <v>2012</v>
      </c>
      <c r="F82" s="51">
        <f t="shared" si="0"/>
        <v>0</v>
      </c>
      <c r="G82" s="66"/>
      <c r="H82" s="66"/>
      <c r="I82" s="66"/>
      <c r="J82" s="52"/>
      <c r="K82" s="52"/>
      <c r="L82" s="9"/>
      <c r="M82" s="9"/>
      <c r="N82" s="9"/>
      <c r="O82" s="9"/>
    </row>
    <row r="83" spans="1:15" x14ac:dyDescent="0.25">
      <c r="A83" s="52" t="s">
        <v>22</v>
      </c>
      <c r="B83" s="52" t="s">
        <v>26</v>
      </c>
      <c r="C83" s="52" t="s">
        <v>20</v>
      </c>
      <c r="D83" s="52" t="s">
        <v>15</v>
      </c>
      <c r="E83" s="52">
        <v>2012</v>
      </c>
      <c r="F83" s="51">
        <f t="shared" si="0"/>
        <v>0</v>
      </c>
      <c r="G83" s="66"/>
      <c r="H83" s="66"/>
      <c r="I83" s="66"/>
      <c r="J83" s="52"/>
      <c r="K83" s="52"/>
      <c r="L83" s="9"/>
      <c r="M83" s="9"/>
      <c r="N83" s="9"/>
      <c r="O83" s="9"/>
    </row>
    <row r="84" spans="1:15" x14ac:dyDescent="0.25">
      <c r="A84" s="52" t="s">
        <v>22</v>
      </c>
      <c r="B84" s="52" t="s">
        <v>27</v>
      </c>
      <c r="C84" s="52" t="s">
        <v>31</v>
      </c>
      <c r="D84" s="52" t="s">
        <v>11</v>
      </c>
      <c r="E84" s="52">
        <v>2012</v>
      </c>
      <c r="F84" s="51">
        <f t="shared" si="0"/>
        <v>0</v>
      </c>
      <c r="G84" s="66"/>
      <c r="H84" s="66"/>
      <c r="I84" s="66"/>
      <c r="J84" s="52"/>
      <c r="K84" s="52"/>
      <c r="L84" s="9"/>
      <c r="M84" s="9"/>
      <c r="N84" s="9"/>
      <c r="O84" s="9"/>
    </row>
    <row r="85" spans="1:15" x14ac:dyDescent="0.25">
      <c r="A85" s="52" t="s">
        <v>22</v>
      </c>
      <c r="B85" s="52" t="s">
        <v>27</v>
      </c>
      <c r="C85" s="52" t="s">
        <v>19</v>
      </c>
      <c r="D85" s="52" t="s">
        <v>11</v>
      </c>
      <c r="E85" s="52">
        <v>2012</v>
      </c>
      <c r="F85" s="51">
        <f t="shared" si="0"/>
        <v>0</v>
      </c>
      <c r="G85" s="66"/>
      <c r="H85" s="66"/>
      <c r="I85" s="66"/>
      <c r="J85" s="52"/>
      <c r="K85" s="52"/>
      <c r="L85" s="9"/>
      <c r="M85" s="9"/>
      <c r="N85" s="9"/>
      <c r="O85" s="9"/>
    </row>
    <row r="86" spans="1:15" x14ac:dyDescent="0.25">
      <c r="A86" s="52" t="s">
        <v>22</v>
      </c>
      <c r="B86" s="52" t="s">
        <v>27</v>
      </c>
      <c r="C86" s="52" t="s">
        <v>20</v>
      </c>
      <c r="D86" s="52" t="s">
        <v>11</v>
      </c>
      <c r="E86" s="52">
        <v>2012</v>
      </c>
      <c r="F86" s="51">
        <f t="shared" si="0"/>
        <v>0</v>
      </c>
      <c r="G86" s="66"/>
      <c r="H86" s="66"/>
      <c r="I86" s="66"/>
      <c r="J86" s="52"/>
      <c r="K86" s="52"/>
      <c r="L86" s="9"/>
      <c r="M86" s="9"/>
      <c r="N86" s="9"/>
      <c r="O86" s="9"/>
    </row>
    <row r="87" spans="1:15" x14ac:dyDescent="0.25">
      <c r="A87" s="52" t="s">
        <v>22</v>
      </c>
      <c r="B87" s="52" t="s">
        <v>28</v>
      </c>
      <c r="C87" s="52" t="s">
        <v>31</v>
      </c>
      <c r="D87" s="52" t="s">
        <v>12</v>
      </c>
      <c r="E87" s="52">
        <v>2012</v>
      </c>
      <c r="F87" s="51">
        <f t="shared" si="0"/>
        <v>0</v>
      </c>
      <c r="G87" s="66"/>
      <c r="H87" s="66"/>
      <c r="I87" s="66"/>
      <c r="J87" s="52"/>
      <c r="K87" s="52"/>
      <c r="L87" s="9"/>
      <c r="M87" s="9"/>
      <c r="N87" s="9"/>
      <c r="O87" s="9"/>
    </row>
    <row r="88" spans="1:15" x14ac:dyDescent="0.25">
      <c r="A88" s="52" t="s">
        <v>22</v>
      </c>
      <c r="B88" s="52" t="s">
        <v>28</v>
      </c>
      <c r="C88" s="52" t="s">
        <v>19</v>
      </c>
      <c r="D88" s="52" t="s">
        <v>12</v>
      </c>
      <c r="E88" s="52">
        <v>2012</v>
      </c>
      <c r="F88" s="51">
        <f t="shared" si="0"/>
        <v>0</v>
      </c>
      <c r="G88" s="66"/>
      <c r="H88" s="66"/>
      <c r="I88" s="66"/>
      <c r="J88" s="52"/>
      <c r="K88" s="52"/>
      <c r="L88" s="9"/>
      <c r="M88" s="9"/>
      <c r="N88" s="9"/>
      <c r="O88" s="9"/>
    </row>
    <row r="89" spans="1:15" x14ac:dyDescent="0.25">
      <c r="A89" s="52" t="s">
        <v>22</v>
      </c>
      <c r="B89" s="52" t="s">
        <v>28</v>
      </c>
      <c r="C89" s="52" t="s">
        <v>20</v>
      </c>
      <c r="D89" s="52" t="s">
        <v>12</v>
      </c>
      <c r="E89" s="52">
        <v>2012</v>
      </c>
      <c r="F89" s="51">
        <f t="shared" si="0"/>
        <v>0</v>
      </c>
      <c r="G89" s="66"/>
      <c r="H89" s="66"/>
      <c r="I89" s="66"/>
      <c r="J89" s="52"/>
      <c r="K89" s="52"/>
      <c r="L89" s="9"/>
      <c r="M89" s="9"/>
      <c r="N89" s="9"/>
      <c r="O89" s="9"/>
    </row>
    <row r="90" spans="1:15" x14ac:dyDescent="0.25">
      <c r="A90" s="52" t="s">
        <v>22</v>
      </c>
      <c r="B90" s="52" t="s">
        <v>28</v>
      </c>
      <c r="C90" s="52" t="s">
        <v>31</v>
      </c>
      <c r="D90" s="52" t="s">
        <v>15</v>
      </c>
      <c r="E90" s="52">
        <v>2012</v>
      </c>
      <c r="F90" s="51">
        <f t="shared" si="0"/>
        <v>0</v>
      </c>
      <c r="G90" s="66"/>
      <c r="H90" s="66"/>
      <c r="I90" s="66"/>
      <c r="J90" s="52"/>
      <c r="K90" s="52"/>
      <c r="L90" s="9"/>
      <c r="M90" s="9"/>
      <c r="N90" s="9"/>
      <c r="O90" s="9"/>
    </row>
    <row r="91" spans="1:15" x14ac:dyDescent="0.25">
      <c r="A91" s="52" t="s">
        <v>22</v>
      </c>
      <c r="B91" s="52" t="s">
        <v>28</v>
      </c>
      <c r="C91" s="52" t="s">
        <v>19</v>
      </c>
      <c r="D91" s="52" t="s">
        <v>15</v>
      </c>
      <c r="E91" s="52">
        <v>2012</v>
      </c>
      <c r="F91" s="51">
        <f t="shared" si="0"/>
        <v>0</v>
      </c>
      <c r="G91" s="66"/>
      <c r="H91" s="66"/>
      <c r="I91" s="66"/>
      <c r="J91" s="52"/>
      <c r="K91" s="52"/>
      <c r="L91" s="9"/>
      <c r="M91" s="9"/>
      <c r="N91" s="9"/>
      <c r="O91" s="9"/>
    </row>
    <row r="92" spans="1:15" ht="15.75" thickBot="1" x14ac:dyDescent="0.3">
      <c r="A92" s="56" t="s">
        <v>22</v>
      </c>
      <c r="B92" s="56" t="s">
        <v>28</v>
      </c>
      <c r="C92" s="56" t="s">
        <v>20</v>
      </c>
      <c r="D92" s="56" t="s">
        <v>15</v>
      </c>
      <c r="E92" s="56">
        <v>2012</v>
      </c>
      <c r="F92" s="55">
        <f t="shared" si="0"/>
        <v>0</v>
      </c>
      <c r="G92" s="67"/>
      <c r="H92" s="67"/>
      <c r="I92" s="67"/>
      <c r="J92" s="56"/>
      <c r="K92" s="56"/>
      <c r="L92" s="6"/>
      <c r="M92" s="6"/>
      <c r="N92" s="6"/>
      <c r="O92" s="9"/>
    </row>
    <row r="93" spans="1:15" x14ac:dyDescent="0.25">
      <c r="A93" s="9" t="s">
        <v>10</v>
      </c>
      <c r="B93" s="9" t="s">
        <v>11</v>
      </c>
      <c r="C93" s="9" t="s">
        <v>11</v>
      </c>
      <c r="D93" s="9" t="s">
        <v>11</v>
      </c>
      <c r="E93" s="9">
        <v>2013</v>
      </c>
      <c r="F93" s="44">
        <f>SUM(F94:F96,F98:F103,F105:F107,F108:F113)</f>
        <v>25313.630684427564</v>
      </c>
      <c r="G93" s="38">
        <v>25313.941299999999</v>
      </c>
      <c r="H93" s="38">
        <v>25002</v>
      </c>
      <c r="I93" s="38">
        <v>25627</v>
      </c>
      <c r="J93" s="24"/>
      <c r="K93" s="9"/>
      <c r="L93" s="9"/>
      <c r="M93" s="9"/>
      <c r="N93" s="9"/>
      <c r="O93" s="9"/>
    </row>
    <row r="94" spans="1:15" x14ac:dyDescent="0.25">
      <c r="A94" s="9" t="s">
        <v>10</v>
      </c>
      <c r="B94" s="9" t="s">
        <v>24</v>
      </c>
      <c r="C94" s="9" t="s">
        <v>31</v>
      </c>
      <c r="D94" s="9" t="s">
        <v>11</v>
      </c>
      <c r="E94" s="9">
        <v>2013</v>
      </c>
      <c r="F94" s="44">
        <f t="shared" si="0"/>
        <v>1877.2837207275188</v>
      </c>
      <c r="G94" s="38">
        <v>1876.9605835184748</v>
      </c>
      <c r="H94" s="38">
        <v>1792.3518134763719</v>
      </c>
      <c r="I94" s="38">
        <v>1961.990467914648</v>
      </c>
      <c r="J94" s="24">
        <v>2062.7224708576186</v>
      </c>
      <c r="K94" s="9">
        <v>0.91010000000000002</v>
      </c>
      <c r="L94" s="9"/>
      <c r="M94" s="9"/>
      <c r="O94" s="9"/>
    </row>
    <row r="95" spans="1:15" x14ac:dyDescent="0.25">
      <c r="A95" s="9" t="s">
        <v>10</v>
      </c>
      <c r="B95" s="9" t="s">
        <v>24</v>
      </c>
      <c r="C95" s="9" t="s">
        <v>19</v>
      </c>
      <c r="D95" s="9" t="s">
        <v>11</v>
      </c>
      <c r="E95" s="9">
        <v>2013</v>
      </c>
      <c r="F95" s="44">
        <f t="shared" si="0"/>
        <v>4232.2427756296838</v>
      </c>
      <c r="G95" s="38">
        <v>4231.0874816649957</v>
      </c>
      <c r="H95" s="38">
        <v>4105.9392363216648</v>
      </c>
      <c r="I95" s="38">
        <v>4358.4754616738337</v>
      </c>
      <c r="J95" s="24">
        <v>4650.3052144046633</v>
      </c>
      <c r="K95" s="9">
        <v>0.91010000000000002</v>
      </c>
      <c r="L95" s="9"/>
      <c r="M95" s="9"/>
      <c r="O95" s="9"/>
    </row>
    <row r="96" spans="1:15" x14ac:dyDescent="0.25">
      <c r="A96" s="9" t="s">
        <v>10</v>
      </c>
      <c r="B96" s="9" t="s">
        <v>24</v>
      </c>
      <c r="C96" s="9" t="s">
        <v>20</v>
      </c>
      <c r="D96" s="9" t="s">
        <v>11</v>
      </c>
      <c r="E96" s="9">
        <v>2013</v>
      </c>
      <c r="F96" s="44">
        <f t="shared" si="0"/>
        <v>6481.7070036427986</v>
      </c>
      <c r="G96" s="38">
        <v>6481.8468236440049</v>
      </c>
      <c r="H96" s="38">
        <v>6323.6996487269671</v>
      </c>
      <c r="I96" s="38">
        <v>6644.0037279252701</v>
      </c>
      <c r="J96" s="24">
        <v>7121.972314737719</v>
      </c>
      <c r="K96" s="9">
        <v>0.91010000000000002</v>
      </c>
      <c r="L96" s="9"/>
      <c r="M96" s="9"/>
      <c r="O96" s="9"/>
    </row>
    <row r="97" spans="1:15" x14ac:dyDescent="0.25">
      <c r="A97" s="9" t="s">
        <v>10</v>
      </c>
      <c r="B97" s="9" t="s">
        <v>26</v>
      </c>
      <c r="C97" s="9" t="s">
        <v>11</v>
      </c>
      <c r="D97" s="9" t="s">
        <v>11</v>
      </c>
      <c r="E97" s="9">
        <v>2013</v>
      </c>
      <c r="F97" s="44">
        <f>SUM(F98:F103)</f>
        <v>1889.407841330019</v>
      </c>
      <c r="G97" s="38"/>
      <c r="H97" s="38"/>
      <c r="I97" s="38"/>
      <c r="J97" s="24"/>
      <c r="K97" s="9"/>
      <c r="L97" s="9"/>
      <c r="M97" s="9"/>
      <c r="O97" s="9"/>
    </row>
    <row r="98" spans="1:15" x14ac:dyDescent="0.25">
      <c r="A98" s="9" t="s">
        <v>10</v>
      </c>
      <c r="B98" s="9" t="s">
        <v>26</v>
      </c>
      <c r="C98" s="9" t="s">
        <v>31</v>
      </c>
      <c r="D98" s="9" t="s">
        <v>12</v>
      </c>
      <c r="E98" s="9">
        <v>2013</v>
      </c>
      <c r="F98" s="44">
        <f t="shared" si="0"/>
        <v>153.59367531058379</v>
      </c>
      <c r="G98" s="38">
        <v>153.50286335278435</v>
      </c>
      <c r="H98" s="38">
        <v>130.32075720183801</v>
      </c>
      <c r="I98" s="38">
        <v>178.73477045042358</v>
      </c>
      <c r="J98" s="24">
        <v>168.7657129003228</v>
      </c>
      <c r="K98" s="9">
        <v>0.91010000000000002</v>
      </c>
      <c r="L98" s="9"/>
      <c r="M98" s="9"/>
      <c r="O98" s="9"/>
    </row>
    <row r="99" spans="1:15" x14ac:dyDescent="0.25">
      <c r="A99" s="9" t="s">
        <v>10</v>
      </c>
      <c r="B99" s="9" t="s">
        <v>26</v>
      </c>
      <c r="C99" s="9" t="s">
        <v>19</v>
      </c>
      <c r="D99" s="9" t="s">
        <v>12</v>
      </c>
      <c r="E99" s="9">
        <v>2013</v>
      </c>
      <c r="F99" s="44">
        <f t="shared" si="0"/>
        <v>346.26930151171416</v>
      </c>
      <c r="G99" s="38">
        <v>346.48055146566679</v>
      </c>
      <c r="H99" s="38">
        <v>309.91494449130704</v>
      </c>
      <c r="I99" s="38">
        <v>384.13044117867031</v>
      </c>
      <c r="J99" s="24">
        <v>380.47390562763889</v>
      </c>
      <c r="K99" s="9">
        <v>0.91010000000000002</v>
      </c>
      <c r="L99" s="9"/>
      <c r="M99" s="9"/>
      <c r="O99" s="9"/>
    </row>
    <row r="100" spans="1:15" x14ac:dyDescent="0.25">
      <c r="A100" s="9" t="s">
        <v>10</v>
      </c>
      <c r="B100" s="9" t="s">
        <v>26</v>
      </c>
      <c r="C100" s="9" t="s">
        <v>20</v>
      </c>
      <c r="D100" s="9" t="s">
        <v>12</v>
      </c>
      <c r="E100" s="9">
        <v>2013</v>
      </c>
      <c r="F100" s="44">
        <f t="shared" si="0"/>
        <v>530.31366009504211</v>
      </c>
      <c r="G100" s="38">
        <v>529.94095924975886</v>
      </c>
      <c r="H100" s="38">
        <v>485.1051794015915</v>
      </c>
      <c r="I100" s="38">
        <v>576.5816523648067</v>
      </c>
      <c r="J100" s="3">
        <v>582.69823106806075</v>
      </c>
      <c r="K100" s="9">
        <v>0.91010000000000002</v>
      </c>
      <c r="L100" s="9"/>
      <c r="M100" s="9"/>
      <c r="O100" s="9"/>
    </row>
    <row r="101" spans="1:15" x14ac:dyDescent="0.25">
      <c r="A101" s="9" t="s">
        <v>10</v>
      </c>
      <c r="B101" s="9" t="s">
        <v>26</v>
      </c>
      <c r="C101" s="9" t="s">
        <v>31</v>
      </c>
      <c r="D101" s="9" t="s">
        <v>15</v>
      </c>
      <c r="E101" s="9">
        <v>2013</v>
      </c>
      <c r="F101" s="44">
        <f t="shared" si="0"/>
        <v>50.167042952375368</v>
      </c>
      <c r="G101" s="38">
        <v>50.170654291908669</v>
      </c>
      <c r="H101" s="38">
        <v>36.997040617142268</v>
      </c>
      <c r="I101" s="38">
        <v>64.876333872005873</v>
      </c>
      <c r="J101" s="24">
        <v>53.660330465691914</v>
      </c>
      <c r="K101" s="9">
        <v>0.93489999999999995</v>
      </c>
      <c r="L101" s="9"/>
      <c r="M101" s="9"/>
      <c r="O101" s="9"/>
    </row>
    <row r="102" spans="1:15" x14ac:dyDescent="0.25">
      <c r="A102" s="9" t="s">
        <v>10</v>
      </c>
      <c r="B102" s="9" t="s">
        <v>26</v>
      </c>
      <c r="C102" s="9" t="s">
        <v>19</v>
      </c>
      <c r="D102" s="9" t="s">
        <v>15</v>
      </c>
      <c r="E102" s="9">
        <v>2013</v>
      </c>
      <c r="F102" s="44">
        <f t="shared" si="0"/>
        <v>608.75777121055455</v>
      </c>
      <c r="G102" s="38">
        <v>608.93828362542581</v>
      </c>
      <c r="H102" s="38">
        <v>561.33733465969021</v>
      </c>
      <c r="I102" s="38">
        <v>658.0668870179345</v>
      </c>
      <c r="J102" s="24">
        <v>651.14747161253035</v>
      </c>
      <c r="K102" s="9">
        <v>0.93489999999999995</v>
      </c>
      <c r="L102" s="9"/>
      <c r="M102" s="9"/>
      <c r="O102" s="9"/>
    </row>
    <row r="103" spans="1:15" x14ac:dyDescent="0.25">
      <c r="A103" s="9" t="s">
        <v>10</v>
      </c>
      <c r="B103" s="9" t="s">
        <v>26</v>
      </c>
      <c r="C103" s="9" t="s">
        <v>20</v>
      </c>
      <c r="D103" s="9" t="s">
        <v>15</v>
      </c>
      <c r="E103" s="9">
        <v>2013</v>
      </c>
      <c r="F103" s="44">
        <f t="shared" si="0"/>
        <v>200.30639024974869</v>
      </c>
      <c r="G103" s="38">
        <v>200.3250425494665</v>
      </c>
      <c r="H103" s="38">
        <v>172.80037735775034</v>
      </c>
      <c r="I103" s="38">
        <v>228.89914900812488</v>
      </c>
      <c r="J103" s="3">
        <v>214.25434832575539</v>
      </c>
      <c r="K103" s="9">
        <v>0.93489999999999995</v>
      </c>
      <c r="L103" s="9"/>
      <c r="M103" s="9"/>
      <c r="O103" s="9"/>
    </row>
    <row r="104" spans="1:15" x14ac:dyDescent="0.25">
      <c r="A104" s="9" t="s">
        <v>10</v>
      </c>
      <c r="B104" s="9" t="s">
        <v>27</v>
      </c>
      <c r="C104" s="9" t="s">
        <v>11</v>
      </c>
      <c r="D104" s="9" t="s">
        <v>11</v>
      </c>
      <c r="E104" s="9">
        <v>2013</v>
      </c>
      <c r="F104" s="44">
        <f>SUM(F105:F107)</f>
        <v>799.06780000000003</v>
      </c>
      <c r="G104" s="38"/>
      <c r="H104" s="38"/>
      <c r="I104" s="38"/>
      <c r="J104" s="3"/>
      <c r="K104" s="9"/>
      <c r="L104" s="9"/>
      <c r="M104" s="9"/>
      <c r="O104" s="9"/>
    </row>
    <row r="105" spans="1:15" x14ac:dyDescent="0.25">
      <c r="A105" s="9" t="s">
        <v>10</v>
      </c>
      <c r="B105" s="9" t="s">
        <v>27</v>
      </c>
      <c r="C105" s="9" t="s">
        <v>31</v>
      </c>
      <c r="D105" s="9" t="s">
        <v>11</v>
      </c>
      <c r="E105" s="9">
        <v>2013</v>
      </c>
      <c r="F105" s="44">
        <f t="shared" si="0"/>
        <v>119.13661776644457</v>
      </c>
      <c r="G105" s="38">
        <v>119.136941654117</v>
      </c>
      <c r="H105" s="38">
        <v>98.656457816380794</v>
      </c>
      <c r="I105" s="38">
        <v>141.96315064808257</v>
      </c>
      <c r="J105" s="24">
        <v>130.90497502081593</v>
      </c>
      <c r="K105" s="9">
        <v>0.91010000000000002</v>
      </c>
      <c r="L105" s="9"/>
      <c r="M105" s="9"/>
      <c r="O105" s="9"/>
    </row>
    <row r="106" spans="1:15" x14ac:dyDescent="0.25">
      <c r="A106" s="9" t="s">
        <v>10</v>
      </c>
      <c r="B106" s="9" t="s">
        <v>27</v>
      </c>
      <c r="C106" s="9" t="s">
        <v>19</v>
      </c>
      <c r="D106" s="9" t="s">
        <v>11</v>
      </c>
      <c r="E106" s="9">
        <v>2013</v>
      </c>
      <c r="F106" s="44">
        <f t="shared" si="0"/>
        <v>268.58757911115737</v>
      </c>
      <c r="G106" s="38">
        <v>268.42843755764642</v>
      </c>
      <c r="H106" s="38">
        <v>237.48703542328721</v>
      </c>
      <c r="I106" s="38">
        <v>301.23992314924243</v>
      </c>
      <c r="J106" s="3">
        <v>295.11875520399667</v>
      </c>
      <c r="K106" s="9">
        <v>0.91010000000000002</v>
      </c>
      <c r="L106" s="9"/>
      <c r="M106" s="9"/>
      <c r="O106" s="9"/>
    </row>
    <row r="107" spans="1:15" x14ac:dyDescent="0.25">
      <c r="A107" s="9" t="s">
        <v>10</v>
      </c>
      <c r="B107" s="9" t="s">
        <v>27</v>
      </c>
      <c r="C107" s="9" t="s">
        <v>20</v>
      </c>
      <c r="D107" s="9" t="s">
        <v>11</v>
      </c>
      <c r="E107" s="9">
        <v>2013</v>
      </c>
      <c r="F107" s="44">
        <f t="shared" si="0"/>
        <v>411.34360312239806</v>
      </c>
      <c r="G107" s="38">
        <v>411.36072749278026</v>
      </c>
      <c r="H107" s="38">
        <v>372.55810587879495</v>
      </c>
      <c r="I107" s="38">
        <v>451.37761820237347</v>
      </c>
      <c r="J107" s="3">
        <v>451.9762697751874</v>
      </c>
      <c r="K107" s="9">
        <v>0.91010000000000002</v>
      </c>
      <c r="L107" s="9"/>
      <c r="M107" s="9"/>
      <c r="O107" s="9"/>
    </row>
    <row r="108" spans="1:15" x14ac:dyDescent="0.25">
      <c r="A108" s="9" t="s">
        <v>10</v>
      </c>
      <c r="B108" s="9" t="s">
        <v>28</v>
      </c>
      <c r="C108" s="9" t="s">
        <v>31</v>
      </c>
      <c r="D108" s="9" t="s">
        <v>12</v>
      </c>
      <c r="E108" s="9">
        <v>2013</v>
      </c>
      <c r="F108" s="44">
        <f t="shared" si="0"/>
        <v>549.29899505188075</v>
      </c>
      <c r="G108" s="38">
        <v>549.56374187464633</v>
      </c>
      <c r="H108" s="38">
        <v>504.62737281032719</v>
      </c>
      <c r="I108" s="38">
        <v>595.32639777901579</v>
      </c>
      <c r="J108" s="24">
        <v>603.55894412908549</v>
      </c>
      <c r="K108" s="9">
        <v>0.91010000000000002</v>
      </c>
      <c r="L108" s="9"/>
      <c r="M108" s="9"/>
      <c r="O108" s="9"/>
    </row>
    <row r="109" spans="1:15" x14ac:dyDescent="0.25">
      <c r="A109" s="9" t="s">
        <v>10</v>
      </c>
      <c r="B109" s="9" t="s">
        <v>28</v>
      </c>
      <c r="C109" s="9" t="s">
        <v>19</v>
      </c>
      <c r="D109" s="9" t="s">
        <v>12</v>
      </c>
      <c r="E109" s="9">
        <v>2013</v>
      </c>
      <c r="F109" s="44">
        <f t="shared" si="0"/>
        <v>1238.3672631902605</v>
      </c>
      <c r="G109" s="38">
        <v>1238.5988173388494</v>
      </c>
      <c r="H109" s="38">
        <v>1170.6729293952912</v>
      </c>
      <c r="I109" s="38">
        <v>1307.4946343256536</v>
      </c>
      <c r="J109" s="24">
        <v>1360.6936195915398</v>
      </c>
      <c r="K109" s="9">
        <v>0.91010000000000002</v>
      </c>
      <c r="L109" s="9"/>
      <c r="M109" s="9"/>
      <c r="O109" s="9"/>
    </row>
    <row r="110" spans="1:15" x14ac:dyDescent="0.25">
      <c r="A110" s="9" t="s">
        <v>10</v>
      </c>
      <c r="B110" s="9" t="s">
        <v>28</v>
      </c>
      <c r="C110" s="9" t="s">
        <v>20</v>
      </c>
      <c r="D110" s="9" t="s">
        <v>12</v>
      </c>
      <c r="E110" s="9">
        <v>2013</v>
      </c>
      <c r="F110" s="44">
        <f t="shared" si="0"/>
        <v>1896.567420262897</v>
      </c>
      <c r="G110" s="38">
        <v>1896.399405553715</v>
      </c>
      <c r="H110" s="38">
        <v>1811.9123264044295</v>
      </c>
      <c r="I110" s="38">
        <v>1982.6704540269432</v>
      </c>
      <c r="J110" s="24">
        <v>2083.9110210558147</v>
      </c>
      <c r="K110" s="9">
        <v>0.91010000000000002</v>
      </c>
      <c r="L110" s="9"/>
      <c r="M110" s="9"/>
      <c r="O110" s="9"/>
    </row>
    <row r="111" spans="1:15" x14ac:dyDescent="0.25">
      <c r="A111" s="9" t="s">
        <v>10</v>
      </c>
      <c r="B111" s="9" t="s">
        <v>28</v>
      </c>
      <c r="C111" s="9" t="s">
        <v>31</v>
      </c>
      <c r="D111" s="9" t="s">
        <v>15</v>
      </c>
      <c r="E111" s="9">
        <v>2013</v>
      </c>
      <c r="F111" s="44">
        <f t="shared" si="0"/>
        <v>370.73265286603259</v>
      </c>
      <c r="G111" s="38">
        <v>371.02773558623932</v>
      </c>
      <c r="H111" s="38">
        <v>334.15086823493175</v>
      </c>
      <c r="I111" s="38">
        <v>409.55663842054247</v>
      </c>
      <c r="J111" s="24">
        <v>396.54792262919307</v>
      </c>
      <c r="K111" s="9">
        <v>0.93489999999999995</v>
      </c>
      <c r="L111" s="9"/>
      <c r="M111" s="9"/>
      <c r="O111" s="9"/>
    </row>
    <row r="112" spans="1:15" x14ac:dyDescent="0.25">
      <c r="A112" s="9" t="s">
        <v>10</v>
      </c>
      <c r="B112" s="9" t="s">
        <v>28</v>
      </c>
      <c r="C112" s="9" t="s">
        <v>19</v>
      </c>
      <c r="D112" s="9" t="s">
        <v>15</v>
      </c>
      <c r="E112" s="9">
        <v>2013</v>
      </c>
      <c r="F112" s="44">
        <f t="shared" si="0"/>
        <v>4498.6981530474341</v>
      </c>
      <c r="G112" s="38">
        <v>4500.3589712266703</v>
      </c>
      <c r="H112" s="38">
        <v>4370.6954838442707</v>
      </c>
      <c r="I112" s="38">
        <v>4632.8677223656696</v>
      </c>
      <c r="J112" s="24">
        <v>4811.9565226734776</v>
      </c>
      <c r="K112" s="9">
        <v>0.93489999999999995</v>
      </c>
      <c r="L112" s="9"/>
      <c r="M112" s="9"/>
      <c r="O112" s="9"/>
    </row>
    <row r="113" spans="1:15" x14ac:dyDescent="0.25">
      <c r="A113" s="9" t="s">
        <v>10</v>
      </c>
      <c r="B113" s="9" t="s">
        <v>28</v>
      </c>
      <c r="C113" s="9" t="s">
        <v>20</v>
      </c>
      <c r="D113" s="9" t="s">
        <v>15</v>
      </c>
      <c r="E113" s="9">
        <v>2013</v>
      </c>
      <c r="F113" s="44">
        <f t="shared" si="0"/>
        <v>1480.2570586790387</v>
      </c>
      <c r="G113" s="38">
        <v>1479.8132783528506</v>
      </c>
      <c r="H113" s="38">
        <v>1405.1508565265797</v>
      </c>
      <c r="I113" s="38">
        <v>1554.9936965790566</v>
      </c>
      <c r="J113" s="24">
        <v>1583.3319699208887</v>
      </c>
      <c r="K113" s="9">
        <v>0.93489999999999995</v>
      </c>
      <c r="L113" s="9"/>
      <c r="M113" s="9"/>
      <c r="O113" s="9"/>
    </row>
    <row r="114" spans="1:15" x14ac:dyDescent="0.25">
      <c r="A114" s="9" t="s">
        <v>21</v>
      </c>
      <c r="B114" s="9" t="s">
        <v>11</v>
      </c>
      <c r="C114" s="9" t="s">
        <v>11</v>
      </c>
      <c r="D114" s="9" t="s">
        <v>11</v>
      </c>
      <c r="E114" s="9">
        <v>2013</v>
      </c>
      <c r="F114" s="44">
        <f t="shared" si="0"/>
        <v>1083</v>
      </c>
      <c r="G114" s="38">
        <v>1083.8588</v>
      </c>
      <c r="H114" s="38">
        <v>1020</v>
      </c>
      <c r="I114" s="38">
        <v>1148.0249999999996</v>
      </c>
      <c r="J114" s="3">
        <f>SUM(J117:J119,J120:J134)</f>
        <v>1130</v>
      </c>
      <c r="K114" s="9">
        <v>0.95840707964601768</v>
      </c>
      <c r="L114" s="9"/>
      <c r="M114" s="9"/>
      <c r="O114" s="9"/>
    </row>
    <row r="115" spans="1:15" x14ac:dyDescent="0.25">
      <c r="A115" s="9" t="s">
        <v>21</v>
      </c>
      <c r="B115" s="9" t="s">
        <v>11</v>
      </c>
      <c r="C115" s="9" t="s">
        <v>19</v>
      </c>
      <c r="D115" s="9" t="s">
        <v>11</v>
      </c>
      <c r="E115" s="9">
        <v>2013</v>
      </c>
      <c r="F115" s="44">
        <f t="shared" ref="F115:F297" si="1">J115*K115</f>
        <v>394.86371681415926</v>
      </c>
      <c r="G115" s="38"/>
      <c r="H115" s="38"/>
      <c r="I115" s="38"/>
      <c r="J115" s="3">
        <f>J118+J121+J124+J127+J130+J133</f>
        <v>412</v>
      </c>
      <c r="K115" s="9">
        <v>0.95840707964601768</v>
      </c>
      <c r="L115" s="9"/>
      <c r="M115" s="9"/>
      <c r="O115" s="9"/>
    </row>
    <row r="116" spans="1:15" x14ac:dyDescent="0.25">
      <c r="A116" s="9" t="s">
        <v>21</v>
      </c>
      <c r="B116" s="9" t="s">
        <v>24</v>
      </c>
      <c r="C116" s="9" t="s">
        <v>11</v>
      </c>
      <c r="D116" s="9" t="s">
        <v>11</v>
      </c>
      <c r="E116" s="9">
        <v>2013</v>
      </c>
      <c r="F116" s="44">
        <f t="shared" si="1"/>
        <v>685.2610619469026</v>
      </c>
      <c r="G116" s="38"/>
      <c r="H116" s="38"/>
      <c r="I116" s="38"/>
      <c r="J116" s="3">
        <f>SUM(J117:J119)</f>
        <v>715</v>
      </c>
      <c r="K116" s="9">
        <v>0.95840707964601768</v>
      </c>
      <c r="L116" s="9"/>
      <c r="M116" s="9"/>
      <c r="O116" s="9"/>
    </row>
    <row r="117" spans="1:15" x14ac:dyDescent="0.25">
      <c r="A117" s="9" t="s">
        <v>21</v>
      </c>
      <c r="B117" s="9" t="s">
        <v>24</v>
      </c>
      <c r="C117" s="11" t="s">
        <v>31</v>
      </c>
      <c r="D117" s="9" t="s">
        <v>11</v>
      </c>
      <c r="E117" s="9">
        <v>2013</v>
      </c>
      <c r="F117" s="44">
        <f t="shared" si="1"/>
        <v>67.313254757616107</v>
      </c>
      <c r="G117" s="38">
        <v>67.370910757276405</v>
      </c>
      <c r="H117" s="38">
        <v>52.321283893075552</v>
      </c>
      <c r="I117" s="38">
        <v>84.668819864076298</v>
      </c>
      <c r="J117" s="3">
        <v>70.234513274336294</v>
      </c>
      <c r="K117" s="9">
        <v>0.95840707964601768</v>
      </c>
      <c r="L117" s="9"/>
      <c r="M117" s="9"/>
      <c r="O117" s="9"/>
    </row>
    <row r="118" spans="1:15" x14ac:dyDescent="0.25">
      <c r="A118" s="9" t="s">
        <v>21</v>
      </c>
      <c r="B118" s="9" t="s">
        <v>24</v>
      </c>
      <c r="C118" s="11" t="s">
        <v>19</v>
      </c>
      <c r="D118" s="9" t="s">
        <v>11</v>
      </c>
      <c r="E118" s="9">
        <v>2013</v>
      </c>
      <c r="F118" s="44">
        <f t="shared" si="1"/>
        <v>249.84739603727783</v>
      </c>
      <c r="G118" s="38">
        <v>250.05986165515483</v>
      </c>
      <c r="H118" s="38">
        <v>220.18226991231799</v>
      </c>
      <c r="I118" s="38">
        <v>281.92704828508971</v>
      </c>
      <c r="J118" s="3">
        <v>260.69026548672571</v>
      </c>
      <c r="K118" s="9">
        <v>0.95840707964601768</v>
      </c>
      <c r="L118" s="9"/>
      <c r="M118" s="9"/>
      <c r="O118" s="9"/>
    </row>
    <row r="119" spans="1:15" x14ac:dyDescent="0.25">
      <c r="A119" s="9" t="s">
        <v>21</v>
      </c>
      <c r="B119" s="9" t="s">
        <v>24</v>
      </c>
      <c r="C119" s="11" t="s">
        <v>20</v>
      </c>
      <c r="D119" s="9" t="s">
        <v>11</v>
      </c>
      <c r="E119" s="9">
        <v>2013</v>
      </c>
      <c r="F119" s="44">
        <f t="shared" si="1"/>
        <v>368.1004111520088</v>
      </c>
      <c r="G119" s="38">
        <v>368.35142222941499</v>
      </c>
      <c r="H119" s="38">
        <v>331.51682453052751</v>
      </c>
      <c r="I119" s="38">
        <v>406.76699542410188</v>
      </c>
      <c r="J119" s="3">
        <v>384.07522123893807</v>
      </c>
      <c r="K119" s="9">
        <v>0.95840707964601768</v>
      </c>
      <c r="L119" s="9"/>
      <c r="M119" s="9"/>
      <c r="O119" s="9"/>
    </row>
    <row r="120" spans="1:15" x14ac:dyDescent="0.25">
      <c r="A120" s="9" t="s">
        <v>21</v>
      </c>
      <c r="B120" s="9" t="s">
        <v>26</v>
      </c>
      <c r="C120" s="11" t="s">
        <v>31</v>
      </c>
      <c r="D120" s="9" t="s">
        <v>12</v>
      </c>
      <c r="E120" s="9">
        <v>2013</v>
      </c>
      <c r="F120" s="44">
        <f t="shared" si="1"/>
        <v>0.84729971023572714</v>
      </c>
      <c r="G120" s="38">
        <v>0.85643695003941067</v>
      </c>
      <c r="H120" s="38">
        <v>1.2007175992293442E-2</v>
      </c>
      <c r="I120" s="38">
        <v>3.3758388384638973</v>
      </c>
      <c r="J120" s="3">
        <v>0.88407079646017706</v>
      </c>
      <c r="K120" s="9">
        <v>0.95840707964601768</v>
      </c>
      <c r="L120" s="9"/>
      <c r="M120" s="9"/>
      <c r="O120" s="9"/>
    </row>
    <row r="121" spans="1:15" x14ac:dyDescent="0.25">
      <c r="A121" s="9" t="s">
        <v>21</v>
      </c>
      <c r="B121" s="9" t="s">
        <v>26</v>
      </c>
      <c r="C121" s="11" t="s">
        <v>19</v>
      </c>
      <c r="D121" s="9" t="s">
        <v>12</v>
      </c>
      <c r="E121" s="9">
        <v>2013</v>
      </c>
      <c r="F121" s="44">
        <f t="shared" si="1"/>
        <v>3.1449322578118881</v>
      </c>
      <c r="G121" s="38">
        <v>3.1440150987029361</v>
      </c>
      <c r="H121" s="38">
        <v>0.69924285184798851</v>
      </c>
      <c r="I121" s="38">
        <v>7.4893940813625122</v>
      </c>
      <c r="J121" s="3">
        <v>3.2814159292035399</v>
      </c>
      <c r="K121" s="9">
        <v>0.95840707964601768</v>
      </c>
      <c r="L121" s="9"/>
      <c r="M121" s="9"/>
      <c r="O121" s="9"/>
    </row>
    <row r="122" spans="1:15" x14ac:dyDescent="0.25">
      <c r="A122" s="9" t="s">
        <v>21</v>
      </c>
      <c r="B122" s="9" t="s">
        <v>26</v>
      </c>
      <c r="C122" s="11" t="s">
        <v>20</v>
      </c>
      <c r="D122" s="9" t="s">
        <v>12</v>
      </c>
      <c r="E122" s="9">
        <v>2013</v>
      </c>
      <c r="F122" s="44">
        <f t="shared" si="1"/>
        <v>4.6334317487665437</v>
      </c>
      <c r="G122" s="38">
        <v>4.634779299780118</v>
      </c>
      <c r="H122" s="38">
        <v>1.462083126359379</v>
      </c>
      <c r="I122" s="38">
        <v>9.8609195433077073</v>
      </c>
      <c r="J122" s="3">
        <v>4.8345132743362829</v>
      </c>
      <c r="K122" s="9">
        <v>0.95840707964601768</v>
      </c>
      <c r="L122" s="9"/>
      <c r="M122" s="9"/>
      <c r="O122" s="9"/>
    </row>
    <row r="123" spans="1:15" x14ac:dyDescent="0.25">
      <c r="A123" s="9" t="s">
        <v>21</v>
      </c>
      <c r="B123" s="9" t="s">
        <v>26</v>
      </c>
      <c r="C123" s="11" t="s">
        <v>31</v>
      </c>
      <c r="D123" s="9" t="s">
        <v>15</v>
      </c>
      <c r="E123" s="9">
        <v>2013</v>
      </c>
      <c r="F123" s="44">
        <f t="shared" si="1"/>
        <v>1.4121661837262121</v>
      </c>
      <c r="G123" s="38">
        <v>1.431244715358327</v>
      </c>
      <c r="H123" s="38">
        <v>9.4757528609265451E-2</v>
      </c>
      <c r="I123" s="38">
        <v>4.4756265831713096</v>
      </c>
      <c r="J123" s="3">
        <v>1.4734513274336285</v>
      </c>
      <c r="K123" s="9">
        <v>0.95840707964601768</v>
      </c>
      <c r="L123" s="9"/>
      <c r="M123" s="9"/>
      <c r="O123" s="9"/>
    </row>
    <row r="124" spans="1:15" x14ac:dyDescent="0.25">
      <c r="A124" s="9" t="s">
        <v>21</v>
      </c>
      <c r="B124" s="9" t="s">
        <v>26</v>
      </c>
      <c r="C124" s="11" t="s">
        <v>19</v>
      </c>
      <c r="D124" s="9" t="s">
        <v>15</v>
      </c>
      <c r="E124" s="9">
        <v>2013</v>
      </c>
      <c r="F124" s="44">
        <f t="shared" si="1"/>
        <v>5.2415537630198132</v>
      </c>
      <c r="G124" s="38">
        <v>5.2270217567916166</v>
      </c>
      <c r="H124" s="38">
        <v>1.7515246107360103</v>
      </c>
      <c r="I124" s="38">
        <v>10.505298331154252</v>
      </c>
      <c r="J124" s="3">
        <v>5.4690265486725664</v>
      </c>
      <c r="K124" s="9">
        <v>0.95840707964601768</v>
      </c>
      <c r="L124" s="9"/>
      <c r="M124" s="9"/>
      <c r="O124" s="9"/>
    </row>
    <row r="125" spans="1:15" x14ac:dyDescent="0.25">
      <c r="A125" s="9" t="s">
        <v>21</v>
      </c>
      <c r="B125" s="9" t="s">
        <v>26</v>
      </c>
      <c r="C125" s="11" t="s">
        <v>20</v>
      </c>
      <c r="D125" s="9" t="s">
        <v>15</v>
      </c>
      <c r="E125" s="9">
        <v>2013</v>
      </c>
      <c r="F125" s="44">
        <f t="shared" si="1"/>
        <v>7.7223862479442404</v>
      </c>
      <c r="G125" s="38">
        <v>7.7405326621307999</v>
      </c>
      <c r="H125" s="38">
        <v>3.3116767646562857</v>
      </c>
      <c r="I125" s="38">
        <v>14.058395914672339</v>
      </c>
      <c r="J125" s="3">
        <v>8.057522123893806</v>
      </c>
      <c r="K125" s="9">
        <v>0.95840707964601768</v>
      </c>
      <c r="L125" s="9"/>
      <c r="M125" s="9"/>
      <c r="O125" s="9"/>
    </row>
    <row r="126" spans="1:15" x14ac:dyDescent="0.25">
      <c r="A126" s="9" t="s">
        <v>21</v>
      </c>
      <c r="B126" s="9" t="s">
        <v>27</v>
      </c>
      <c r="C126" s="11" t="s">
        <v>31</v>
      </c>
      <c r="D126" s="9" t="s">
        <v>11</v>
      </c>
      <c r="E126" s="9">
        <v>2013</v>
      </c>
      <c r="F126" s="44">
        <f t="shared" si="1"/>
        <v>0.94144412248414133</v>
      </c>
      <c r="G126" s="38">
        <v>0.93311467287832028</v>
      </c>
      <c r="H126" s="38">
        <v>1.875826188071757E-2</v>
      </c>
      <c r="I126" s="38">
        <v>3.4625709128649009</v>
      </c>
      <c r="J126" s="3">
        <v>0.9823008849557523</v>
      </c>
      <c r="K126" s="9">
        <v>0.95840707964601768</v>
      </c>
      <c r="L126" s="9"/>
      <c r="M126" s="9"/>
      <c r="O126" s="9"/>
    </row>
    <row r="127" spans="1:15" x14ac:dyDescent="0.25">
      <c r="A127" s="9" t="s">
        <v>21</v>
      </c>
      <c r="B127" s="9" t="s">
        <v>27</v>
      </c>
      <c r="C127" s="11" t="s">
        <v>19</v>
      </c>
      <c r="D127" s="9" t="s">
        <v>11</v>
      </c>
      <c r="E127" s="9">
        <v>2013</v>
      </c>
      <c r="F127" s="44">
        <f t="shared" si="1"/>
        <v>3.4943691753465425</v>
      </c>
      <c r="G127" s="38">
        <v>3.4808134319657094</v>
      </c>
      <c r="H127" s="38">
        <v>0.8607198162520332</v>
      </c>
      <c r="I127" s="38">
        <v>7.9277155166642297</v>
      </c>
      <c r="J127" s="3">
        <v>3.6460176991150446</v>
      </c>
      <c r="K127" s="9">
        <v>0.95840707964601768</v>
      </c>
      <c r="L127" s="9"/>
      <c r="M127" s="9"/>
      <c r="O127" s="9"/>
    </row>
    <row r="128" spans="1:15" x14ac:dyDescent="0.25">
      <c r="A128" s="9" t="s">
        <v>21</v>
      </c>
      <c r="B128" s="9" t="s">
        <v>27</v>
      </c>
      <c r="C128" s="11" t="s">
        <v>20</v>
      </c>
      <c r="D128" s="9" t="s">
        <v>11</v>
      </c>
      <c r="E128" s="9">
        <v>2013</v>
      </c>
      <c r="F128" s="44">
        <f t="shared" si="1"/>
        <v>5.1482574986294933</v>
      </c>
      <c r="G128" s="38">
        <v>5.1118840809146748</v>
      </c>
      <c r="H128" s="38">
        <v>1.6763683988853983</v>
      </c>
      <c r="I128" s="38">
        <v>10.345889494567535</v>
      </c>
      <c r="J128" s="3">
        <v>5.3716814159292037</v>
      </c>
      <c r="K128" s="9">
        <v>0.95840707964601768</v>
      </c>
      <c r="L128" s="9"/>
      <c r="M128" s="9"/>
      <c r="O128" s="9"/>
    </row>
    <row r="129" spans="1:15" x14ac:dyDescent="0.25">
      <c r="A129" s="9" t="s">
        <v>21</v>
      </c>
      <c r="B129" s="9" t="s">
        <v>28</v>
      </c>
      <c r="C129" s="11" t="s">
        <v>31</v>
      </c>
      <c r="D129" s="9" t="s">
        <v>12</v>
      </c>
      <c r="E129" s="9">
        <v>2013</v>
      </c>
      <c r="F129" s="44">
        <f t="shared" si="1"/>
        <v>13.086073302529565</v>
      </c>
      <c r="G129" s="38">
        <v>13.110102988161334</v>
      </c>
      <c r="H129" s="38">
        <v>6.939670858721148</v>
      </c>
      <c r="I129" s="38">
        <v>21.121677354974693</v>
      </c>
      <c r="J129" s="3">
        <v>13.653982300884957</v>
      </c>
      <c r="K129" s="9">
        <v>0.95840707964601768</v>
      </c>
      <c r="L129" s="9"/>
      <c r="M129" s="9"/>
      <c r="O129" s="9"/>
    </row>
    <row r="130" spans="1:15" x14ac:dyDescent="0.25">
      <c r="A130" s="9" t="s">
        <v>21</v>
      </c>
      <c r="B130" s="9" t="s">
        <v>28</v>
      </c>
      <c r="C130" s="11" t="s">
        <v>19</v>
      </c>
      <c r="D130" s="9" t="s">
        <v>12</v>
      </c>
      <c r="E130" s="9">
        <v>2013</v>
      </c>
      <c r="F130" s="44">
        <f t="shared" si="1"/>
        <v>48.571731537316943</v>
      </c>
      <c r="G130" s="38">
        <v>48.586352356105785</v>
      </c>
      <c r="H130" s="38">
        <v>35.699434935080305</v>
      </c>
      <c r="I130" s="38">
        <v>63.077606928674193</v>
      </c>
      <c r="J130" s="3">
        <v>50.67964601769912</v>
      </c>
      <c r="K130" s="9">
        <v>0.95840707964601768</v>
      </c>
      <c r="L130" s="9"/>
      <c r="M130" s="9"/>
      <c r="O130" s="9"/>
    </row>
    <row r="131" spans="1:15" x14ac:dyDescent="0.25">
      <c r="A131" s="9" t="s">
        <v>21</v>
      </c>
      <c r="B131" s="9" t="s">
        <v>28</v>
      </c>
      <c r="C131" s="11" t="s">
        <v>20</v>
      </c>
      <c r="D131" s="9" t="s">
        <v>12</v>
      </c>
      <c r="E131" s="9">
        <v>2013</v>
      </c>
      <c r="F131" s="44">
        <f t="shared" si="1"/>
        <v>71.560779230949947</v>
      </c>
      <c r="G131" s="38">
        <v>71.610062456960563</v>
      </c>
      <c r="H131" s="38">
        <v>56.045799317040348</v>
      </c>
      <c r="I131" s="38">
        <v>88.769842499060246</v>
      </c>
      <c r="J131" s="3">
        <v>74.666371681415924</v>
      </c>
      <c r="K131" s="9">
        <v>0.95840707964601768</v>
      </c>
      <c r="L131" s="9"/>
      <c r="M131" s="9"/>
      <c r="O131" s="9"/>
    </row>
    <row r="132" spans="1:15" x14ac:dyDescent="0.25">
      <c r="A132" s="9" t="s">
        <v>21</v>
      </c>
      <c r="B132" s="9" t="s">
        <v>28</v>
      </c>
      <c r="C132" s="11" t="s">
        <v>31</v>
      </c>
      <c r="D132" s="9" t="s">
        <v>15</v>
      </c>
      <c r="E132" s="9">
        <v>2013</v>
      </c>
      <c r="F132" s="44">
        <f t="shared" si="1"/>
        <v>22.782947764116219</v>
      </c>
      <c r="G132" s="38">
        <v>22.851467569334211</v>
      </c>
      <c r="H132" s="38">
        <v>14.31895122857995</v>
      </c>
      <c r="I132" s="38">
        <v>33.15446902631593</v>
      </c>
      <c r="J132" s="3">
        <v>23.771681415929205</v>
      </c>
      <c r="K132" s="9">
        <v>0.95840707964601768</v>
      </c>
      <c r="L132" s="9"/>
      <c r="M132" s="9"/>
      <c r="O132" s="9"/>
    </row>
    <row r="133" spans="1:15" x14ac:dyDescent="0.25">
      <c r="A133" s="9" t="s">
        <v>21</v>
      </c>
      <c r="B133" s="9" t="s">
        <v>28</v>
      </c>
      <c r="C133" s="11" t="s">
        <v>19</v>
      </c>
      <c r="D133" s="9" t="s">
        <v>15</v>
      </c>
      <c r="E133" s="9">
        <v>2013</v>
      </c>
      <c r="F133" s="44">
        <f t="shared" si="1"/>
        <v>84.563734043386333</v>
      </c>
      <c r="G133" s="38">
        <v>84.556428646116416</v>
      </c>
      <c r="H133" s="38">
        <v>67.697850005251141</v>
      </c>
      <c r="I133" s="38">
        <v>103.37369793235041</v>
      </c>
      <c r="J133" s="3">
        <v>88.233628318584081</v>
      </c>
      <c r="K133" s="9">
        <v>0.95840707964601768</v>
      </c>
      <c r="L133" s="9"/>
      <c r="M133" s="9"/>
      <c r="O133" s="9"/>
    </row>
    <row r="134" spans="1:15" x14ac:dyDescent="0.25">
      <c r="A134" s="9" t="s">
        <v>21</v>
      </c>
      <c r="B134" s="9" t="s">
        <v>28</v>
      </c>
      <c r="C134" s="11" t="s">
        <v>20</v>
      </c>
      <c r="D134" s="9" t="s">
        <v>15</v>
      </c>
      <c r="E134" s="9">
        <v>2013</v>
      </c>
      <c r="F134" s="44">
        <f t="shared" si="1"/>
        <v>124.58783146683373</v>
      </c>
      <c r="G134" s="38">
        <v>124.80234867291354</v>
      </c>
      <c r="H134" s="38">
        <v>103.41006410347595</v>
      </c>
      <c r="I134" s="38">
        <v>148.16504626413703</v>
      </c>
      <c r="J134" s="3">
        <v>129.99469026548672</v>
      </c>
      <c r="K134" s="9">
        <v>0.95840707964601768</v>
      </c>
      <c r="L134" s="9"/>
      <c r="M134" s="9"/>
      <c r="O134" s="9"/>
    </row>
    <row r="135" spans="1:15" x14ac:dyDescent="0.25">
      <c r="A135" s="9" t="s">
        <v>22</v>
      </c>
      <c r="B135" s="9" t="s">
        <v>11</v>
      </c>
      <c r="C135" s="9" t="s">
        <v>11</v>
      </c>
      <c r="D135" s="9" t="s">
        <v>11</v>
      </c>
      <c r="E135" s="9">
        <v>2013</v>
      </c>
      <c r="F135" s="44">
        <f>F136+F139+F142</f>
        <v>447.98683645833631</v>
      </c>
      <c r="G135" s="38">
        <v>447.85570000000001</v>
      </c>
      <c r="H135" s="38">
        <v>407</v>
      </c>
      <c r="I135" s="38">
        <v>490</v>
      </c>
      <c r="J135" s="11"/>
      <c r="K135" s="9"/>
      <c r="L135" s="9"/>
      <c r="M135" s="9"/>
      <c r="N135" s="9"/>
      <c r="O135" s="9"/>
    </row>
    <row r="136" spans="1:15" x14ac:dyDescent="0.25">
      <c r="A136" s="9" t="s">
        <v>22</v>
      </c>
      <c r="B136" s="9" t="s">
        <v>11</v>
      </c>
      <c r="C136" s="11" t="s">
        <v>31</v>
      </c>
      <c r="D136" s="9" t="s">
        <v>11</v>
      </c>
      <c r="E136" s="9">
        <v>2013</v>
      </c>
      <c r="F136" s="44">
        <f t="shared" si="1"/>
        <v>77.818414004002832</v>
      </c>
      <c r="G136" s="38"/>
      <c r="H136" s="38"/>
      <c r="I136" s="38"/>
      <c r="J136" s="3">
        <v>91.503791262704652</v>
      </c>
      <c r="K136" s="9">
        <v>0.85043923240938168</v>
      </c>
      <c r="L136" s="9"/>
      <c r="M136" s="9"/>
      <c r="N136" s="9"/>
      <c r="O136" s="9"/>
    </row>
    <row r="137" spans="1:15" x14ac:dyDescent="0.25">
      <c r="A137" s="9" t="s">
        <v>22</v>
      </c>
      <c r="B137" s="9" t="s">
        <v>11</v>
      </c>
      <c r="C137" s="11" t="s">
        <v>31</v>
      </c>
      <c r="D137" s="11" t="s">
        <v>12</v>
      </c>
      <c r="E137" s="9">
        <v>2013</v>
      </c>
      <c r="F137" s="44">
        <f t="shared" si="1"/>
        <v>44.467665145144473</v>
      </c>
      <c r="G137" s="38">
        <v>44.472571166908885</v>
      </c>
      <c r="H137" s="38">
        <v>32.368844826652449</v>
      </c>
      <c r="I137" s="38">
        <v>58.260267575567681</v>
      </c>
      <c r="J137" s="3">
        <v>52.287880721545513</v>
      </c>
      <c r="K137" s="9">
        <v>0.85043923240938168</v>
      </c>
      <c r="L137" s="9"/>
      <c r="M137" s="9"/>
      <c r="N137" s="9"/>
      <c r="O137" s="9"/>
    </row>
    <row r="138" spans="1:15" x14ac:dyDescent="0.25">
      <c r="A138" s="9" t="s">
        <v>22</v>
      </c>
      <c r="B138" s="9" t="s">
        <v>11</v>
      </c>
      <c r="C138" s="11" t="s">
        <v>31</v>
      </c>
      <c r="D138" s="11" t="s">
        <v>15</v>
      </c>
      <c r="E138" s="9">
        <v>2013</v>
      </c>
      <c r="F138" s="44">
        <f t="shared" si="1"/>
        <v>33.350748858858353</v>
      </c>
      <c r="G138" s="38">
        <v>33.461311947549177</v>
      </c>
      <c r="H138" s="38">
        <v>22.967311875789651</v>
      </c>
      <c r="I138" s="38">
        <v>123.77958566401372</v>
      </c>
      <c r="J138" s="3">
        <v>39.215910541159133</v>
      </c>
      <c r="K138" s="9">
        <v>0.85043923240938168</v>
      </c>
      <c r="L138" s="9"/>
      <c r="M138" s="9"/>
      <c r="N138" s="9"/>
      <c r="O138" s="9"/>
    </row>
    <row r="139" spans="1:15" x14ac:dyDescent="0.25">
      <c r="A139" s="9" t="s">
        <v>22</v>
      </c>
      <c r="B139" s="9" t="s">
        <v>11</v>
      </c>
      <c r="C139" s="9" t="s">
        <v>19</v>
      </c>
      <c r="D139" s="9" t="s">
        <v>11</v>
      </c>
      <c r="E139" s="9">
        <v>2013</v>
      </c>
      <c r="F139" s="44">
        <f t="shared" si="1"/>
        <v>236.97794615592613</v>
      </c>
      <c r="G139" s="38"/>
      <c r="H139" s="38"/>
      <c r="I139" s="38"/>
      <c r="J139" s="3">
        <v>278.65359113847944</v>
      </c>
      <c r="K139" s="9">
        <v>0.85043923240938168</v>
      </c>
      <c r="L139" s="9"/>
      <c r="M139" s="9"/>
      <c r="N139" s="9"/>
      <c r="O139" s="9"/>
    </row>
    <row r="140" spans="1:15" x14ac:dyDescent="0.25">
      <c r="A140" s="9" t="s">
        <v>22</v>
      </c>
      <c r="B140" s="9" t="s">
        <v>11</v>
      </c>
      <c r="C140" s="9" t="s">
        <v>19</v>
      </c>
      <c r="D140" s="11" t="s">
        <v>12</v>
      </c>
      <c r="E140" s="9">
        <v>2013</v>
      </c>
      <c r="F140" s="44">
        <f t="shared" si="1"/>
        <v>134.10379898746208</v>
      </c>
      <c r="G140" s="38">
        <v>133.98872743442044</v>
      </c>
      <c r="H140" s="38">
        <v>111.93385334266021</v>
      </c>
      <c r="I140" s="38">
        <v>45.604123202917918</v>
      </c>
      <c r="J140" s="3">
        <v>157.68769110937208</v>
      </c>
      <c r="K140" s="9">
        <v>0.85043923240938168</v>
      </c>
      <c r="L140" s="9"/>
      <c r="M140" s="9"/>
      <c r="N140" s="9"/>
      <c r="O140" s="9"/>
    </row>
    <row r="141" spans="1:15" x14ac:dyDescent="0.25">
      <c r="A141" s="9" t="s">
        <v>22</v>
      </c>
      <c r="B141" s="9" t="s">
        <v>11</v>
      </c>
      <c r="C141" s="9" t="s">
        <v>19</v>
      </c>
      <c r="D141" s="11" t="s">
        <v>15</v>
      </c>
      <c r="E141" s="9">
        <v>2013</v>
      </c>
      <c r="F141" s="44">
        <f t="shared" si="1"/>
        <v>102.87414716846406</v>
      </c>
      <c r="G141" s="38">
        <v>102.94181711720842</v>
      </c>
      <c r="H141" s="38">
        <v>83.73701926388793</v>
      </c>
      <c r="I141" s="38">
        <v>137.13390685184478</v>
      </c>
      <c r="J141" s="3">
        <v>120.96590002910736</v>
      </c>
      <c r="K141" s="9">
        <v>0.85043923240938168</v>
      </c>
      <c r="L141" s="9"/>
      <c r="M141" s="9"/>
      <c r="N141" s="9"/>
      <c r="O141" s="9"/>
    </row>
    <row r="142" spans="1:15" x14ac:dyDescent="0.25">
      <c r="A142" s="9" t="s">
        <v>22</v>
      </c>
      <c r="B142" s="9" t="s">
        <v>11</v>
      </c>
      <c r="C142" s="11" t="s">
        <v>20</v>
      </c>
      <c r="D142" s="9" t="s">
        <v>11</v>
      </c>
      <c r="E142" s="9">
        <v>2013</v>
      </c>
      <c r="F142" s="44">
        <f t="shared" si="1"/>
        <v>133.19047629840736</v>
      </c>
      <c r="G142" s="38"/>
      <c r="H142" s="38"/>
      <c r="I142" s="38"/>
      <c r="J142" s="3">
        <v>156.61374878139742</v>
      </c>
      <c r="K142" s="9">
        <v>0.85043923240938168</v>
      </c>
      <c r="L142" s="9"/>
      <c r="M142" s="9"/>
      <c r="N142" s="9"/>
      <c r="O142" s="9"/>
    </row>
    <row r="143" spans="1:15" x14ac:dyDescent="0.25">
      <c r="A143" s="9" t="s">
        <v>22</v>
      </c>
      <c r="B143" s="9" t="s">
        <v>11</v>
      </c>
      <c r="C143" s="11" t="s">
        <v>20</v>
      </c>
      <c r="D143" s="11" t="s">
        <v>12</v>
      </c>
      <c r="E143" s="9">
        <v>2013</v>
      </c>
      <c r="F143" s="44">
        <f t="shared" si="1"/>
        <v>115.26098910439097</v>
      </c>
      <c r="G143" s="38">
        <v>115.08941123441731</v>
      </c>
      <c r="H143" s="38">
        <v>95.319512467665362</v>
      </c>
      <c r="I143" s="38">
        <v>157.57710502933074</v>
      </c>
      <c r="J143" s="3">
        <v>135.53112875313238</v>
      </c>
      <c r="K143" s="9">
        <v>0.85043923240938168</v>
      </c>
      <c r="L143" s="9"/>
      <c r="M143" s="9"/>
      <c r="N143" s="9"/>
      <c r="O143" s="9"/>
    </row>
    <row r="144" spans="1:15" x14ac:dyDescent="0.25">
      <c r="A144" s="9" t="s">
        <v>22</v>
      </c>
      <c r="B144" s="9" t="s">
        <v>11</v>
      </c>
      <c r="C144" s="11" t="s">
        <v>20</v>
      </c>
      <c r="D144" s="11" t="s">
        <v>15</v>
      </c>
      <c r="E144" s="9">
        <v>2013</v>
      </c>
      <c r="F144" s="44">
        <f t="shared" si="1"/>
        <v>17.929487194016374</v>
      </c>
      <c r="G144" s="38">
        <v>17.901861099495761</v>
      </c>
      <c r="H144" s="38">
        <v>10.644556141789266</v>
      </c>
      <c r="I144" s="38">
        <v>27.108904517449929</v>
      </c>
      <c r="J144" s="3">
        <v>21.082620028265037</v>
      </c>
      <c r="K144" s="9">
        <v>0.85043923240938168</v>
      </c>
      <c r="L144" s="9"/>
      <c r="M144" s="9"/>
      <c r="N144" s="9"/>
      <c r="O144" s="9"/>
    </row>
    <row r="145" spans="1:15" x14ac:dyDescent="0.25">
      <c r="A145" s="52" t="s">
        <v>22</v>
      </c>
      <c r="B145" s="52" t="s">
        <v>24</v>
      </c>
      <c r="C145" s="52" t="s">
        <v>11</v>
      </c>
      <c r="D145" s="52" t="s">
        <v>11</v>
      </c>
      <c r="E145" s="52">
        <v>2013</v>
      </c>
      <c r="F145" s="51">
        <f t="shared" si="1"/>
        <v>0</v>
      </c>
      <c r="G145" s="66"/>
      <c r="H145" s="66"/>
      <c r="I145" s="66"/>
      <c r="J145" s="52"/>
      <c r="K145" s="52"/>
      <c r="L145" s="9"/>
      <c r="M145" s="9"/>
      <c r="N145" s="9"/>
      <c r="O145" s="9"/>
    </row>
    <row r="146" spans="1:15" x14ac:dyDescent="0.25">
      <c r="A146" s="52" t="s">
        <v>22</v>
      </c>
      <c r="B146" s="52" t="s">
        <v>24</v>
      </c>
      <c r="C146" s="52" t="s">
        <v>31</v>
      </c>
      <c r="D146" s="52" t="s">
        <v>11</v>
      </c>
      <c r="E146" s="52">
        <v>2013</v>
      </c>
      <c r="F146" s="51">
        <f t="shared" si="1"/>
        <v>0</v>
      </c>
      <c r="G146" s="66"/>
      <c r="H146" s="66"/>
      <c r="I146" s="66"/>
      <c r="J146" s="52"/>
      <c r="K146" s="52"/>
      <c r="L146" s="9"/>
      <c r="M146" s="9"/>
      <c r="N146" s="9"/>
      <c r="O146" s="9"/>
    </row>
    <row r="147" spans="1:15" x14ac:dyDescent="0.25">
      <c r="A147" s="52" t="s">
        <v>22</v>
      </c>
      <c r="B147" s="52" t="s">
        <v>24</v>
      </c>
      <c r="C147" s="52" t="s">
        <v>19</v>
      </c>
      <c r="D147" s="52" t="s">
        <v>11</v>
      </c>
      <c r="E147" s="52">
        <v>2013</v>
      </c>
      <c r="F147" s="51">
        <f t="shared" si="1"/>
        <v>0</v>
      </c>
      <c r="G147" s="66"/>
      <c r="H147" s="66"/>
      <c r="I147" s="66"/>
      <c r="J147" s="52"/>
      <c r="K147" s="52"/>
      <c r="L147" s="9"/>
      <c r="M147" s="9"/>
      <c r="N147" s="9"/>
      <c r="O147" s="9"/>
    </row>
    <row r="148" spans="1:15" x14ac:dyDescent="0.25">
      <c r="A148" s="52" t="s">
        <v>22</v>
      </c>
      <c r="B148" s="52" t="s">
        <v>24</v>
      </c>
      <c r="C148" s="52" t="s">
        <v>20</v>
      </c>
      <c r="D148" s="52" t="s">
        <v>11</v>
      </c>
      <c r="E148" s="52">
        <v>2013</v>
      </c>
      <c r="F148" s="51">
        <f t="shared" si="1"/>
        <v>0</v>
      </c>
      <c r="G148" s="66"/>
      <c r="H148" s="66"/>
      <c r="I148" s="66"/>
      <c r="J148" s="52"/>
      <c r="K148" s="52"/>
      <c r="L148" s="9"/>
      <c r="M148" s="9"/>
      <c r="N148" s="9"/>
      <c r="O148" s="9"/>
    </row>
    <row r="149" spans="1:15" x14ac:dyDescent="0.25">
      <c r="A149" s="52" t="s">
        <v>22</v>
      </c>
      <c r="B149" s="52" t="s">
        <v>26</v>
      </c>
      <c r="C149" s="52" t="s">
        <v>31</v>
      </c>
      <c r="D149" s="52" t="s">
        <v>12</v>
      </c>
      <c r="E149" s="52">
        <v>2013</v>
      </c>
      <c r="F149" s="51">
        <f t="shared" si="1"/>
        <v>0</v>
      </c>
      <c r="G149" s="66"/>
      <c r="H149" s="66"/>
      <c r="I149" s="66"/>
      <c r="J149" s="52"/>
      <c r="K149" s="52"/>
      <c r="L149" s="9"/>
      <c r="M149" s="9"/>
      <c r="N149" s="9"/>
      <c r="O149" s="9"/>
    </row>
    <row r="150" spans="1:15" x14ac:dyDescent="0.25">
      <c r="A150" s="52" t="s">
        <v>22</v>
      </c>
      <c r="B150" s="52" t="s">
        <v>26</v>
      </c>
      <c r="C150" s="52" t="s">
        <v>19</v>
      </c>
      <c r="D150" s="52" t="s">
        <v>12</v>
      </c>
      <c r="E150" s="52">
        <v>2013</v>
      </c>
      <c r="F150" s="51">
        <f t="shared" si="1"/>
        <v>0</v>
      </c>
      <c r="G150" s="66"/>
      <c r="H150" s="66"/>
      <c r="I150" s="66"/>
      <c r="J150" s="52"/>
      <c r="K150" s="52"/>
      <c r="L150" s="9"/>
      <c r="M150" s="9"/>
      <c r="N150" s="9"/>
      <c r="O150" s="9"/>
    </row>
    <row r="151" spans="1:15" x14ac:dyDescent="0.25">
      <c r="A151" s="52" t="s">
        <v>22</v>
      </c>
      <c r="B151" s="52" t="s">
        <v>26</v>
      </c>
      <c r="C151" s="52" t="s">
        <v>20</v>
      </c>
      <c r="D151" s="52" t="s">
        <v>12</v>
      </c>
      <c r="E151" s="52">
        <v>2013</v>
      </c>
      <c r="F151" s="51">
        <f t="shared" si="1"/>
        <v>0</v>
      </c>
      <c r="G151" s="66"/>
      <c r="H151" s="66"/>
      <c r="I151" s="66"/>
      <c r="J151" s="52"/>
      <c r="K151" s="52"/>
      <c r="L151" s="9"/>
      <c r="M151" s="9"/>
      <c r="N151" s="9"/>
      <c r="O151" s="9"/>
    </row>
    <row r="152" spans="1:15" x14ac:dyDescent="0.25">
      <c r="A152" s="52" t="s">
        <v>22</v>
      </c>
      <c r="B152" s="52" t="s">
        <v>26</v>
      </c>
      <c r="C152" s="52" t="s">
        <v>31</v>
      </c>
      <c r="D152" s="52" t="s">
        <v>15</v>
      </c>
      <c r="E152" s="52">
        <v>2013</v>
      </c>
      <c r="F152" s="51">
        <f t="shared" si="1"/>
        <v>0</v>
      </c>
      <c r="G152" s="66"/>
      <c r="H152" s="66"/>
      <c r="I152" s="66"/>
      <c r="J152" s="52"/>
      <c r="K152" s="52"/>
      <c r="L152" s="9"/>
      <c r="M152" s="9"/>
      <c r="N152" s="9"/>
      <c r="O152" s="9"/>
    </row>
    <row r="153" spans="1:15" x14ac:dyDescent="0.25">
      <c r="A153" s="52" t="s">
        <v>22</v>
      </c>
      <c r="B153" s="52" t="s">
        <v>26</v>
      </c>
      <c r="C153" s="52" t="s">
        <v>19</v>
      </c>
      <c r="D153" s="52" t="s">
        <v>15</v>
      </c>
      <c r="E153" s="52">
        <v>2013</v>
      </c>
      <c r="F153" s="51">
        <f t="shared" si="1"/>
        <v>0</v>
      </c>
      <c r="G153" s="66"/>
      <c r="H153" s="66"/>
      <c r="I153" s="66"/>
      <c r="J153" s="52"/>
      <c r="K153" s="52"/>
      <c r="L153" s="9"/>
      <c r="M153" s="9"/>
      <c r="N153" s="9"/>
      <c r="O153" s="9"/>
    </row>
    <row r="154" spans="1:15" x14ac:dyDescent="0.25">
      <c r="A154" s="52" t="s">
        <v>22</v>
      </c>
      <c r="B154" s="52" t="s">
        <v>26</v>
      </c>
      <c r="C154" s="52" t="s">
        <v>20</v>
      </c>
      <c r="D154" s="52" t="s">
        <v>15</v>
      </c>
      <c r="E154" s="52">
        <v>2013</v>
      </c>
      <c r="F154" s="51">
        <f t="shared" si="1"/>
        <v>0</v>
      </c>
      <c r="G154" s="66"/>
      <c r="H154" s="66"/>
      <c r="I154" s="66"/>
      <c r="J154" s="52"/>
      <c r="K154" s="52"/>
      <c r="L154" s="9"/>
      <c r="M154" s="9"/>
      <c r="N154" s="9"/>
      <c r="O154" s="9"/>
    </row>
    <row r="155" spans="1:15" x14ac:dyDescent="0.25">
      <c r="A155" s="52" t="s">
        <v>22</v>
      </c>
      <c r="B155" s="52" t="s">
        <v>27</v>
      </c>
      <c r="C155" s="52" t="s">
        <v>31</v>
      </c>
      <c r="D155" s="52" t="s">
        <v>11</v>
      </c>
      <c r="E155" s="52">
        <v>2013</v>
      </c>
      <c r="F155" s="51">
        <f t="shared" si="1"/>
        <v>0</v>
      </c>
      <c r="G155" s="66"/>
      <c r="H155" s="66"/>
      <c r="I155" s="66"/>
      <c r="J155" s="52"/>
      <c r="K155" s="52"/>
      <c r="L155" s="9"/>
      <c r="M155" s="9"/>
      <c r="N155" s="9"/>
      <c r="O155" s="9"/>
    </row>
    <row r="156" spans="1:15" x14ac:dyDescent="0.25">
      <c r="A156" s="52" t="s">
        <v>22</v>
      </c>
      <c r="B156" s="52" t="s">
        <v>27</v>
      </c>
      <c r="C156" s="52" t="s">
        <v>19</v>
      </c>
      <c r="D156" s="52" t="s">
        <v>11</v>
      </c>
      <c r="E156" s="52">
        <v>2013</v>
      </c>
      <c r="F156" s="51">
        <f t="shared" si="1"/>
        <v>0</v>
      </c>
      <c r="G156" s="66"/>
      <c r="H156" s="66"/>
      <c r="I156" s="66"/>
      <c r="J156" s="52"/>
      <c r="K156" s="52"/>
      <c r="L156" s="9"/>
      <c r="M156" s="9"/>
      <c r="N156" s="9"/>
      <c r="O156" s="9"/>
    </row>
    <row r="157" spans="1:15" x14ac:dyDescent="0.25">
      <c r="A157" s="52" t="s">
        <v>22</v>
      </c>
      <c r="B157" s="52" t="s">
        <v>27</v>
      </c>
      <c r="C157" s="52" t="s">
        <v>20</v>
      </c>
      <c r="D157" s="52" t="s">
        <v>11</v>
      </c>
      <c r="E157" s="52">
        <v>2013</v>
      </c>
      <c r="F157" s="51">
        <f t="shared" si="1"/>
        <v>0</v>
      </c>
      <c r="G157" s="66"/>
      <c r="H157" s="66"/>
      <c r="I157" s="66"/>
      <c r="J157" s="52"/>
      <c r="K157" s="52"/>
      <c r="L157" s="9"/>
      <c r="M157" s="9"/>
      <c r="N157" s="9"/>
      <c r="O157" s="9"/>
    </row>
    <row r="158" spans="1:15" x14ac:dyDescent="0.25">
      <c r="A158" s="52" t="s">
        <v>22</v>
      </c>
      <c r="B158" s="52" t="s">
        <v>28</v>
      </c>
      <c r="C158" s="52" t="s">
        <v>31</v>
      </c>
      <c r="D158" s="52" t="s">
        <v>12</v>
      </c>
      <c r="E158" s="52">
        <v>2013</v>
      </c>
      <c r="F158" s="51">
        <f t="shared" si="1"/>
        <v>0</v>
      </c>
      <c r="G158" s="66"/>
      <c r="H158" s="66"/>
      <c r="I158" s="66"/>
      <c r="J158" s="52"/>
      <c r="K158" s="52"/>
      <c r="L158" s="9"/>
      <c r="M158" s="9"/>
      <c r="N158" s="9"/>
      <c r="O158" s="9"/>
    </row>
    <row r="159" spans="1:15" x14ac:dyDescent="0.25">
      <c r="A159" s="52" t="s">
        <v>22</v>
      </c>
      <c r="B159" s="52" t="s">
        <v>28</v>
      </c>
      <c r="C159" s="52" t="s">
        <v>19</v>
      </c>
      <c r="D159" s="52" t="s">
        <v>12</v>
      </c>
      <c r="E159" s="52">
        <v>2013</v>
      </c>
      <c r="F159" s="51">
        <f t="shared" si="1"/>
        <v>0</v>
      </c>
      <c r="G159" s="66"/>
      <c r="H159" s="66"/>
      <c r="I159" s="66"/>
      <c r="J159" s="52"/>
      <c r="K159" s="52"/>
      <c r="L159" s="9"/>
      <c r="M159" s="9"/>
      <c r="N159" s="9"/>
      <c r="O159" s="9"/>
    </row>
    <row r="160" spans="1:15" x14ac:dyDescent="0.25">
      <c r="A160" s="52" t="s">
        <v>22</v>
      </c>
      <c r="B160" s="52" t="s">
        <v>28</v>
      </c>
      <c r="C160" s="52" t="s">
        <v>20</v>
      </c>
      <c r="D160" s="52" t="s">
        <v>12</v>
      </c>
      <c r="E160" s="52">
        <v>2013</v>
      </c>
      <c r="F160" s="51">
        <f t="shared" si="1"/>
        <v>0</v>
      </c>
      <c r="G160" s="66"/>
      <c r="H160" s="66"/>
      <c r="I160" s="66"/>
      <c r="J160" s="52"/>
      <c r="K160" s="52"/>
      <c r="L160" s="9"/>
      <c r="M160" s="9"/>
      <c r="N160" s="9"/>
      <c r="O160" s="9"/>
    </row>
    <row r="161" spans="1:15" x14ac:dyDescent="0.25">
      <c r="A161" s="52" t="s">
        <v>22</v>
      </c>
      <c r="B161" s="52" t="s">
        <v>28</v>
      </c>
      <c r="C161" s="52" t="s">
        <v>31</v>
      </c>
      <c r="D161" s="52" t="s">
        <v>15</v>
      </c>
      <c r="E161" s="52">
        <v>2013</v>
      </c>
      <c r="F161" s="51">
        <f t="shared" si="1"/>
        <v>0</v>
      </c>
      <c r="G161" s="66"/>
      <c r="H161" s="66"/>
      <c r="I161" s="66"/>
      <c r="J161" s="52"/>
      <c r="K161" s="52"/>
      <c r="L161" s="9"/>
      <c r="M161" s="9"/>
      <c r="N161" s="9"/>
      <c r="O161" s="9"/>
    </row>
    <row r="162" spans="1:15" x14ac:dyDescent="0.25">
      <c r="A162" s="52" t="s">
        <v>22</v>
      </c>
      <c r="B162" s="52" t="s">
        <v>28</v>
      </c>
      <c r="C162" s="52" t="s">
        <v>19</v>
      </c>
      <c r="D162" s="52" t="s">
        <v>15</v>
      </c>
      <c r="E162" s="52">
        <v>2013</v>
      </c>
      <c r="F162" s="51">
        <f t="shared" si="1"/>
        <v>0</v>
      </c>
      <c r="G162" s="66"/>
      <c r="H162" s="66"/>
      <c r="I162" s="66"/>
      <c r="J162" s="52"/>
      <c r="K162" s="52"/>
      <c r="L162" s="9"/>
      <c r="M162" s="9"/>
      <c r="N162" s="9"/>
      <c r="O162" s="9"/>
    </row>
    <row r="163" spans="1:15" ht="15.75" thickBot="1" x14ac:dyDescent="0.3">
      <c r="A163" s="56" t="s">
        <v>22</v>
      </c>
      <c r="B163" s="56" t="s">
        <v>28</v>
      </c>
      <c r="C163" s="56" t="s">
        <v>20</v>
      </c>
      <c r="D163" s="56" t="s">
        <v>15</v>
      </c>
      <c r="E163" s="56">
        <v>2013</v>
      </c>
      <c r="F163" s="55">
        <f t="shared" si="1"/>
        <v>0</v>
      </c>
      <c r="G163" s="67"/>
      <c r="H163" s="67"/>
      <c r="I163" s="67"/>
      <c r="J163" s="56"/>
      <c r="K163" s="56"/>
      <c r="L163" s="6"/>
      <c r="M163" s="6"/>
      <c r="N163" s="6"/>
      <c r="O163" s="9"/>
    </row>
    <row r="164" spans="1:15" x14ac:dyDescent="0.25">
      <c r="A164" s="9" t="s">
        <v>10</v>
      </c>
      <c r="B164" s="9" t="s">
        <v>11</v>
      </c>
      <c r="C164" s="9" t="s">
        <v>11</v>
      </c>
      <c r="D164" s="9" t="s">
        <v>11</v>
      </c>
      <c r="E164" s="9">
        <v>2014</v>
      </c>
      <c r="F164" s="44">
        <f>SUM(F166:F168,F170:F175,F177:F179,F181:F183,F185:F187)</f>
        <v>23875.518456102651</v>
      </c>
      <c r="G164" s="38">
        <v>23875.602800000001</v>
      </c>
      <c r="H164" s="38">
        <v>23578</v>
      </c>
      <c r="I164" s="38">
        <v>24177.024999999998</v>
      </c>
      <c r="J164" s="24">
        <f>SUM(J166:J168,J170:J175,J177:J179,J181:J183,J185:J187)</f>
        <v>26041.999999999996</v>
      </c>
      <c r="K164" s="11"/>
      <c r="L164" s="9"/>
      <c r="M164" s="9"/>
      <c r="N164" s="9"/>
      <c r="O164" s="9"/>
    </row>
    <row r="165" spans="1:15" x14ac:dyDescent="0.25">
      <c r="A165" s="9" t="s">
        <v>10</v>
      </c>
      <c r="B165" s="9" t="s">
        <v>24</v>
      </c>
      <c r="C165" s="9" t="s">
        <v>11</v>
      </c>
      <c r="D165" s="9" t="s">
        <v>11</v>
      </c>
      <c r="E165" s="9">
        <v>2014</v>
      </c>
      <c r="F165" s="44">
        <f>SUM(F166:F168)</f>
        <v>12439.311133404201</v>
      </c>
      <c r="G165" s="38"/>
      <c r="H165" s="38"/>
      <c r="I165" s="38"/>
      <c r="J165" s="24">
        <f>SUM(J166:J168)</f>
        <v>13668.070688280626</v>
      </c>
      <c r="K165" s="11"/>
      <c r="L165" s="9"/>
      <c r="M165" s="9"/>
      <c r="N165" s="9"/>
      <c r="O165" s="9"/>
    </row>
    <row r="166" spans="1:15" x14ac:dyDescent="0.25">
      <c r="A166" s="9" t="s">
        <v>10</v>
      </c>
      <c r="B166" s="9" t="s">
        <v>24</v>
      </c>
      <c r="C166" s="9" t="s">
        <v>31</v>
      </c>
      <c r="D166" s="9" t="s">
        <v>11</v>
      </c>
      <c r="E166" s="9">
        <v>2014</v>
      </c>
      <c r="F166" s="44">
        <f t="shared" si="1"/>
        <v>1854.6329307453698</v>
      </c>
      <c r="G166" s="38">
        <v>1855.1242884511541</v>
      </c>
      <c r="H166" s="38">
        <v>1772.1070461368579</v>
      </c>
      <c r="I166" s="38">
        <v>1938.8144691996956</v>
      </c>
      <c r="J166" s="24">
        <v>2037.8342278270188</v>
      </c>
      <c r="K166" s="11">
        <v>0.91010000000000002</v>
      </c>
      <c r="L166" s="9"/>
      <c r="M166" s="9"/>
      <c r="O166" s="9"/>
    </row>
    <row r="167" spans="1:15" x14ac:dyDescent="0.25">
      <c r="A167" s="9" t="s">
        <v>10</v>
      </c>
      <c r="B167" s="9" t="s">
        <v>24</v>
      </c>
      <c r="C167" s="9" t="s">
        <v>19</v>
      </c>
      <c r="D167" s="9" t="s">
        <v>11</v>
      </c>
      <c r="E167" s="9">
        <v>2014</v>
      </c>
      <c r="F167" s="44">
        <f t="shared" si="1"/>
        <v>4181.1776962249023</v>
      </c>
      <c r="G167" s="38">
        <v>4181.0261923078488</v>
      </c>
      <c r="H167" s="38">
        <v>4056.0877754048224</v>
      </c>
      <c r="I167" s="38">
        <v>4307.6359858789892</v>
      </c>
      <c r="J167" s="24">
        <v>4594.1959083890806</v>
      </c>
      <c r="K167" s="11">
        <v>0.91010000000000002</v>
      </c>
      <c r="L167" s="9"/>
      <c r="M167" s="9"/>
      <c r="O167" s="9"/>
    </row>
    <row r="168" spans="1:15" x14ac:dyDescent="0.25">
      <c r="A168" s="9" t="s">
        <v>10</v>
      </c>
      <c r="B168" s="9" t="s">
        <v>24</v>
      </c>
      <c r="C168" s="9" t="s">
        <v>20</v>
      </c>
      <c r="D168" s="9" t="s">
        <v>11</v>
      </c>
      <c r="E168" s="9">
        <v>2014</v>
      </c>
      <c r="F168" s="44">
        <f t="shared" si="1"/>
        <v>6403.5005064339275</v>
      </c>
      <c r="G168" s="38">
        <v>6404.0074596608583</v>
      </c>
      <c r="H168" s="38">
        <v>6249.7945994278343</v>
      </c>
      <c r="I168" s="38">
        <v>6560.7176746843834</v>
      </c>
      <c r="J168" s="24">
        <v>7036.0405520645281</v>
      </c>
      <c r="K168" s="11">
        <v>0.91010000000000002</v>
      </c>
      <c r="L168" s="9"/>
      <c r="M168" s="9"/>
      <c r="O168" s="9"/>
    </row>
    <row r="169" spans="1:15" x14ac:dyDescent="0.25">
      <c r="A169" s="9" t="s">
        <v>10</v>
      </c>
      <c r="B169" s="9" t="s">
        <v>26</v>
      </c>
      <c r="C169" s="9" t="s">
        <v>11</v>
      </c>
      <c r="D169" s="9" t="s">
        <v>11</v>
      </c>
      <c r="E169" s="9">
        <v>2014</v>
      </c>
      <c r="F169" s="44">
        <f>SUM(F170:F175)</f>
        <v>1465.4067017729014</v>
      </c>
      <c r="G169" s="38"/>
      <c r="H169" s="38"/>
      <c r="I169" s="38"/>
      <c r="J169" s="24">
        <f>SUM(J170:J175)</f>
        <v>1590.7360388747582</v>
      </c>
      <c r="K169" s="11"/>
      <c r="L169" s="9"/>
      <c r="M169" s="9"/>
      <c r="O169" s="9"/>
    </row>
    <row r="170" spans="1:15" x14ac:dyDescent="0.25">
      <c r="A170" s="9" t="s">
        <v>10</v>
      </c>
      <c r="B170" s="9" t="s">
        <v>26</v>
      </c>
      <c r="C170" s="9" t="s">
        <v>31</v>
      </c>
      <c r="D170" s="9" t="s">
        <v>12</v>
      </c>
      <c r="E170" s="9">
        <v>2014</v>
      </c>
      <c r="F170" s="44">
        <f t="shared" si="1"/>
        <v>119.12578969272245</v>
      </c>
      <c r="G170" s="38">
        <v>119.20473016513432</v>
      </c>
      <c r="H170" s="38">
        <v>99.087633419720959</v>
      </c>
      <c r="I170" s="38">
        <v>141.48092827145061</v>
      </c>
      <c r="J170" s="24">
        <v>130.89307734614047</v>
      </c>
      <c r="K170" s="11">
        <v>0.91010000000000002</v>
      </c>
      <c r="L170" s="9"/>
      <c r="M170" s="9"/>
      <c r="O170" s="9"/>
    </row>
    <row r="171" spans="1:15" x14ac:dyDescent="0.25">
      <c r="A171" s="9" t="s">
        <v>10</v>
      </c>
      <c r="B171" s="9" t="s">
        <v>26</v>
      </c>
      <c r="C171" s="9" t="s">
        <v>19</v>
      </c>
      <c r="D171" s="9" t="s">
        <v>12</v>
      </c>
      <c r="E171" s="9">
        <v>2014</v>
      </c>
      <c r="F171" s="44">
        <f t="shared" si="1"/>
        <v>268.56316775751998</v>
      </c>
      <c r="G171" s="38">
        <v>268.33615277631657</v>
      </c>
      <c r="H171" s="38">
        <v>236.88223305459465</v>
      </c>
      <c r="I171" s="38">
        <v>301.33995750533472</v>
      </c>
      <c r="J171" s="24">
        <v>295.09193248821003</v>
      </c>
      <c r="K171" s="11">
        <v>0.91010000000000002</v>
      </c>
      <c r="L171" s="9"/>
      <c r="M171" s="9"/>
      <c r="O171" s="9"/>
    </row>
    <row r="172" spans="1:15" x14ac:dyDescent="0.25">
      <c r="A172" s="9" t="s">
        <v>10</v>
      </c>
      <c r="B172" s="9" t="s">
        <v>26</v>
      </c>
      <c r="C172" s="9" t="s">
        <v>20</v>
      </c>
      <c r="D172" s="9" t="s">
        <v>12</v>
      </c>
      <c r="E172" s="9">
        <v>2014</v>
      </c>
      <c r="F172" s="44">
        <f t="shared" si="1"/>
        <v>411.3062169774559</v>
      </c>
      <c r="G172" s="38">
        <v>410.93303915975565</v>
      </c>
      <c r="H172" s="38">
        <v>372.74339504915412</v>
      </c>
      <c r="I172" s="38">
        <v>450.34032754296493</v>
      </c>
      <c r="J172" s="24">
        <v>451.93519061362036</v>
      </c>
      <c r="K172" s="11">
        <v>0.91010000000000002</v>
      </c>
      <c r="L172" s="9"/>
      <c r="M172" s="9"/>
      <c r="O172" s="9"/>
    </row>
    <row r="173" spans="1:15" x14ac:dyDescent="0.25">
      <c r="A173" s="9" t="s">
        <v>10</v>
      </c>
      <c r="B173" s="9" t="s">
        <v>26</v>
      </c>
      <c r="C173" s="9" t="s">
        <v>31</v>
      </c>
      <c r="D173" s="9" t="s">
        <v>15</v>
      </c>
      <c r="E173" s="9">
        <v>2014</v>
      </c>
      <c r="F173" s="44">
        <f t="shared" si="1"/>
        <v>38.909080052716448</v>
      </c>
      <c r="G173" s="38">
        <v>38.893204165735142</v>
      </c>
      <c r="H173" s="38">
        <v>27.760660429325444</v>
      </c>
      <c r="I173" s="38">
        <v>52.165144934340802</v>
      </c>
      <c r="J173" s="24">
        <v>41.618440531304365</v>
      </c>
      <c r="K173" s="11">
        <v>0.93489999999999995</v>
      </c>
      <c r="L173" s="9"/>
      <c r="M173" s="9"/>
      <c r="O173" s="9"/>
    </row>
    <row r="174" spans="1:15" x14ac:dyDescent="0.25">
      <c r="A174" s="9" t="s">
        <v>10</v>
      </c>
      <c r="B174" s="9" t="s">
        <v>26</v>
      </c>
      <c r="C174" s="9" t="s">
        <v>19</v>
      </c>
      <c r="D174" s="9" t="s">
        <v>15</v>
      </c>
      <c r="E174" s="9">
        <v>2014</v>
      </c>
      <c r="F174" s="44">
        <f t="shared" si="1"/>
        <v>472.14672140892424</v>
      </c>
      <c r="G174" s="38">
        <v>471.8828144303701</v>
      </c>
      <c r="H174" s="38">
        <v>429.40015344775958</v>
      </c>
      <c r="I174" s="38">
        <v>514.91215558102181</v>
      </c>
      <c r="J174" s="24">
        <v>505.02376875486607</v>
      </c>
      <c r="K174" s="11">
        <v>0.93489999999999995</v>
      </c>
      <c r="L174" s="9"/>
      <c r="M174" s="9"/>
      <c r="O174" s="9"/>
    </row>
    <row r="175" spans="1:15" x14ac:dyDescent="0.25">
      <c r="A175" s="9" t="s">
        <v>10</v>
      </c>
      <c r="B175" s="9" t="s">
        <v>26</v>
      </c>
      <c r="C175" s="9" t="s">
        <v>20</v>
      </c>
      <c r="D175" s="9" t="s">
        <v>15</v>
      </c>
      <c r="E175" s="9">
        <v>2014</v>
      </c>
      <c r="F175" s="44">
        <f t="shared" si="1"/>
        <v>155.35572588356249</v>
      </c>
      <c r="G175" s="38">
        <v>155.29692352063614</v>
      </c>
      <c r="H175" s="38">
        <v>132.11954208449967</v>
      </c>
      <c r="I175" s="38">
        <v>180.60373113640642</v>
      </c>
      <c r="J175" s="24">
        <v>166.17362914061664</v>
      </c>
      <c r="K175" s="11">
        <v>0.93489999999999995</v>
      </c>
      <c r="L175" s="9"/>
      <c r="M175" s="9"/>
      <c r="O175" s="9"/>
    </row>
    <row r="176" spans="1:15" x14ac:dyDescent="0.25">
      <c r="A176" s="9" t="s">
        <v>10</v>
      </c>
      <c r="B176" s="9" t="s">
        <v>27</v>
      </c>
      <c r="C176" s="9" t="s">
        <v>11</v>
      </c>
      <c r="D176" s="9" t="s">
        <v>11</v>
      </c>
      <c r="E176" s="9">
        <v>2014</v>
      </c>
      <c r="F176" s="44">
        <f>SUM(F177:F179)</f>
        <v>617.24176763220839</v>
      </c>
      <c r="G176" s="38"/>
      <c r="H176" s="38"/>
      <c r="I176" s="38"/>
      <c r="J176" s="24">
        <f>SUM(J177:J179)</f>
        <v>678.21312782354505</v>
      </c>
      <c r="K176" s="11"/>
      <c r="L176" s="9"/>
      <c r="M176" s="9"/>
      <c r="O176" s="9"/>
    </row>
    <row r="177" spans="1:15" x14ac:dyDescent="0.25">
      <c r="A177" s="9" t="s">
        <v>10</v>
      </c>
      <c r="B177" s="9" t="s">
        <v>27</v>
      </c>
      <c r="C177" s="9" t="s">
        <v>31</v>
      </c>
      <c r="D177" s="9" t="s">
        <v>11</v>
      </c>
      <c r="E177" s="9">
        <v>2014</v>
      </c>
      <c r="F177" s="44">
        <f t="shared" si="1"/>
        <v>92.027355550909462</v>
      </c>
      <c r="G177" s="38">
        <v>92.026338558396802</v>
      </c>
      <c r="H177" s="38">
        <v>73.797240422472953</v>
      </c>
      <c r="I177" s="38">
        <v>111.81531464593994</v>
      </c>
      <c r="J177" s="24">
        <v>101.11785029217609</v>
      </c>
      <c r="K177" s="11">
        <v>0.91010000000000002</v>
      </c>
      <c r="L177" s="9"/>
      <c r="M177" s="9"/>
      <c r="O177" s="9"/>
    </row>
    <row r="178" spans="1:15" x14ac:dyDescent="0.25">
      <c r="A178" s="9" t="s">
        <v>10</v>
      </c>
      <c r="B178" s="9" t="s">
        <v>27</v>
      </c>
      <c r="C178" s="9" t="s">
        <v>19</v>
      </c>
      <c r="D178" s="9" t="s">
        <v>11</v>
      </c>
      <c r="E178" s="9">
        <v>2014</v>
      </c>
      <c r="F178" s="44">
        <f t="shared" si="1"/>
        <v>207.4710958126787</v>
      </c>
      <c r="G178" s="38">
        <v>207.57437923803388</v>
      </c>
      <c r="H178" s="38">
        <v>180.27876131912578</v>
      </c>
      <c r="I178" s="38">
        <v>237.7825432297382</v>
      </c>
      <c r="J178" s="24">
        <v>227.96516406183792</v>
      </c>
      <c r="K178" s="11">
        <v>0.91010000000000002</v>
      </c>
      <c r="L178" s="9"/>
      <c r="M178" s="9"/>
      <c r="O178" s="9"/>
    </row>
    <row r="179" spans="1:15" x14ac:dyDescent="0.25">
      <c r="A179" s="9" t="s">
        <v>10</v>
      </c>
      <c r="B179" s="9" t="s">
        <v>27</v>
      </c>
      <c r="C179" s="9" t="s">
        <v>20</v>
      </c>
      <c r="D179" s="9" t="s">
        <v>11</v>
      </c>
      <c r="E179" s="9">
        <v>2014</v>
      </c>
      <c r="F179" s="44">
        <f t="shared" si="1"/>
        <v>317.74331626862016</v>
      </c>
      <c r="G179" s="38">
        <v>317.90869260074516</v>
      </c>
      <c r="H179" s="38">
        <v>283.85996440975345</v>
      </c>
      <c r="I179" s="38">
        <v>353.75424468798309</v>
      </c>
      <c r="J179" s="24">
        <v>349.13011346953101</v>
      </c>
      <c r="K179" s="11">
        <v>0.91010000000000002</v>
      </c>
      <c r="L179" s="9"/>
      <c r="M179" s="9"/>
      <c r="O179" s="9"/>
    </row>
    <row r="180" spans="1:15" x14ac:dyDescent="0.25">
      <c r="A180" s="9" t="s">
        <v>10</v>
      </c>
      <c r="B180" s="9" t="s">
        <v>28</v>
      </c>
      <c r="C180" s="9" t="s">
        <v>11</v>
      </c>
      <c r="D180" s="9" t="s">
        <v>12</v>
      </c>
      <c r="E180" s="9">
        <v>2014</v>
      </c>
      <c r="F180" s="44">
        <f>SUM(F181:F183)</f>
        <v>3434.4195729623011</v>
      </c>
      <c r="G180" s="38"/>
      <c r="H180" s="38"/>
      <c r="I180" s="38"/>
      <c r="J180" s="24">
        <f>SUM(J181:J183)</f>
        <v>3773.6727535021437</v>
      </c>
      <c r="K180" s="11"/>
      <c r="L180" s="9"/>
      <c r="M180" s="9"/>
      <c r="O180" s="9"/>
    </row>
    <row r="181" spans="1:15" x14ac:dyDescent="0.25">
      <c r="A181" s="9" t="s">
        <v>10</v>
      </c>
      <c r="B181" s="9" t="s">
        <v>28</v>
      </c>
      <c r="C181" s="9" t="s">
        <v>31</v>
      </c>
      <c r="D181" s="9" t="s">
        <v>12</v>
      </c>
      <c r="E181" s="9">
        <v>2014</v>
      </c>
      <c r="F181" s="44">
        <f t="shared" si="1"/>
        <v>512.05308474901108</v>
      </c>
      <c r="G181" s="38">
        <v>511.75489563754491</v>
      </c>
      <c r="H181" s="38">
        <v>468.48181994125895</v>
      </c>
      <c r="I181" s="38">
        <v>557.3791245012585</v>
      </c>
      <c r="J181" s="24">
        <v>562.63386962862444</v>
      </c>
      <c r="K181" s="11">
        <v>0.91010000000000002</v>
      </c>
      <c r="L181" s="9"/>
      <c r="M181" s="9"/>
      <c r="O181" s="9"/>
    </row>
    <row r="182" spans="1:15" x14ac:dyDescent="0.25">
      <c r="A182" s="9" t="s">
        <v>10</v>
      </c>
      <c r="B182" s="9" t="s">
        <v>28</v>
      </c>
      <c r="C182" s="9" t="s">
        <v>19</v>
      </c>
      <c r="D182" s="9" t="s">
        <v>12</v>
      </c>
      <c r="E182" s="9">
        <v>2014</v>
      </c>
      <c r="F182" s="44">
        <f t="shared" si="1"/>
        <v>1154.3982109577178</v>
      </c>
      <c r="G182" s="38">
        <v>1154.6256372615712</v>
      </c>
      <c r="H182" s="38">
        <v>1089.0542431526408</v>
      </c>
      <c r="I182" s="38">
        <v>1223.4658939336493</v>
      </c>
      <c r="J182" s="24">
        <v>1268.4300746706051</v>
      </c>
      <c r="K182" s="11">
        <v>0.91010000000000002</v>
      </c>
      <c r="L182" s="9"/>
      <c r="M182" s="9"/>
      <c r="O182" s="9"/>
    </row>
    <row r="183" spans="1:15" x14ac:dyDescent="0.25">
      <c r="A183" s="9" t="s">
        <v>10</v>
      </c>
      <c r="B183" s="9" t="s">
        <v>28</v>
      </c>
      <c r="C183" s="9" t="s">
        <v>20</v>
      </c>
      <c r="D183" s="9" t="s">
        <v>12</v>
      </c>
      <c r="E183" s="9">
        <v>2014</v>
      </c>
      <c r="F183" s="44">
        <f t="shared" si="1"/>
        <v>1767.9682772555723</v>
      </c>
      <c r="G183" s="38">
        <v>1767.9511232613945</v>
      </c>
      <c r="H183" s="38">
        <v>1686.0639547545711</v>
      </c>
      <c r="I183" s="38">
        <v>1849.8411830910622</v>
      </c>
      <c r="J183" s="24">
        <v>1942.6088092029142</v>
      </c>
      <c r="K183" s="11">
        <v>0.91010000000000002</v>
      </c>
      <c r="L183" s="9"/>
      <c r="M183" s="9"/>
      <c r="O183" s="9"/>
    </row>
    <row r="184" spans="1:15" x14ac:dyDescent="0.25">
      <c r="A184" s="9" t="s">
        <v>10</v>
      </c>
      <c r="B184" s="9" t="s">
        <v>28</v>
      </c>
      <c r="C184" s="9" t="s">
        <v>11</v>
      </c>
      <c r="D184" s="9" t="s">
        <v>15</v>
      </c>
      <c r="E184" s="9">
        <v>2014</v>
      </c>
      <c r="F184" s="44">
        <f>SUM(F185:F187)</f>
        <v>5919.1392803310409</v>
      </c>
      <c r="G184" s="38"/>
      <c r="H184" s="38"/>
      <c r="I184" s="38"/>
      <c r="J184" s="24">
        <f>SUM(J185:J187)</f>
        <v>6331.3073915189234</v>
      </c>
      <c r="K184" s="11"/>
      <c r="L184" s="9"/>
      <c r="M184" s="9"/>
      <c r="O184" s="9"/>
    </row>
    <row r="185" spans="1:15" x14ac:dyDescent="0.25">
      <c r="A185" s="9" t="s">
        <v>10</v>
      </c>
      <c r="B185" s="9" t="s">
        <v>28</v>
      </c>
      <c r="C185" s="9" t="s">
        <v>31</v>
      </c>
      <c r="D185" s="9" t="s">
        <v>15</v>
      </c>
      <c r="E185" s="9">
        <v>2014</v>
      </c>
      <c r="F185" s="44">
        <f>J185*K185</f>
        <v>345.59465833231064</v>
      </c>
      <c r="G185" s="38">
        <v>345.49109613382024</v>
      </c>
      <c r="H185" s="38">
        <v>310.49194040864569</v>
      </c>
      <c r="I185" s="38">
        <v>381.94136894351101</v>
      </c>
      <c r="J185" s="24">
        <v>369.65949121008737</v>
      </c>
      <c r="K185" s="11">
        <v>0.93489999999999995</v>
      </c>
      <c r="L185" s="9"/>
      <c r="M185" s="9"/>
      <c r="O185" s="9"/>
    </row>
    <row r="186" spans="1:15" x14ac:dyDescent="0.25">
      <c r="A186" s="9" t="s">
        <v>10</v>
      </c>
      <c r="B186" s="9" t="s">
        <v>28</v>
      </c>
      <c r="C186" s="9" t="s">
        <v>19</v>
      </c>
      <c r="D186" s="9" t="s">
        <v>15</v>
      </c>
      <c r="E186" s="9">
        <v>2014</v>
      </c>
      <c r="F186" s="44">
        <f>J186*K186</f>
        <v>4193.658257840154</v>
      </c>
      <c r="G186" s="38">
        <v>4193.4618223813059</v>
      </c>
      <c r="H186" s="38">
        <v>4067.4568025123299</v>
      </c>
      <c r="I186" s="38">
        <v>4322.1150803766486</v>
      </c>
      <c r="J186" s="24">
        <v>4485.6757491070211</v>
      </c>
      <c r="K186" s="11">
        <v>0.93489999999999995</v>
      </c>
      <c r="L186" s="9"/>
      <c r="M186" s="9"/>
      <c r="O186" s="9"/>
    </row>
    <row r="187" spans="1:15" x14ac:dyDescent="0.25">
      <c r="A187" s="9" t="s">
        <v>10</v>
      </c>
      <c r="B187" s="9" t="s">
        <v>28</v>
      </c>
      <c r="C187" s="9" t="s">
        <v>20</v>
      </c>
      <c r="D187" s="9" t="s">
        <v>15</v>
      </c>
      <c r="E187" s="9">
        <v>2014</v>
      </c>
      <c r="F187" s="44">
        <f>J187*K187</f>
        <v>1379.886364158577</v>
      </c>
      <c r="G187" s="38">
        <v>1380.1040102893785</v>
      </c>
      <c r="H187" s="38">
        <v>1309.5930384103792</v>
      </c>
      <c r="I187" s="38">
        <v>1454.1988779146493</v>
      </c>
      <c r="J187" s="24">
        <v>1475.9721512018152</v>
      </c>
      <c r="K187" s="11">
        <v>0.93489999999999995</v>
      </c>
      <c r="L187" s="9"/>
      <c r="M187" s="9"/>
      <c r="O187" s="9"/>
    </row>
    <row r="188" spans="1:15" x14ac:dyDescent="0.25">
      <c r="A188" s="9" t="s">
        <v>21</v>
      </c>
      <c r="B188" s="9" t="s">
        <v>11</v>
      </c>
      <c r="C188" s="9" t="s">
        <v>11</v>
      </c>
      <c r="D188" s="9" t="s">
        <v>11</v>
      </c>
      <c r="E188" s="9">
        <v>2014</v>
      </c>
      <c r="F188" s="44">
        <f t="shared" si="1"/>
        <v>1144.3333333333333</v>
      </c>
      <c r="G188" s="38">
        <v>1144.7420999999999</v>
      </c>
      <c r="H188" s="38">
        <v>1078</v>
      </c>
      <c r="I188" s="38">
        <v>1211</v>
      </c>
      <c r="J188" s="9">
        <f>1193</f>
        <v>1193</v>
      </c>
      <c r="K188" s="9">
        <v>0.95920648225761385</v>
      </c>
      <c r="L188" s="9"/>
      <c r="M188" s="9"/>
      <c r="O188" s="9"/>
    </row>
    <row r="189" spans="1:15" x14ac:dyDescent="0.25">
      <c r="A189" s="9" t="s">
        <v>21</v>
      </c>
      <c r="B189" s="9" t="s">
        <v>11</v>
      </c>
      <c r="C189" s="9" t="s">
        <v>19</v>
      </c>
      <c r="D189" s="9" t="s">
        <v>11</v>
      </c>
      <c r="E189" s="9">
        <v>2014</v>
      </c>
      <c r="F189" s="44">
        <f t="shared" si="1"/>
        <v>383.68259290304559</v>
      </c>
      <c r="G189" s="38"/>
      <c r="H189" s="38"/>
      <c r="I189" s="38"/>
      <c r="J189" s="24">
        <f>SUM(J192,J195,J198,J201,J204,J207)</f>
        <v>400.00000000000006</v>
      </c>
      <c r="K189" s="9">
        <v>0.95920648225761385</v>
      </c>
      <c r="L189" s="9"/>
      <c r="M189" s="9"/>
      <c r="O189" s="9"/>
    </row>
    <row r="190" spans="1:15" x14ac:dyDescent="0.25">
      <c r="A190" s="9" t="s">
        <v>21</v>
      </c>
      <c r="B190" s="9" t="s">
        <v>24</v>
      </c>
      <c r="C190" s="9" t="s">
        <v>11</v>
      </c>
      <c r="D190" s="9" t="s">
        <v>11</v>
      </c>
      <c r="E190" s="9">
        <v>2014</v>
      </c>
      <c r="F190" s="44">
        <f t="shared" si="1"/>
        <v>786.54931545124339</v>
      </c>
      <c r="G190" s="38"/>
      <c r="H190" s="38"/>
      <c r="I190" s="38"/>
      <c r="J190" s="9">
        <f>820</f>
        <v>820</v>
      </c>
      <c r="K190" s="9">
        <v>0.95920648225761385</v>
      </c>
      <c r="L190" s="9"/>
      <c r="M190" s="9"/>
      <c r="O190" s="9"/>
    </row>
    <row r="191" spans="1:15" x14ac:dyDescent="0.25">
      <c r="A191" s="9" t="s">
        <v>21</v>
      </c>
      <c r="B191" s="9" t="s">
        <v>24</v>
      </c>
      <c r="C191" s="9" t="s">
        <v>31</v>
      </c>
      <c r="D191" s="9" t="s">
        <v>11</v>
      </c>
      <c r="E191" s="9">
        <v>2014</v>
      </c>
      <c r="F191" s="44">
        <f t="shared" si="1"/>
        <v>87.687392250641551</v>
      </c>
      <c r="G191" s="38">
        <v>87.793796998599575</v>
      </c>
      <c r="H191" s="38">
        <v>70.214964306183688</v>
      </c>
      <c r="I191" s="38">
        <v>107.34139934969835</v>
      </c>
      <c r="J191" s="24">
        <v>91.416596814752722</v>
      </c>
      <c r="K191" s="9">
        <v>0.95920648225761385</v>
      </c>
      <c r="L191" s="9"/>
      <c r="M191" s="9"/>
      <c r="O191" s="9"/>
    </row>
    <row r="192" spans="1:15" x14ac:dyDescent="0.25">
      <c r="A192" s="9" t="s">
        <v>21</v>
      </c>
      <c r="B192" s="9" t="s">
        <v>24</v>
      </c>
      <c r="C192" s="9" t="s">
        <v>19</v>
      </c>
      <c r="D192" s="9" t="s">
        <v>11</v>
      </c>
      <c r="E192" s="9">
        <v>2014</v>
      </c>
      <c r="F192" s="44">
        <f t="shared" si="1"/>
        <v>263.72148045305732</v>
      </c>
      <c r="G192" s="38">
        <v>264.06742163490287</v>
      </c>
      <c r="H192" s="38">
        <v>232.81012652258931</v>
      </c>
      <c r="I192" s="38">
        <v>296.96340674757442</v>
      </c>
      <c r="J192" s="24">
        <v>274.93713327745184</v>
      </c>
      <c r="K192" s="9">
        <v>0.95920648225761385</v>
      </c>
      <c r="L192" s="9"/>
      <c r="M192" s="9"/>
      <c r="O192" s="9"/>
    </row>
    <row r="193" spans="1:18" x14ac:dyDescent="0.25">
      <c r="A193" s="9" t="s">
        <v>21</v>
      </c>
      <c r="B193" s="9" t="s">
        <v>24</v>
      </c>
      <c r="C193" s="9" t="s">
        <v>20</v>
      </c>
      <c r="D193" s="9" t="s">
        <v>11</v>
      </c>
      <c r="E193" s="9">
        <v>2014</v>
      </c>
      <c r="F193" s="44">
        <f t="shared" si="1"/>
        <v>435.14044274754457</v>
      </c>
      <c r="G193" s="38">
        <v>435.23355952623206</v>
      </c>
      <c r="H193" s="38">
        <v>396.28449093718717</v>
      </c>
      <c r="I193" s="38">
        <v>475.71735524752671</v>
      </c>
      <c r="J193" s="24">
        <v>453.6462699077955</v>
      </c>
      <c r="K193" s="9">
        <v>0.95920648225761385</v>
      </c>
      <c r="L193" s="9"/>
      <c r="M193" s="9"/>
      <c r="O193" s="9"/>
    </row>
    <row r="194" spans="1:18" x14ac:dyDescent="0.25">
      <c r="A194" s="9" t="s">
        <v>21</v>
      </c>
      <c r="B194" s="9" t="s">
        <v>26</v>
      </c>
      <c r="C194" s="9" t="s">
        <v>31</v>
      </c>
      <c r="D194" s="9" t="s">
        <v>12</v>
      </c>
      <c r="E194" s="9">
        <v>2014</v>
      </c>
      <c r="F194" s="44">
        <f t="shared" si="1"/>
        <v>1.2832301304971934</v>
      </c>
      <c r="G194" s="38">
        <v>1.3060209340120081</v>
      </c>
      <c r="H194" s="38">
        <v>6.4446306716199275E-2</v>
      </c>
      <c r="I194" s="38">
        <v>4.385164023735121</v>
      </c>
      <c r="J194" s="24">
        <v>1.3378038558256495</v>
      </c>
      <c r="K194" s="9">
        <v>0.95920648225761385</v>
      </c>
      <c r="L194" s="9"/>
      <c r="M194" s="9"/>
      <c r="O194" s="9"/>
    </row>
    <row r="195" spans="1:18" x14ac:dyDescent="0.25">
      <c r="A195" s="9" t="s">
        <v>21</v>
      </c>
      <c r="B195" s="9" t="s">
        <v>26</v>
      </c>
      <c r="C195" s="9" t="s">
        <v>19</v>
      </c>
      <c r="D195" s="9" t="s">
        <v>12</v>
      </c>
      <c r="E195" s="9">
        <v>2014</v>
      </c>
      <c r="F195" s="44">
        <f t="shared" si="1"/>
        <v>3.8593387383374238</v>
      </c>
      <c r="G195" s="38">
        <v>3.8376179519091917</v>
      </c>
      <c r="H195" s="38">
        <v>0.99622838823822579</v>
      </c>
      <c r="I195" s="38">
        <v>8.4505493614212419</v>
      </c>
      <c r="J195" s="24">
        <v>4.0234702430846605</v>
      </c>
      <c r="K195" s="9">
        <v>0.95920648225761385</v>
      </c>
      <c r="L195" s="9"/>
      <c r="M195" s="9"/>
      <c r="O195" s="9"/>
    </row>
    <row r="196" spans="1:18" x14ac:dyDescent="0.25">
      <c r="A196" s="9" t="s">
        <v>21</v>
      </c>
      <c r="B196" s="9" t="s">
        <v>26</v>
      </c>
      <c r="C196" s="9" t="s">
        <v>20</v>
      </c>
      <c r="D196" s="9" t="s">
        <v>12</v>
      </c>
      <c r="E196" s="9">
        <v>2014</v>
      </c>
      <c r="F196" s="44">
        <f t="shared" si="1"/>
        <v>6.3679089182567488</v>
      </c>
      <c r="G196" s="38">
        <v>6.3846769773532213</v>
      </c>
      <c r="H196" s="38">
        <v>2.4713090165688114</v>
      </c>
      <c r="I196" s="38">
        <v>12.208346256384125</v>
      </c>
      <c r="J196" s="24">
        <v>6.63872590108969</v>
      </c>
      <c r="K196" s="9">
        <v>0.95920648225761385</v>
      </c>
      <c r="L196" s="9"/>
      <c r="M196" s="9"/>
      <c r="O196" s="9"/>
    </row>
    <row r="197" spans="1:18" x14ac:dyDescent="0.25">
      <c r="A197" s="9" t="s">
        <v>21</v>
      </c>
      <c r="B197" s="9" t="s">
        <v>26</v>
      </c>
      <c r="C197" s="9" t="s">
        <v>31</v>
      </c>
      <c r="D197" s="9" t="s">
        <v>15</v>
      </c>
      <c r="E197" s="9">
        <v>2014</v>
      </c>
      <c r="F197" s="44">
        <f t="shared" si="1"/>
        <v>1.7109735073295913</v>
      </c>
      <c r="G197" s="38">
        <v>1.7297303000367326</v>
      </c>
      <c r="H197" s="38">
        <v>0.15606858701425014</v>
      </c>
      <c r="I197" s="38">
        <v>5.186618558873894</v>
      </c>
      <c r="J197" s="24">
        <v>1.7837384744341995</v>
      </c>
      <c r="K197" s="9">
        <v>0.95920648225761385</v>
      </c>
      <c r="L197" s="9"/>
      <c r="M197" s="9"/>
      <c r="O197" s="9"/>
    </row>
    <row r="198" spans="1:18" x14ac:dyDescent="0.25">
      <c r="A198" s="9" t="s">
        <v>21</v>
      </c>
      <c r="B198" s="9" t="s">
        <v>26</v>
      </c>
      <c r="C198" s="9" t="s">
        <v>19</v>
      </c>
      <c r="D198" s="9" t="s">
        <v>15</v>
      </c>
      <c r="E198" s="9">
        <v>2014</v>
      </c>
      <c r="F198" s="44">
        <f t="shared" si="1"/>
        <v>5.1457849844498984</v>
      </c>
      <c r="G198" s="38">
        <v>5.1233544649634064</v>
      </c>
      <c r="H198" s="38">
        <v>1.6992730070482629</v>
      </c>
      <c r="I198" s="38">
        <v>10.390053407706798</v>
      </c>
      <c r="J198" s="24">
        <v>5.3646269907795476</v>
      </c>
      <c r="K198" s="9">
        <v>0.95920648225761385</v>
      </c>
      <c r="L198" s="9"/>
      <c r="M198" s="9"/>
      <c r="O198" s="9"/>
    </row>
    <row r="199" spans="1:18" x14ac:dyDescent="0.25">
      <c r="A199" s="9" t="s">
        <v>21</v>
      </c>
      <c r="B199" s="9" t="s">
        <v>26</v>
      </c>
      <c r="C199" s="9" t="s">
        <v>20</v>
      </c>
      <c r="D199" s="9" t="s">
        <v>15</v>
      </c>
      <c r="E199" s="9">
        <v>2014</v>
      </c>
      <c r="F199" s="44">
        <f t="shared" si="1"/>
        <v>8.4905452243423323</v>
      </c>
      <c r="G199" s="38">
        <v>8.4760648695410374</v>
      </c>
      <c r="H199" s="38">
        <v>3.7400559871834314</v>
      </c>
      <c r="I199" s="38">
        <v>15.053884849325788</v>
      </c>
      <c r="J199" s="24">
        <v>8.8516345347862533</v>
      </c>
      <c r="K199" s="9">
        <v>0.95920648225761385</v>
      </c>
      <c r="L199" s="9"/>
      <c r="M199" s="9"/>
      <c r="O199" s="9"/>
    </row>
    <row r="200" spans="1:18" x14ac:dyDescent="0.25">
      <c r="A200" s="9" t="s">
        <v>21</v>
      </c>
      <c r="B200" s="9" t="s">
        <v>27</v>
      </c>
      <c r="C200" s="9" t="s">
        <v>31</v>
      </c>
      <c r="D200" s="9" t="s">
        <v>11</v>
      </c>
      <c r="E200" s="9">
        <v>2014</v>
      </c>
      <c r="F200" s="44">
        <f t="shared" si="1"/>
        <v>1.1762942862890939</v>
      </c>
      <c r="G200" s="38">
        <v>1.1805069031145692</v>
      </c>
      <c r="H200" s="38">
        <v>4.6644252722365206E-2</v>
      </c>
      <c r="I200" s="38">
        <v>4.0355913281268405</v>
      </c>
      <c r="J200" s="24">
        <v>1.2263202011735121</v>
      </c>
      <c r="K200" s="9">
        <v>0.95920648225761385</v>
      </c>
      <c r="L200" s="9"/>
      <c r="M200" s="9"/>
      <c r="O200" s="9"/>
    </row>
    <row r="201" spans="1:18" x14ac:dyDescent="0.25">
      <c r="A201" s="9" t="s">
        <v>21</v>
      </c>
      <c r="B201" s="9" t="s">
        <v>27</v>
      </c>
      <c r="C201" s="9" t="s">
        <v>19</v>
      </c>
      <c r="D201" s="9" t="s">
        <v>11</v>
      </c>
      <c r="E201" s="9">
        <v>2014</v>
      </c>
      <c r="F201" s="44">
        <f t="shared" si="1"/>
        <v>3.5377271768093053</v>
      </c>
      <c r="G201" s="38">
        <v>3.5129468131173618</v>
      </c>
      <c r="H201" s="38">
        <v>0.86166492486612023</v>
      </c>
      <c r="I201" s="38">
        <v>7.9998095147900283</v>
      </c>
      <c r="J201" s="24">
        <v>3.6881810561609392</v>
      </c>
      <c r="K201" s="9">
        <v>0.95920648225761385</v>
      </c>
      <c r="L201" s="9"/>
      <c r="M201" s="9"/>
      <c r="O201" s="9"/>
    </row>
    <row r="202" spans="1:18" x14ac:dyDescent="0.25">
      <c r="A202" s="9" t="s">
        <v>21</v>
      </c>
      <c r="B202" s="9" t="s">
        <v>27</v>
      </c>
      <c r="C202" s="9" t="s">
        <v>20</v>
      </c>
      <c r="D202" s="9" t="s">
        <v>11</v>
      </c>
      <c r="E202" s="9">
        <v>2014</v>
      </c>
      <c r="F202" s="44">
        <f t="shared" si="1"/>
        <v>5.8372498417353533</v>
      </c>
      <c r="G202" s="38">
        <v>5.8279702068407548</v>
      </c>
      <c r="H202" s="38">
        <v>2.1069253991072805</v>
      </c>
      <c r="I202" s="38">
        <v>11.423134205735488</v>
      </c>
      <c r="J202" s="24">
        <v>6.0854987426655489</v>
      </c>
      <c r="K202" s="9">
        <v>0.95920648225761385</v>
      </c>
      <c r="L202" s="9"/>
      <c r="M202" s="9"/>
      <c r="O202" s="9"/>
    </row>
    <row r="203" spans="1:18" x14ac:dyDescent="0.25">
      <c r="A203" s="9" t="s">
        <v>21</v>
      </c>
      <c r="B203" s="9" t="s">
        <v>28</v>
      </c>
      <c r="C203" s="9" t="s">
        <v>31</v>
      </c>
      <c r="D203" s="9" t="s">
        <v>12</v>
      </c>
      <c r="E203" s="9">
        <v>2014</v>
      </c>
      <c r="F203" s="44">
        <f t="shared" si="1"/>
        <v>16.040376631214919</v>
      </c>
      <c r="G203" s="38">
        <v>16.092744211321815</v>
      </c>
      <c r="H203" s="38">
        <v>9.1405466584564437</v>
      </c>
      <c r="I203" s="38">
        <v>24.846849145325212</v>
      </c>
      <c r="J203" s="24">
        <v>16.722548197820622</v>
      </c>
      <c r="K203" s="9">
        <v>0.95920648225761385</v>
      </c>
      <c r="L203" s="9"/>
      <c r="M203" s="9"/>
      <c r="O203" s="9"/>
    </row>
    <row r="204" spans="1:18" x14ac:dyDescent="0.25">
      <c r="A204" s="9" t="s">
        <v>21</v>
      </c>
      <c r="B204" s="9" t="s">
        <v>28</v>
      </c>
      <c r="C204" s="9" t="s">
        <v>19</v>
      </c>
      <c r="D204" s="9" t="s">
        <v>12</v>
      </c>
      <c r="E204" s="9">
        <v>2014</v>
      </c>
      <c r="F204" s="44">
        <f t="shared" si="1"/>
        <v>48.241734229217798</v>
      </c>
      <c r="G204" s="38">
        <v>48.162669291475495</v>
      </c>
      <c r="H204" s="38">
        <v>35.554928976257287</v>
      </c>
      <c r="I204" s="38">
        <v>62.868287968461409</v>
      </c>
      <c r="J204" s="24">
        <v>50.293378038558259</v>
      </c>
      <c r="K204" s="9">
        <v>0.95920648225761385</v>
      </c>
      <c r="L204" s="9"/>
      <c r="M204" s="9"/>
      <c r="O204" s="9"/>
    </row>
    <row r="205" spans="1:18" x14ac:dyDescent="0.25">
      <c r="A205" s="9" t="s">
        <v>21</v>
      </c>
      <c r="B205" s="9" t="s">
        <v>28</v>
      </c>
      <c r="C205" s="9" t="s">
        <v>20</v>
      </c>
      <c r="D205" s="9" t="s">
        <v>12</v>
      </c>
      <c r="E205" s="9">
        <v>2014</v>
      </c>
      <c r="F205" s="44">
        <f t="shared" si="1"/>
        <v>79.598861478209372</v>
      </c>
      <c r="G205" s="38">
        <v>79.533427186207945</v>
      </c>
      <c r="H205" s="38">
        <v>63.343678263086268</v>
      </c>
      <c r="I205" s="38">
        <v>98.017400212041665</v>
      </c>
      <c r="J205" s="24">
        <v>82.984073763621126</v>
      </c>
      <c r="K205" s="9">
        <v>0.95920648225761385</v>
      </c>
      <c r="L205" s="9"/>
      <c r="M205" s="9"/>
      <c r="N205" s="4"/>
      <c r="O205" s="11"/>
      <c r="P205" s="4"/>
      <c r="Q205" s="4"/>
      <c r="R205" s="4"/>
    </row>
    <row r="206" spans="1:18" x14ac:dyDescent="0.25">
      <c r="A206" s="9" t="s">
        <v>21</v>
      </c>
      <c r="B206" s="9" t="s">
        <v>28</v>
      </c>
      <c r="C206" s="9" t="s">
        <v>31</v>
      </c>
      <c r="D206" s="9" t="s">
        <v>15</v>
      </c>
      <c r="E206" s="9">
        <v>2014</v>
      </c>
      <c r="F206" s="44">
        <f t="shared" si="1"/>
        <v>19.676195334290298</v>
      </c>
      <c r="G206" s="38">
        <v>19.701694314409284</v>
      </c>
      <c r="H206" s="38">
        <v>12.0498994229056</v>
      </c>
      <c r="I206" s="38">
        <v>29.246084498503702</v>
      </c>
      <c r="J206" s="24">
        <v>20.512992455993295</v>
      </c>
      <c r="K206" s="9">
        <v>0.95920648225761385</v>
      </c>
      <c r="L206" s="9"/>
      <c r="M206" s="9"/>
      <c r="N206" s="4"/>
      <c r="O206" s="11"/>
      <c r="P206" s="4"/>
      <c r="Q206" s="4"/>
      <c r="R206" s="4"/>
    </row>
    <row r="207" spans="1:18" x14ac:dyDescent="0.25">
      <c r="A207" s="9" t="s">
        <v>21</v>
      </c>
      <c r="B207" s="9" t="s">
        <v>28</v>
      </c>
      <c r="C207" s="9" t="s">
        <v>19</v>
      </c>
      <c r="D207" s="9" t="s">
        <v>15</v>
      </c>
      <c r="E207" s="9">
        <v>2014</v>
      </c>
      <c r="F207" s="44">
        <f t="shared" si="1"/>
        <v>59.176527321173829</v>
      </c>
      <c r="G207" s="38">
        <v>59.210414312706924</v>
      </c>
      <c r="H207" s="38">
        <v>45.101025537014543</v>
      </c>
      <c r="I207" s="38">
        <v>75.037364379322796</v>
      </c>
      <c r="J207" s="3">
        <v>61.693210393964797</v>
      </c>
      <c r="K207" s="9">
        <v>0.95920648225761385</v>
      </c>
      <c r="L207" s="9"/>
      <c r="M207" s="9"/>
      <c r="N207" s="4"/>
      <c r="O207" s="11"/>
      <c r="P207" s="4"/>
      <c r="Q207" s="4"/>
      <c r="R207" s="4"/>
    </row>
    <row r="208" spans="1:18" x14ac:dyDescent="0.25">
      <c r="A208" s="9" t="s">
        <v>21</v>
      </c>
      <c r="B208" s="9" t="s">
        <v>28</v>
      </c>
      <c r="C208" s="9" t="s">
        <v>20</v>
      </c>
      <c r="D208" s="9" t="s">
        <v>15</v>
      </c>
      <c r="E208" s="9">
        <v>2014</v>
      </c>
      <c r="F208" s="44">
        <f t="shared" si="1"/>
        <v>97.641270079936817</v>
      </c>
      <c r="G208" s="38">
        <v>97.567483103255739</v>
      </c>
      <c r="H208" s="38">
        <v>79.198989455724558</v>
      </c>
      <c r="I208" s="38">
        <v>117.79845681519515</v>
      </c>
      <c r="J208" s="3">
        <v>101.79379715004191</v>
      </c>
      <c r="K208" s="9">
        <v>0.95920648225761385</v>
      </c>
      <c r="L208" s="9"/>
      <c r="M208" s="9"/>
      <c r="N208" s="4"/>
      <c r="O208" s="11"/>
      <c r="P208" s="4"/>
      <c r="Q208" s="4"/>
      <c r="R208" s="4"/>
    </row>
    <row r="209" spans="1:18" x14ac:dyDescent="0.25">
      <c r="A209" s="9" t="s">
        <v>22</v>
      </c>
      <c r="B209" s="9" t="s">
        <v>11</v>
      </c>
      <c r="C209" s="9" t="s">
        <v>11</v>
      </c>
      <c r="D209" s="9" t="s">
        <v>11</v>
      </c>
      <c r="E209" s="9">
        <v>2014</v>
      </c>
      <c r="F209" s="44">
        <f>F210+F213+F216</f>
        <v>375.46046663376774</v>
      </c>
      <c r="G209" s="38">
        <v>375.26760000000002</v>
      </c>
      <c r="H209" s="38">
        <v>338</v>
      </c>
      <c r="I209" s="38">
        <v>413</v>
      </c>
      <c r="J209" s="11"/>
      <c r="K209" s="9"/>
      <c r="L209" s="9"/>
      <c r="M209" s="9"/>
      <c r="N209" s="4"/>
      <c r="O209" s="11"/>
      <c r="P209" s="4"/>
      <c r="Q209" s="4"/>
      <c r="R209" s="4"/>
    </row>
    <row r="210" spans="1:18" x14ac:dyDescent="0.25">
      <c r="A210" s="9" t="s">
        <v>22</v>
      </c>
      <c r="B210" s="9" t="s">
        <v>11</v>
      </c>
      <c r="C210" s="9" t="s">
        <v>31</v>
      </c>
      <c r="D210" s="9" t="s">
        <v>11</v>
      </c>
      <c r="E210" s="9">
        <v>2014</v>
      </c>
      <c r="F210" s="44">
        <f t="shared" si="1"/>
        <v>45.394074835668313</v>
      </c>
      <c r="G210" s="38"/>
      <c r="H210" s="38"/>
      <c r="I210" s="38"/>
      <c r="J210" s="3">
        <v>53.37721156991104</v>
      </c>
      <c r="K210" s="9">
        <v>0.85043923240938168</v>
      </c>
      <c r="L210" s="9"/>
      <c r="M210" s="9"/>
      <c r="N210" s="4"/>
      <c r="O210" s="11"/>
      <c r="P210" s="4"/>
      <c r="Q210" s="4"/>
      <c r="R210" s="4"/>
    </row>
    <row r="211" spans="1:18" x14ac:dyDescent="0.25">
      <c r="A211" s="9" t="s">
        <v>22</v>
      </c>
      <c r="B211" s="9" t="s">
        <v>11</v>
      </c>
      <c r="C211" s="9" t="s">
        <v>31</v>
      </c>
      <c r="D211" s="9" t="s">
        <v>12</v>
      </c>
      <c r="E211" s="9">
        <v>2014</v>
      </c>
      <c r="F211" s="44">
        <f t="shared" si="1"/>
        <v>25.939471334667605</v>
      </c>
      <c r="G211" s="38">
        <v>25.939037206075216</v>
      </c>
      <c r="H211" s="38">
        <v>16.9063014589548</v>
      </c>
      <c r="I211" s="38">
        <v>36.63206315615048</v>
      </c>
      <c r="J211" s="3">
        <v>30.501263754234877</v>
      </c>
      <c r="K211" s="9">
        <v>0.85043923240938168</v>
      </c>
      <c r="L211" s="9"/>
      <c r="M211" s="9"/>
      <c r="N211" s="4"/>
      <c r="O211" s="11"/>
      <c r="P211" s="4"/>
      <c r="Q211" s="4"/>
      <c r="R211" s="4"/>
    </row>
    <row r="212" spans="1:18" x14ac:dyDescent="0.25">
      <c r="A212" s="9" t="s">
        <v>22</v>
      </c>
      <c r="B212" s="9" t="s">
        <v>11</v>
      </c>
      <c r="C212" s="9" t="s">
        <v>31</v>
      </c>
      <c r="D212" s="9" t="s">
        <v>15</v>
      </c>
      <c r="E212" s="9">
        <v>2014</v>
      </c>
      <c r="F212" s="44">
        <f t="shared" si="1"/>
        <v>19.454603501000705</v>
      </c>
      <c r="G212" s="38">
        <v>19.413797475708272</v>
      </c>
      <c r="H212" s="38">
        <v>11.748969350914164</v>
      </c>
      <c r="I212" s="38">
        <v>114.59042823277716</v>
      </c>
      <c r="J212" s="3">
        <v>22.87594781567616</v>
      </c>
      <c r="K212" s="9">
        <v>0.85043923240938168</v>
      </c>
      <c r="L212" s="9"/>
      <c r="M212" s="9"/>
      <c r="N212" s="4"/>
      <c r="O212" s="11"/>
      <c r="P212" s="4"/>
      <c r="Q212" s="4"/>
      <c r="R212" s="4"/>
    </row>
    <row r="213" spans="1:18" x14ac:dyDescent="0.25">
      <c r="A213" s="9" t="s">
        <v>22</v>
      </c>
      <c r="B213" s="9" t="s">
        <v>11</v>
      </c>
      <c r="C213" s="9" t="s">
        <v>19</v>
      </c>
      <c r="D213" s="9" t="s">
        <v>11</v>
      </c>
      <c r="E213" s="9">
        <v>2014</v>
      </c>
      <c r="F213" s="44">
        <f t="shared" si="1"/>
        <v>218.35825038653195</v>
      </c>
      <c r="G213" s="38"/>
      <c r="H213" s="38"/>
      <c r="I213" s="38"/>
      <c r="J213" s="3">
        <v>256.75938040617035</v>
      </c>
      <c r="K213" s="9">
        <v>0.85043923240938168</v>
      </c>
      <c r="L213" s="9"/>
      <c r="M213" s="9"/>
      <c r="N213" s="4"/>
      <c r="O213" s="11"/>
      <c r="P213" s="4"/>
      <c r="Q213" s="4"/>
      <c r="R213" s="4"/>
    </row>
    <row r="214" spans="1:18" x14ac:dyDescent="0.25">
      <c r="A214" s="9" t="s">
        <v>22</v>
      </c>
      <c r="B214" s="9" t="s">
        <v>11</v>
      </c>
      <c r="C214" s="9" t="s">
        <v>19</v>
      </c>
      <c r="D214" s="9" t="s">
        <v>12</v>
      </c>
      <c r="E214" s="9">
        <v>2014</v>
      </c>
      <c r="F214" s="44">
        <f t="shared" si="1"/>
        <v>123.5670719241615</v>
      </c>
      <c r="G214" s="38">
        <v>123.35543458126226</v>
      </c>
      <c r="H214" s="38">
        <v>102.504095973399</v>
      </c>
      <c r="I214" s="38">
        <v>29.164244085535337</v>
      </c>
      <c r="J214" s="3">
        <v>145.29794395077857</v>
      </c>
      <c r="K214" s="9">
        <v>0.85043923240938168</v>
      </c>
      <c r="L214" s="9"/>
      <c r="M214" s="9"/>
      <c r="N214" s="4"/>
      <c r="O214" s="11"/>
      <c r="P214" s="4"/>
      <c r="Q214" s="4"/>
      <c r="R214" s="4"/>
    </row>
    <row r="215" spans="1:18" x14ac:dyDescent="0.25">
      <c r="A215" s="9" t="s">
        <v>22</v>
      </c>
      <c r="B215" s="9" t="s">
        <v>11</v>
      </c>
      <c r="C215" s="9" t="s">
        <v>19</v>
      </c>
      <c r="D215" s="9" t="s">
        <v>15</v>
      </c>
      <c r="E215" s="9">
        <v>2014</v>
      </c>
      <c r="F215" s="44">
        <f t="shared" si="1"/>
        <v>94.791178462370453</v>
      </c>
      <c r="G215" s="38">
        <v>94.827182043544269</v>
      </c>
      <c r="H215" s="38">
        <v>76.783128108926149</v>
      </c>
      <c r="I215" s="38">
        <v>117.34300158830594</v>
      </c>
      <c r="J215" s="3">
        <v>111.46143645539178</v>
      </c>
      <c r="K215" s="9">
        <v>0.85043923240938168</v>
      </c>
      <c r="L215" s="9"/>
      <c r="M215" s="9"/>
      <c r="N215" s="4"/>
      <c r="O215" s="11"/>
      <c r="P215" s="4"/>
      <c r="Q215" s="4"/>
      <c r="R215" s="4"/>
    </row>
    <row r="216" spans="1:18" x14ac:dyDescent="0.25">
      <c r="A216" s="9" t="s">
        <v>22</v>
      </c>
      <c r="B216" s="9" t="s">
        <v>11</v>
      </c>
      <c r="C216" s="9" t="s">
        <v>20</v>
      </c>
      <c r="D216" s="9" t="s">
        <v>11</v>
      </c>
      <c r="E216" s="9">
        <v>2014</v>
      </c>
      <c r="F216" s="44">
        <f t="shared" si="1"/>
        <v>111.70814141156747</v>
      </c>
      <c r="G216" s="38"/>
      <c r="H216" s="38"/>
      <c r="I216" s="38"/>
      <c r="J216" s="3">
        <v>131.35346671988171</v>
      </c>
      <c r="K216" s="9">
        <v>0.85043923240938168</v>
      </c>
      <c r="L216" s="9"/>
      <c r="M216" s="9"/>
      <c r="N216" s="4"/>
      <c r="O216" s="11"/>
      <c r="P216" s="4"/>
      <c r="Q216" s="4"/>
      <c r="R216" s="4"/>
    </row>
    <row r="217" spans="1:18" x14ac:dyDescent="0.25">
      <c r="A217" s="9" t="s">
        <v>22</v>
      </c>
      <c r="B217" s="9" t="s">
        <v>11</v>
      </c>
      <c r="C217" s="9" t="s">
        <v>20</v>
      </c>
      <c r="D217" s="9" t="s">
        <v>12</v>
      </c>
      <c r="E217" s="9">
        <v>2014</v>
      </c>
      <c r="F217" s="44">
        <f t="shared" si="1"/>
        <v>96.670506990779529</v>
      </c>
      <c r="G217" s="38">
        <v>96.686000003763155</v>
      </c>
      <c r="H217" s="38">
        <v>78.35204666978747</v>
      </c>
      <c r="I217" s="38">
        <v>146.18028134593311</v>
      </c>
      <c r="J217" s="3">
        <v>113.67126927682071</v>
      </c>
      <c r="K217" s="9">
        <v>0.85043923240938168</v>
      </c>
      <c r="L217" s="9"/>
      <c r="M217" s="9"/>
      <c r="N217" s="4"/>
      <c r="O217" s="11"/>
      <c r="P217" s="4"/>
      <c r="Q217" s="4"/>
      <c r="R217" s="4"/>
    </row>
    <row r="218" spans="1:18" x14ac:dyDescent="0.25">
      <c r="A218" s="9" t="s">
        <v>22</v>
      </c>
      <c r="B218" s="9" t="s">
        <v>11</v>
      </c>
      <c r="C218" s="9" t="s">
        <v>20</v>
      </c>
      <c r="D218" s="9" t="s">
        <v>15</v>
      </c>
      <c r="E218" s="9">
        <v>2014</v>
      </c>
      <c r="F218" s="44">
        <f t="shared" si="1"/>
        <v>15.037634420787928</v>
      </c>
      <c r="G218" s="38">
        <v>15.046148689646831</v>
      </c>
      <c r="H218" s="38">
        <v>8.5502063869319773</v>
      </c>
      <c r="I218" s="38">
        <v>23.604686854161848</v>
      </c>
      <c r="J218" s="3">
        <v>17.682197443061</v>
      </c>
      <c r="K218" s="9">
        <v>0.85043923240938168</v>
      </c>
      <c r="L218" s="9"/>
      <c r="M218" s="9"/>
      <c r="N218" s="4"/>
      <c r="O218" s="11"/>
      <c r="P218" s="4"/>
      <c r="Q218" s="4"/>
      <c r="R218" s="4"/>
    </row>
    <row r="219" spans="1:18" x14ac:dyDescent="0.25">
      <c r="A219" s="52" t="s">
        <v>22</v>
      </c>
      <c r="B219" s="52" t="s">
        <v>24</v>
      </c>
      <c r="C219" s="52" t="s">
        <v>11</v>
      </c>
      <c r="D219" s="52" t="s">
        <v>11</v>
      </c>
      <c r="E219" s="52">
        <v>2014</v>
      </c>
      <c r="F219" s="51">
        <f t="shared" si="1"/>
        <v>0</v>
      </c>
      <c r="G219" s="66"/>
      <c r="H219" s="66"/>
      <c r="I219" s="66"/>
      <c r="J219" s="52"/>
      <c r="K219" s="52"/>
      <c r="L219" s="9"/>
      <c r="M219" s="9"/>
      <c r="N219" s="11"/>
      <c r="O219" s="11"/>
      <c r="P219" s="4"/>
      <c r="Q219" s="4"/>
      <c r="R219" s="4"/>
    </row>
    <row r="220" spans="1:18" x14ac:dyDescent="0.25">
      <c r="A220" s="52" t="s">
        <v>22</v>
      </c>
      <c r="B220" s="52" t="s">
        <v>24</v>
      </c>
      <c r="C220" s="52" t="s">
        <v>31</v>
      </c>
      <c r="D220" s="52" t="s">
        <v>11</v>
      </c>
      <c r="E220" s="52">
        <v>2014</v>
      </c>
      <c r="F220" s="51">
        <f t="shared" si="1"/>
        <v>0</v>
      </c>
      <c r="G220" s="66"/>
      <c r="H220" s="66"/>
      <c r="I220" s="66"/>
      <c r="J220" s="52"/>
      <c r="K220" s="52"/>
      <c r="L220" s="9"/>
      <c r="M220" s="9"/>
      <c r="N220" s="11"/>
      <c r="O220" s="11"/>
      <c r="P220" s="4"/>
      <c r="Q220" s="4"/>
      <c r="R220" s="4"/>
    </row>
    <row r="221" spans="1:18" x14ac:dyDescent="0.25">
      <c r="A221" s="52" t="s">
        <v>22</v>
      </c>
      <c r="B221" s="52" t="s">
        <v>24</v>
      </c>
      <c r="C221" s="52" t="s">
        <v>19</v>
      </c>
      <c r="D221" s="52" t="s">
        <v>11</v>
      </c>
      <c r="E221" s="52">
        <v>2014</v>
      </c>
      <c r="F221" s="51">
        <f t="shared" si="1"/>
        <v>0</v>
      </c>
      <c r="G221" s="66"/>
      <c r="H221" s="66"/>
      <c r="I221" s="66"/>
      <c r="J221" s="52"/>
      <c r="K221" s="52"/>
      <c r="L221" s="9"/>
      <c r="M221" s="9"/>
      <c r="N221" s="11"/>
      <c r="O221" s="11"/>
      <c r="P221" s="4"/>
      <c r="Q221" s="4"/>
      <c r="R221" s="4"/>
    </row>
    <row r="222" spans="1:18" x14ac:dyDescent="0.25">
      <c r="A222" s="52" t="s">
        <v>22</v>
      </c>
      <c r="B222" s="52" t="s">
        <v>24</v>
      </c>
      <c r="C222" s="52" t="s">
        <v>20</v>
      </c>
      <c r="D222" s="52" t="s">
        <v>11</v>
      </c>
      <c r="E222" s="52">
        <v>2014</v>
      </c>
      <c r="F222" s="51">
        <f t="shared" si="1"/>
        <v>0</v>
      </c>
      <c r="G222" s="66"/>
      <c r="H222" s="66"/>
      <c r="I222" s="66"/>
      <c r="J222" s="52"/>
      <c r="K222" s="52"/>
      <c r="L222" s="9"/>
      <c r="M222" s="9"/>
      <c r="N222" s="9"/>
      <c r="O222" s="9"/>
    </row>
    <row r="223" spans="1:18" x14ac:dyDescent="0.25">
      <c r="A223" s="52" t="s">
        <v>22</v>
      </c>
      <c r="B223" s="52" t="s">
        <v>26</v>
      </c>
      <c r="C223" s="52" t="s">
        <v>11</v>
      </c>
      <c r="D223" s="52" t="s">
        <v>11</v>
      </c>
      <c r="E223" s="52">
        <v>2014</v>
      </c>
      <c r="F223" s="51">
        <f t="shared" si="1"/>
        <v>0</v>
      </c>
      <c r="G223" s="66"/>
      <c r="H223" s="66"/>
      <c r="I223" s="66"/>
      <c r="J223" s="52"/>
      <c r="K223" s="52"/>
      <c r="L223" s="9"/>
      <c r="M223" s="9"/>
      <c r="N223" s="9"/>
      <c r="O223" s="9"/>
    </row>
    <row r="224" spans="1:18" x14ac:dyDescent="0.25">
      <c r="A224" s="52" t="s">
        <v>22</v>
      </c>
      <c r="B224" s="52" t="s">
        <v>26</v>
      </c>
      <c r="C224" s="52" t="s">
        <v>31</v>
      </c>
      <c r="D224" s="52" t="s">
        <v>12</v>
      </c>
      <c r="E224" s="52">
        <v>2014</v>
      </c>
      <c r="F224" s="51">
        <f t="shared" si="1"/>
        <v>0</v>
      </c>
      <c r="G224" s="66"/>
      <c r="H224" s="66"/>
      <c r="I224" s="66"/>
      <c r="J224" s="52"/>
      <c r="K224" s="52"/>
      <c r="L224" s="9"/>
      <c r="M224" s="9"/>
      <c r="N224" s="9"/>
      <c r="O224" s="9"/>
    </row>
    <row r="225" spans="1:15" x14ac:dyDescent="0.25">
      <c r="A225" s="52" t="s">
        <v>22</v>
      </c>
      <c r="B225" s="52" t="s">
        <v>26</v>
      </c>
      <c r="C225" s="52" t="s">
        <v>19</v>
      </c>
      <c r="D225" s="52" t="s">
        <v>12</v>
      </c>
      <c r="E225" s="52">
        <v>2014</v>
      </c>
      <c r="F225" s="51">
        <f t="shared" si="1"/>
        <v>0</v>
      </c>
      <c r="G225" s="66"/>
      <c r="H225" s="66"/>
      <c r="I225" s="66"/>
      <c r="J225" s="52"/>
      <c r="K225" s="52"/>
      <c r="L225" s="9"/>
      <c r="M225" s="9"/>
      <c r="N225" s="9"/>
      <c r="O225" s="9"/>
    </row>
    <row r="226" spans="1:15" x14ac:dyDescent="0.25">
      <c r="A226" s="52" t="s">
        <v>22</v>
      </c>
      <c r="B226" s="52" t="s">
        <v>26</v>
      </c>
      <c r="C226" s="52" t="s">
        <v>20</v>
      </c>
      <c r="D226" s="52" t="s">
        <v>12</v>
      </c>
      <c r="E226" s="52">
        <v>2014</v>
      </c>
      <c r="F226" s="51">
        <f t="shared" si="1"/>
        <v>0</v>
      </c>
      <c r="G226" s="66"/>
      <c r="H226" s="66"/>
      <c r="I226" s="66"/>
      <c r="J226" s="52"/>
      <c r="K226" s="52"/>
      <c r="L226" s="9"/>
      <c r="M226" s="9"/>
      <c r="N226" s="9"/>
      <c r="O226" s="9"/>
    </row>
    <row r="227" spans="1:15" x14ac:dyDescent="0.25">
      <c r="A227" s="52" t="s">
        <v>22</v>
      </c>
      <c r="B227" s="52" t="s">
        <v>26</v>
      </c>
      <c r="C227" s="52" t="s">
        <v>31</v>
      </c>
      <c r="D227" s="52" t="s">
        <v>15</v>
      </c>
      <c r="E227" s="52">
        <v>2014</v>
      </c>
      <c r="F227" s="51">
        <f t="shared" si="1"/>
        <v>0</v>
      </c>
      <c r="G227" s="66"/>
      <c r="H227" s="66"/>
      <c r="I227" s="66"/>
      <c r="J227" s="52"/>
      <c r="K227" s="52"/>
      <c r="L227" s="9"/>
      <c r="M227" s="9"/>
      <c r="N227" s="9"/>
      <c r="O227" s="9"/>
    </row>
    <row r="228" spans="1:15" x14ac:dyDescent="0.25">
      <c r="A228" s="52" t="s">
        <v>22</v>
      </c>
      <c r="B228" s="52" t="s">
        <v>26</v>
      </c>
      <c r="C228" s="52" t="s">
        <v>19</v>
      </c>
      <c r="D228" s="52" t="s">
        <v>15</v>
      </c>
      <c r="E228" s="52">
        <v>2014</v>
      </c>
      <c r="F228" s="51">
        <f t="shared" si="1"/>
        <v>0</v>
      </c>
      <c r="G228" s="66"/>
      <c r="H228" s="66"/>
      <c r="I228" s="66"/>
      <c r="J228" s="52"/>
      <c r="K228" s="52"/>
      <c r="L228" s="9"/>
      <c r="M228" s="9"/>
      <c r="N228" s="9"/>
      <c r="O228" s="9"/>
    </row>
    <row r="229" spans="1:15" x14ac:dyDescent="0.25">
      <c r="A229" s="52" t="s">
        <v>22</v>
      </c>
      <c r="B229" s="52" t="s">
        <v>26</v>
      </c>
      <c r="C229" s="52" t="s">
        <v>20</v>
      </c>
      <c r="D229" s="52" t="s">
        <v>15</v>
      </c>
      <c r="E229" s="52">
        <v>2014</v>
      </c>
      <c r="F229" s="51">
        <f t="shared" si="1"/>
        <v>0</v>
      </c>
      <c r="G229" s="66"/>
      <c r="H229" s="66"/>
      <c r="I229" s="66"/>
      <c r="J229" s="52"/>
      <c r="K229" s="52"/>
      <c r="L229" s="9"/>
      <c r="M229" s="9"/>
      <c r="N229" s="9"/>
      <c r="O229" s="9"/>
    </row>
    <row r="230" spans="1:15" x14ac:dyDescent="0.25">
      <c r="A230" s="52" t="s">
        <v>22</v>
      </c>
      <c r="B230" s="52" t="s">
        <v>27</v>
      </c>
      <c r="C230" s="52" t="s">
        <v>11</v>
      </c>
      <c r="D230" s="52" t="s">
        <v>11</v>
      </c>
      <c r="E230" s="52">
        <v>2014</v>
      </c>
      <c r="F230" s="51">
        <f t="shared" si="1"/>
        <v>0</v>
      </c>
      <c r="G230" s="66"/>
      <c r="H230" s="66"/>
      <c r="I230" s="66"/>
      <c r="J230" s="52"/>
      <c r="K230" s="52"/>
      <c r="L230" s="9"/>
      <c r="M230" s="9"/>
      <c r="N230" s="9"/>
      <c r="O230" s="9"/>
    </row>
    <row r="231" spans="1:15" x14ac:dyDescent="0.25">
      <c r="A231" s="52" t="s">
        <v>22</v>
      </c>
      <c r="B231" s="52" t="s">
        <v>27</v>
      </c>
      <c r="C231" s="52" t="s">
        <v>31</v>
      </c>
      <c r="D231" s="52" t="s">
        <v>11</v>
      </c>
      <c r="E231" s="52">
        <v>2014</v>
      </c>
      <c r="F231" s="51">
        <f t="shared" si="1"/>
        <v>0</v>
      </c>
      <c r="G231" s="66"/>
      <c r="H231" s="66"/>
      <c r="I231" s="66"/>
      <c r="J231" s="52"/>
      <c r="K231" s="52"/>
      <c r="L231" s="9"/>
      <c r="M231" s="9"/>
      <c r="N231" s="9"/>
      <c r="O231" s="9"/>
    </row>
    <row r="232" spans="1:15" x14ac:dyDescent="0.25">
      <c r="A232" s="52" t="s">
        <v>22</v>
      </c>
      <c r="B232" s="52" t="s">
        <v>27</v>
      </c>
      <c r="C232" s="52" t="s">
        <v>19</v>
      </c>
      <c r="D232" s="52" t="s">
        <v>11</v>
      </c>
      <c r="E232" s="52">
        <v>2014</v>
      </c>
      <c r="F232" s="51">
        <f t="shared" si="1"/>
        <v>0</v>
      </c>
      <c r="G232" s="66"/>
      <c r="H232" s="66"/>
      <c r="I232" s="66"/>
      <c r="J232" s="52"/>
      <c r="K232" s="52"/>
      <c r="L232" s="9"/>
      <c r="M232" s="9"/>
      <c r="N232" s="9"/>
      <c r="O232" s="9"/>
    </row>
    <row r="233" spans="1:15" x14ac:dyDescent="0.25">
      <c r="A233" s="52" t="s">
        <v>22</v>
      </c>
      <c r="B233" s="52" t="s">
        <v>27</v>
      </c>
      <c r="C233" s="52" t="s">
        <v>20</v>
      </c>
      <c r="D233" s="52" t="s">
        <v>11</v>
      </c>
      <c r="E233" s="52">
        <v>2014</v>
      </c>
      <c r="F233" s="51">
        <f t="shared" si="1"/>
        <v>0</v>
      </c>
      <c r="G233" s="66"/>
      <c r="H233" s="66"/>
      <c r="I233" s="66"/>
      <c r="J233" s="52"/>
      <c r="K233" s="52"/>
      <c r="L233" s="9"/>
      <c r="M233" s="9"/>
      <c r="N233" s="9"/>
      <c r="O233" s="9"/>
    </row>
    <row r="234" spans="1:15" x14ac:dyDescent="0.25">
      <c r="A234" s="52" t="s">
        <v>22</v>
      </c>
      <c r="B234" s="52" t="s">
        <v>28</v>
      </c>
      <c r="C234" s="52" t="s">
        <v>11</v>
      </c>
      <c r="D234" s="52" t="s">
        <v>11</v>
      </c>
      <c r="E234" s="52">
        <v>2014</v>
      </c>
      <c r="F234" s="51">
        <f t="shared" si="1"/>
        <v>0</v>
      </c>
      <c r="G234" s="66"/>
      <c r="H234" s="66"/>
      <c r="I234" s="66"/>
      <c r="J234" s="52"/>
      <c r="K234" s="52"/>
      <c r="L234" s="9"/>
      <c r="M234" s="9"/>
      <c r="N234" s="9"/>
      <c r="O234" s="9"/>
    </row>
    <row r="235" spans="1:15" x14ac:dyDescent="0.25">
      <c r="A235" s="52" t="s">
        <v>22</v>
      </c>
      <c r="B235" s="52" t="s">
        <v>28</v>
      </c>
      <c r="C235" s="52" t="s">
        <v>31</v>
      </c>
      <c r="D235" s="52" t="s">
        <v>12</v>
      </c>
      <c r="E235" s="52">
        <v>2014</v>
      </c>
      <c r="F235" s="51">
        <f t="shared" si="1"/>
        <v>0</v>
      </c>
      <c r="G235" s="66"/>
      <c r="H235" s="66"/>
      <c r="I235" s="66"/>
      <c r="J235" s="52"/>
      <c r="K235" s="52"/>
      <c r="L235" s="9"/>
      <c r="M235" s="9"/>
      <c r="N235" s="9"/>
      <c r="O235" s="9"/>
    </row>
    <row r="236" spans="1:15" x14ac:dyDescent="0.25">
      <c r="A236" s="52" t="s">
        <v>22</v>
      </c>
      <c r="B236" s="52" t="s">
        <v>28</v>
      </c>
      <c r="C236" s="52" t="s">
        <v>19</v>
      </c>
      <c r="D236" s="52" t="s">
        <v>12</v>
      </c>
      <c r="E236" s="52">
        <v>2014</v>
      </c>
      <c r="F236" s="51">
        <f t="shared" si="1"/>
        <v>0</v>
      </c>
      <c r="G236" s="66"/>
      <c r="H236" s="66"/>
      <c r="I236" s="66"/>
      <c r="J236" s="52"/>
      <c r="K236" s="52"/>
      <c r="L236" s="9"/>
      <c r="M236" s="9"/>
      <c r="N236" s="9"/>
      <c r="O236" s="9"/>
    </row>
    <row r="237" spans="1:15" x14ac:dyDescent="0.25">
      <c r="A237" s="52" t="s">
        <v>22</v>
      </c>
      <c r="B237" s="52" t="s">
        <v>28</v>
      </c>
      <c r="C237" s="52" t="s">
        <v>20</v>
      </c>
      <c r="D237" s="52" t="s">
        <v>12</v>
      </c>
      <c r="E237" s="52">
        <v>2014</v>
      </c>
      <c r="F237" s="51">
        <f t="shared" si="1"/>
        <v>0</v>
      </c>
      <c r="G237" s="66"/>
      <c r="H237" s="66"/>
      <c r="I237" s="66"/>
      <c r="J237" s="52"/>
      <c r="K237" s="52"/>
      <c r="L237" s="9"/>
      <c r="M237" s="9"/>
      <c r="N237" s="9"/>
      <c r="O237" s="9"/>
    </row>
    <row r="238" spans="1:15" x14ac:dyDescent="0.25">
      <c r="A238" s="52" t="s">
        <v>22</v>
      </c>
      <c r="B238" s="52" t="s">
        <v>28</v>
      </c>
      <c r="C238" s="52" t="s">
        <v>31</v>
      </c>
      <c r="D238" s="52" t="s">
        <v>15</v>
      </c>
      <c r="E238" s="52">
        <v>2014</v>
      </c>
      <c r="F238" s="51">
        <f t="shared" si="1"/>
        <v>0</v>
      </c>
      <c r="G238" s="66"/>
      <c r="H238" s="66"/>
      <c r="I238" s="66"/>
      <c r="J238" s="52"/>
      <c r="K238" s="52"/>
      <c r="L238" s="9"/>
      <c r="M238" s="9"/>
      <c r="N238" s="9"/>
      <c r="O238" s="9"/>
    </row>
    <row r="239" spans="1:15" x14ac:dyDescent="0.25">
      <c r="A239" s="52" t="s">
        <v>22</v>
      </c>
      <c r="B239" s="52" t="s">
        <v>28</v>
      </c>
      <c r="C239" s="52" t="s">
        <v>19</v>
      </c>
      <c r="D239" s="52" t="s">
        <v>15</v>
      </c>
      <c r="E239" s="52">
        <v>2014</v>
      </c>
      <c r="F239" s="51">
        <f t="shared" si="1"/>
        <v>0</v>
      </c>
      <c r="G239" s="66"/>
      <c r="H239" s="66"/>
      <c r="I239" s="66"/>
      <c r="J239" s="52"/>
      <c r="K239" s="52"/>
      <c r="L239" s="9"/>
      <c r="M239" s="9"/>
      <c r="N239" s="9"/>
      <c r="O239" s="9"/>
    </row>
    <row r="240" spans="1:15" ht="15.75" thickBot="1" x14ac:dyDescent="0.3">
      <c r="A240" s="56" t="s">
        <v>22</v>
      </c>
      <c r="B240" s="56" t="s">
        <v>28</v>
      </c>
      <c r="C240" s="56" t="s">
        <v>20</v>
      </c>
      <c r="D240" s="56" t="s">
        <v>15</v>
      </c>
      <c r="E240" s="56">
        <v>2014</v>
      </c>
      <c r="F240" s="55">
        <f t="shared" si="1"/>
        <v>0</v>
      </c>
      <c r="G240" s="67"/>
      <c r="H240" s="67"/>
      <c r="I240" s="67"/>
      <c r="J240" s="56"/>
      <c r="K240" s="56"/>
      <c r="L240" s="6"/>
      <c r="M240" s="6"/>
      <c r="N240" s="6"/>
      <c r="O240" s="9"/>
    </row>
    <row r="241" spans="1:15" x14ac:dyDescent="0.25">
      <c r="A241" s="9" t="s">
        <v>10</v>
      </c>
      <c r="B241" s="9" t="s">
        <v>11</v>
      </c>
      <c r="C241" s="9" t="s">
        <v>11</v>
      </c>
      <c r="D241" s="9" t="s">
        <v>11</v>
      </c>
      <c r="E241" s="9">
        <v>2015</v>
      </c>
      <c r="F241" s="44">
        <f>SUM(F243:F245,F247:F252,F254:F256,F258:F260,F262:F264)</f>
        <v>24149.644100000001</v>
      </c>
      <c r="G241" s="38">
        <v>24149.684700000002</v>
      </c>
      <c r="H241" s="38">
        <v>23848</v>
      </c>
      <c r="I241" s="38">
        <v>24458</v>
      </c>
      <c r="J241" s="3">
        <v>26341</v>
      </c>
      <c r="K241" s="11"/>
      <c r="L241" s="9"/>
      <c r="M241" s="9"/>
      <c r="N241" s="9"/>
      <c r="O241" s="9"/>
    </row>
    <row r="242" spans="1:15" x14ac:dyDescent="0.25">
      <c r="A242" s="9" t="s">
        <v>10</v>
      </c>
      <c r="B242" s="9" t="s">
        <v>24</v>
      </c>
      <c r="C242" s="9" t="s">
        <v>11</v>
      </c>
      <c r="D242" s="9" t="s">
        <v>11</v>
      </c>
      <c r="E242" s="9">
        <v>2015</v>
      </c>
      <c r="F242" s="44">
        <f>SUM(F243:F245)</f>
        <v>12582.132500000002</v>
      </c>
      <c r="G242" s="38"/>
      <c r="H242" s="38"/>
      <c r="I242" s="38"/>
      <c r="J242" s="3">
        <v>13825</v>
      </c>
      <c r="K242" s="11"/>
      <c r="L242" s="9"/>
      <c r="M242" s="9"/>
      <c r="N242" s="9"/>
      <c r="O242" s="9"/>
    </row>
    <row r="243" spans="1:15" x14ac:dyDescent="0.25">
      <c r="A243" s="9" t="s">
        <v>10</v>
      </c>
      <c r="B243" s="9" t="s">
        <v>24</v>
      </c>
      <c r="C243" s="9" t="s">
        <v>31</v>
      </c>
      <c r="D243" s="9" t="s">
        <v>11</v>
      </c>
      <c r="E243" s="9">
        <v>2015</v>
      </c>
      <c r="F243" s="44">
        <f t="shared" si="1"/>
        <v>1875.9268116413405</v>
      </c>
      <c r="G243" s="38">
        <v>1876.1404191295921</v>
      </c>
      <c r="H243" s="38">
        <v>1792.4263370502545</v>
      </c>
      <c r="I243" s="38">
        <v>1962.7892324136305</v>
      </c>
      <c r="J243" s="3">
        <v>2061.2315258118233</v>
      </c>
      <c r="K243" s="11">
        <v>0.91010000000000002</v>
      </c>
      <c r="L243" s="9"/>
      <c r="M243" s="9"/>
      <c r="O243" s="9"/>
    </row>
    <row r="244" spans="1:15" x14ac:dyDescent="0.25">
      <c r="A244" s="9" t="s">
        <v>10</v>
      </c>
      <c r="B244" s="9" t="s">
        <v>24</v>
      </c>
      <c r="C244" s="9" t="s">
        <v>19</v>
      </c>
      <c r="D244" s="9" t="s">
        <v>11</v>
      </c>
      <c r="E244" s="9">
        <v>2015</v>
      </c>
      <c r="F244" s="44">
        <f t="shared" si="1"/>
        <v>4229.1836915851381</v>
      </c>
      <c r="G244" s="38">
        <v>4228.6563213863901</v>
      </c>
      <c r="H244" s="38">
        <v>4102.518235532686</v>
      </c>
      <c r="I244" s="38">
        <v>4358.4456772766016</v>
      </c>
      <c r="J244" s="3">
        <v>4646.9439529558704</v>
      </c>
      <c r="K244" s="11">
        <v>0.91010000000000002</v>
      </c>
      <c r="L244" s="9"/>
      <c r="M244" s="9"/>
      <c r="O244" s="9"/>
    </row>
    <row r="245" spans="1:15" x14ac:dyDescent="0.25">
      <c r="A245" s="9" t="s">
        <v>10</v>
      </c>
      <c r="B245" s="9" t="s">
        <v>24</v>
      </c>
      <c r="C245" s="9" t="s">
        <v>20</v>
      </c>
      <c r="D245" s="9" t="s">
        <v>11</v>
      </c>
      <c r="E245" s="9">
        <v>2015</v>
      </c>
      <c r="F245" s="44">
        <f t="shared" si="1"/>
        <v>6477.0219967735229</v>
      </c>
      <c r="G245" s="38">
        <v>6478.1035556964462</v>
      </c>
      <c r="H245" s="38">
        <v>6320.9798134369521</v>
      </c>
      <c r="I245" s="38">
        <v>6639.3130152363974</v>
      </c>
      <c r="J245" s="24">
        <v>7116.8245212323072</v>
      </c>
      <c r="K245" s="11">
        <v>0.91010000000000002</v>
      </c>
      <c r="L245" s="9"/>
      <c r="M245" s="9"/>
      <c r="O245" s="9"/>
    </row>
    <row r="246" spans="1:15" x14ac:dyDescent="0.25">
      <c r="A246" s="9" t="s">
        <v>10</v>
      </c>
      <c r="B246" s="9" t="s">
        <v>26</v>
      </c>
      <c r="C246" s="9" t="s">
        <v>11</v>
      </c>
      <c r="D246" s="9" t="s">
        <v>11</v>
      </c>
      <c r="E246" s="9">
        <v>2015</v>
      </c>
      <c r="F246" s="44">
        <f>SUM(F247:F252)</f>
        <v>1482.2317</v>
      </c>
      <c r="G246" s="38"/>
      <c r="H246" s="38"/>
      <c r="I246" s="38"/>
      <c r="J246" s="3">
        <f>SUM(J247:J252)</f>
        <v>1609</v>
      </c>
      <c r="K246" s="11"/>
      <c r="L246" s="9"/>
      <c r="M246" s="9"/>
      <c r="O246" s="9"/>
    </row>
    <row r="247" spans="1:15" x14ac:dyDescent="0.25">
      <c r="A247" s="9" t="s">
        <v>10</v>
      </c>
      <c r="B247" s="9" t="s">
        <v>26</v>
      </c>
      <c r="C247" s="9" t="s">
        <v>31</v>
      </c>
      <c r="D247" s="9" t="s">
        <v>12</v>
      </c>
      <c r="E247" s="9">
        <v>2015</v>
      </c>
      <c r="F247" s="44">
        <f t="shared" si="1"/>
        <v>120.49352685262276</v>
      </c>
      <c r="G247" s="38">
        <v>120.37147649629352</v>
      </c>
      <c r="H247" s="38">
        <v>100.39561843489376</v>
      </c>
      <c r="I247" s="38">
        <v>142.51228602897842</v>
      </c>
      <c r="J247" s="24">
        <v>132.3959200666111</v>
      </c>
      <c r="K247" s="11">
        <v>0.91010000000000002</v>
      </c>
      <c r="L247" s="9"/>
      <c r="M247" s="9"/>
      <c r="O247" s="9"/>
    </row>
    <row r="248" spans="1:15" x14ac:dyDescent="0.25">
      <c r="A248" s="9" t="s">
        <v>10</v>
      </c>
      <c r="B248" s="9" t="s">
        <v>26</v>
      </c>
      <c r="C248" s="9" t="s">
        <v>19</v>
      </c>
      <c r="D248" s="9" t="s">
        <v>12</v>
      </c>
      <c r="E248" s="9">
        <v>2015</v>
      </c>
      <c r="F248" s="44">
        <f t="shared" si="1"/>
        <v>271.64666315570361</v>
      </c>
      <c r="G248" s="38">
        <v>271.69633509050948</v>
      </c>
      <c r="H248" s="38">
        <v>240.48762747201883</v>
      </c>
      <c r="I248" s="38">
        <v>305.65238653762833</v>
      </c>
      <c r="J248" s="3">
        <v>298.48001665278935</v>
      </c>
      <c r="K248" s="11">
        <v>0.91010000000000002</v>
      </c>
      <c r="L248" s="9"/>
      <c r="M248" s="9"/>
      <c r="O248" s="9"/>
    </row>
    <row r="249" spans="1:15" x14ac:dyDescent="0.25">
      <c r="A249" s="9" t="s">
        <v>10</v>
      </c>
      <c r="B249" s="9" t="s">
        <v>26</v>
      </c>
      <c r="C249" s="9" t="s">
        <v>20</v>
      </c>
      <c r="D249" s="9" t="s">
        <v>12</v>
      </c>
      <c r="E249" s="9">
        <v>2015</v>
      </c>
      <c r="F249" s="44">
        <f t="shared" si="1"/>
        <v>416.02860999167365</v>
      </c>
      <c r="G249" s="38">
        <v>415.66044418973325</v>
      </c>
      <c r="H249" s="38">
        <v>376.77717320025062</v>
      </c>
      <c r="I249" s="38">
        <v>456.60655722711198</v>
      </c>
      <c r="J249" s="3">
        <v>457.12406328059956</v>
      </c>
      <c r="K249" s="11">
        <v>0.91010000000000002</v>
      </c>
      <c r="L249" s="9"/>
      <c r="M249" s="9"/>
      <c r="O249" s="9"/>
    </row>
    <row r="250" spans="1:15" x14ac:dyDescent="0.25">
      <c r="A250" s="9" t="s">
        <v>10</v>
      </c>
      <c r="B250" s="9" t="s">
        <v>26</v>
      </c>
      <c r="C250" s="9" t="s">
        <v>31</v>
      </c>
      <c r="D250" s="9" t="s">
        <v>15</v>
      </c>
      <c r="E250" s="9">
        <v>2015</v>
      </c>
      <c r="F250" s="44">
        <f t="shared" si="1"/>
        <v>39.355812828070192</v>
      </c>
      <c r="G250" s="38">
        <v>39.379521584460889</v>
      </c>
      <c r="H250" s="38">
        <v>28.264957707041262</v>
      </c>
      <c r="I250" s="38">
        <v>52.650058780964287</v>
      </c>
      <c r="J250" s="24">
        <v>42.096280701754409</v>
      </c>
      <c r="K250" s="11">
        <v>0.93489999999999995</v>
      </c>
      <c r="L250" s="9"/>
      <c r="M250" s="9"/>
      <c r="O250" s="9"/>
    </row>
    <row r="251" spans="1:15" x14ac:dyDescent="0.25">
      <c r="A251" s="9" t="s">
        <v>10</v>
      </c>
      <c r="B251" s="9" t="s">
        <v>26</v>
      </c>
      <c r="C251" s="9" t="s">
        <v>19</v>
      </c>
      <c r="D251" s="9" t="s">
        <v>15</v>
      </c>
      <c r="E251" s="9">
        <v>2015</v>
      </c>
      <c r="F251" s="44">
        <f t="shared" si="1"/>
        <v>477.56765181754378</v>
      </c>
      <c r="G251" s="38">
        <v>477.31942225979873</v>
      </c>
      <c r="H251" s="38">
        <v>435.87001433829107</v>
      </c>
      <c r="I251" s="38">
        <v>521.4673588146652</v>
      </c>
      <c r="J251" s="3">
        <v>510.82217543859645</v>
      </c>
      <c r="K251" s="11">
        <v>0.93489999999999995</v>
      </c>
      <c r="L251" s="9"/>
      <c r="M251" s="9"/>
      <c r="O251" s="9"/>
    </row>
    <row r="252" spans="1:15" x14ac:dyDescent="0.25">
      <c r="A252" s="9" t="s">
        <v>10</v>
      </c>
      <c r="B252" s="9" t="s">
        <v>26</v>
      </c>
      <c r="C252" s="9" t="s">
        <v>20</v>
      </c>
      <c r="D252" s="9" t="s">
        <v>15</v>
      </c>
      <c r="E252" s="9">
        <v>2015</v>
      </c>
      <c r="F252" s="44">
        <f t="shared" si="1"/>
        <v>157.13943535438597</v>
      </c>
      <c r="G252" s="38">
        <v>157.20037748720705</v>
      </c>
      <c r="H252" s="38">
        <v>133.57477335018291</v>
      </c>
      <c r="I252" s="38">
        <v>182.36998495000952</v>
      </c>
      <c r="J252" s="3">
        <v>168.08154385964914</v>
      </c>
      <c r="K252" s="11">
        <v>0.93489999999999995</v>
      </c>
      <c r="L252" s="9"/>
      <c r="M252" s="9"/>
      <c r="O252" s="9"/>
    </row>
    <row r="253" spans="1:15" x14ac:dyDescent="0.25">
      <c r="A253" s="9" t="s">
        <v>10</v>
      </c>
      <c r="B253" s="9" t="s">
        <v>27</v>
      </c>
      <c r="C253" s="9" t="s">
        <v>11</v>
      </c>
      <c r="D253" s="9" t="s">
        <v>11</v>
      </c>
      <c r="E253" s="9">
        <v>2015</v>
      </c>
      <c r="F253" s="44">
        <f>SUM(F254:F256)</f>
        <v>624.32860000000005</v>
      </c>
      <c r="G253" s="38"/>
      <c r="H253" s="38"/>
      <c r="I253" s="38"/>
      <c r="J253" s="1">
        <v>686</v>
      </c>
      <c r="K253" s="11"/>
      <c r="L253" s="9"/>
      <c r="M253" s="9"/>
      <c r="O253" s="9"/>
    </row>
    <row r="254" spans="1:15" x14ac:dyDescent="0.25">
      <c r="A254" s="9" t="s">
        <v>10</v>
      </c>
      <c r="B254" s="9" t="s">
        <v>27</v>
      </c>
      <c r="C254" s="9" t="s">
        <v>31</v>
      </c>
      <c r="D254" s="9" t="s">
        <v>11</v>
      </c>
      <c r="E254" s="9">
        <v>2015</v>
      </c>
      <c r="F254" s="44">
        <f t="shared" si="1"/>
        <v>93.083963311823439</v>
      </c>
      <c r="G254" s="38">
        <v>93.148752163046566</v>
      </c>
      <c r="H254" s="38">
        <v>75.036994685173369</v>
      </c>
      <c r="I254" s="38">
        <v>113.16542145456826</v>
      </c>
      <c r="J254" s="24">
        <v>102.27883014154867</v>
      </c>
      <c r="K254" s="11">
        <v>0.91010000000000002</v>
      </c>
      <c r="L254" s="9"/>
      <c r="M254" s="9"/>
      <c r="O254" s="9"/>
    </row>
    <row r="255" spans="1:15" x14ac:dyDescent="0.25">
      <c r="A255" s="9" t="s">
        <v>10</v>
      </c>
      <c r="B255" s="9" t="s">
        <v>27</v>
      </c>
      <c r="C255" s="9" t="s">
        <v>19</v>
      </c>
      <c r="D255" s="9" t="s">
        <v>11</v>
      </c>
      <c r="E255" s="9">
        <v>2015</v>
      </c>
      <c r="F255" s="44">
        <f t="shared" si="1"/>
        <v>209.85316545587011</v>
      </c>
      <c r="G255" s="38">
        <v>209.75218710158464</v>
      </c>
      <c r="H255" s="38">
        <v>181.82676448691265</v>
      </c>
      <c r="I255" s="38">
        <v>238.70152401954758</v>
      </c>
      <c r="J255" s="24">
        <v>230.58253538717736</v>
      </c>
      <c r="K255" s="11">
        <v>0.91010000000000002</v>
      </c>
      <c r="L255" s="9"/>
      <c r="M255" s="9"/>
      <c r="O255" s="9"/>
    </row>
    <row r="256" spans="1:15" x14ac:dyDescent="0.25">
      <c r="A256" s="9" t="s">
        <v>10</v>
      </c>
      <c r="B256" s="9" t="s">
        <v>27</v>
      </c>
      <c r="C256" s="9" t="s">
        <v>20</v>
      </c>
      <c r="D256" s="9" t="s">
        <v>11</v>
      </c>
      <c r="E256" s="9">
        <v>2015</v>
      </c>
      <c r="F256" s="44">
        <f t="shared" si="1"/>
        <v>321.39147123230646</v>
      </c>
      <c r="G256" s="38">
        <v>321.2309867704123</v>
      </c>
      <c r="H256" s="38">
        <v>287.22528535072632</v>
      </c>
      <c r="I256" s="38">
        <v>357.28581425802162</v>
      </c>
      <c r="J256" s="3">
        <v>353.13863447127397</v>
      </c>
      <c r="K256" s="11">
        <v>0.91010000000000002</v>
      </c>
      <c r="L256" s="9"/>
      <c r="M256" s="9"/>
      <c r="O256" s="9"/>
    </row>
    <row r="257" spans="1:15" x14ac:dyDescent="0.25">
      <c r="A257" s="9" t="s">
        <v>10</v>
      </c>
      <c r="B257" s="9" t="s">
        <v>28</v>
      </c>
      <c r="C257" s="9" t="s">
        <v>11</v>
      </c>
      <c r="D257" s="9" t="s">
        <v>12</v>
      </c>
      <c r="E257" s="9">
        <v>2015</v>
      </c>
      <c r="F257" s="44">
        <f>SUM(F258:F260)</f>
        <v>3473.8516999999993</v>
      </c>
      <c r="G257" s="38"/>
      <c r="H257" s="38"/>
      <c r="I257" s="38"/>
      <c r="J257" s="24">
        <f>SUM(J258:J260)</f>
        <v>3816.9999999999991</v>
      </c>
      <c r="K257" s="11"/>
      <c r="L257" s="9"/>
      <c r="M257" s="9"/>
      <c r="O257" s="9"/>
    </row>
    <row r="258" spans="1:15" x14ac:dyDescent="0.25">
      <c r="A258" s="9" t="s">
        <v>10</v>
      </c>
      <c r="B258" s="9" t="s">
        <v>28</v>
      </c>
      <c r="C258" s="9" t="s">
        <v>31</v>
      </c>
      <c r="D258" s="9" t="s">
        <v>12</v>
      </c>
      <c r="E258" s="9">
        <v>2015</v>
      </c>
      <c r="F258" s="44">
        <f t="shared" si="1"/>
        <v>517.93219819421336</v>
      </c>
      <c r="G258" s="38">
        <v>517.66209484398166</v>
      </c>
      <c r="H258" s="38">
        <v>474.61634697618331</v>
      </c>
      <c r="I258" s="38">
        <v>562.93194395320722</v>
      </c>
      <c r="J258" s="24">
        <v>569.09372398001688</v>
      </c>
      <c r="K258" s="11">
        <v>0.91010000000000002</v>
      </c>
      <c r="L258" s="9"/>
      <c r="M258" s="9"/>
      <c r="O258" s="9"/>
    </row>
    <row r="259" spans="1:15" x14ac:dyDescent="0.25">
      <c r="A259" s="9" t="s">
        <v>10</v>
      </c>
      <c r="B259" s="9" t="s">
        <v>28</v>
      </c>
      <c r="C259" s="9" t="s">
        <v>19</v>
      </c>
      <c r="D259" s="9" t="s">
        <v>12</v>
      </c>
      <c r="E259" s="9">
        <v>2015</v>
      </c>
      <c r="F259" s="44">
        <f t="shared" si="1"/>
        <v>1167.6523798032888</v>
      </c>
      <c r="G259" s="38">
        <v>1167.7088898566014</v>
      </c>
      <c r="H259" s="38">
        <v>1101.6897705328561</v>
      </c>
      <c r="I259" s="38">
        <v>1236.1010621422577</v>
      </c>
      <c r="J259" s="24">
        <v>1282.9934950041629</v>
      </c>
      <c r="K259" s="11">
        <v>0.91010000000000002</v>
      </c>
      <c r="L259" s="9"/>
      <c r="M259" s="9"/>
      <c r="O259" s="9"/>
    </row>
    <row r="260" spans="1:15" x14ac:dyDescent="0.25">
      <c r="A260" s="9" t="s">
        <v>10</v>
      </c>
      <c r="B260" s="9" t="s">
        <v>28</v>
      </c>
      <c r="C260" s="9" t="s">
        <v>20</v>
      </c>
      <c r="D260" s="9" t="s">
        <v>12</v>
      </c>
      <c r="E260" s="9">
        <v>2015</v>
      </c>
      <c r="F260" s="44">
        <f t="shared" si="1"/>
        <v>1788.2671220024974</v>
      </c>
      <c r="G260" s="38">
        <v>1788.1842193303021</v>
      </c>
      <c r="H260" s="38">
        <v>1706.288959720513</v>
      </c>
      <c r="I260" s="38">
        <v>1873.6576431647156</v>
      </c>
      <c r="J260" s="24">
        <v>1964.9127810158195</v>
      </c>
      <c r="K260" s="11">
        <v>0.91010000000000002</v>
      </c>
      <c r="L260" s="9"/>
      <c r="M260" s="9"/>
      <c r="O260" s="9"/>
    </row>
    <row r="261" spans="1:15" x14ac:dyDescent="0.25">
      <c r="A261" s="9" t="s">
        <v>10</v>
      </c>
      <c r="B261" s="9" t="s">
        <v>28</v>
      </c>
      <c r="C261" s="9" t="s">
        <v>11</v>
      </c>
      <c r="D261" s="9" t="s">
        <v>15</v>
      </c>
      <c r="E261" s="9">
        <v>2015</v>
      </c>
      <c r="F261" s="44">
        <f>SUM(F262:F264)</f>
        <v>5987.0995999999986</v>
      </c>
      <c r="G261" s="38"/>
      <c r="H261" s="38"/>
      <c r="I261" s="38"/>
      <c r="J261" s="24">
        <f>SUM(J262:J264)</f>
        <v>6404</v>
      </c>
      <c r="K261" s="11"/>
      <c r="L261" s="9"/>
      <c r="M261" s="9"/>
      <c r="O261" s="9"/>
    </row>
    <row r="262" spans="1:15" x14ac:dyDescent="0.25">
      <c r="A262" s="9" t="s">
        <v>10</v>
      </c>
      <c r="B262" s="9" t="s">
        <v>28</v>
      </c>
      <c r="C262" s="9" t="s">
        <v>31</v>
      </c>
      <c r="D262" s="9" t="s">
        <v>15</v>
      </c>
      <c r="E262" s="9">
        <v>2015</v>
      </c>
      <c r="F262" s="44">
        <f t="shared" si="1"/>
        <v>349.56258717192981</v>
      </c>
      <c r="G262" s="38">
        <v>349.69488360303455</v>
      </c>
      <c r="H262" s="38">
        <v>314.13146071238231</v>
      </c>
      <c r="I262" s="38">
        <v>387.23196002172961</v>
      </c>
      <c r="J262" s="24">
        <v>373.90371929824562</v>
      </c>
      <c r="K262" s="11">
        <v>0.93489999999999995</v>
      </c>
      <c r="L262" s="9"/>
      <c r="M262" s="9"/>
      <c r="O262" s="9"/>
    </row>
    <row r="263" spans="1:15" x14ac:dyDescent="0.25">
      <c r="A263" s="9" t="s">
        <v>10</v>
      </c>
      <c r="B263" s="9" t="s">
        <v>28</v>
      </c>
      <c r="C263" s="9" t="s">
        <v>19</v>
      </c>
      <c r="D263" s="9" t="s">
        <v>15</v>
      </c>
      <c r="E263" s="9">
        <v>2015</v>
      </c>
      <c r="F263" s="44">
        <f t="shared" si="1"/>
        <v>4241.8075481824553</v>
      </c>
      <c r="G263" s="38">
        <v>4241.9660585062129</v>
      </c>
      <c r="H263" s="38">
        <v>4113.6980615505172</v>
      </c>
      <c r="I263" s="38">
        <v>4369.4570963503947</v>
      </c>
      <c r="J263" s="24">
        <v>4537.1778245614032</v>
      </c>
      <c r="K263" s="11">
        <v>0.93489999999999995</v>
      </c>
      <c r="L263" s="9"/>
      <c r="M263" s="9"/>
      <c r="O263" s="9"/>
    </row>
    <row r="264" spans="1:15" x14ac:dyDescent="0.25">
      <c r="A264" s="9" t="s">
        <v>10</v>
      </c>
      <c r="B264" s="9" t="s">
        <v>28</v>
      </c>
      <c r="C264" s="9" t="s">
        <v>20</v>
      </c>
      <c r="D264" s="9" t="s">
        <v>15</v>
      </c>
      <c r="E264" s="9">
        <v>2015</v>
      </c>
      <c r="F264" s="44">
        <f t="shared" si="1"/>
        <v>1395.7294646456139</v>
      </c>
      <c r="G264" s="38">
        <v>1395.8087545043925</v>
      </c>
      <c r="H264" s="38">
        <v>1323.3464814222789</v>
      </c>
      <c r="I264" s="38">
        <v>1470.8137299747532</v>
      </c>
      <c r="J264" s="24">
        <v>1492.9184561403508</v>
      </c>
      <c r="K264" s="11">
        <v>0.93489999999999995</v>
      </c>
      <c r="L264" s="9"/>
      <c r="M264" s="9"/>
      <c r="O264" s="9"/>
    </row>
    <row r="265" spans="1:15" x14ac:dyDescent="0.25">
      <c r="A265" s="9" t="s">
        <v>21</v>
      </c>
      <c r="B265" s="9" t="s">
        <v>11</v>
      </c>
      <c r="C265" s="9" t="s">
        <v>11</v>
      </c>
      <c r="D265" s="9" t="s">
        <v>11</v>
      </c>
      <c r="E265" s="9">
        <v>2015</v>
      </c>
      <c r="F265" s="44">
        <f t="shared" si="1"/>
        <v>1314.3635830345352</v>
      </c>
      <c r="G265" s="38">
        <v>1315.0489</v>
      </c>
      <c r="H265" s="38">
        <v>1245</v>
      </c>
      <c r="I265" s="38">
        <v>1386</v>
      </c>
      <c r="J265" s="9">
        <v>1368</v>
      </c>
      <c r="K265" s="9">
        <v>0.96079209286150224</v>
      </c>
      <c r="L265" s="9"/>
      <c r="M265" s="9"/>
      <c r="O265" s="9"/>
    </row>
    <row r="266" spans="1:15" x14ac:dyDescent="0.25">
      <c r="A266" s="9" t="s">
        <v>21</v>
      </c>
      <c r="B266" s="9" t="s">
        <v>11</v>
      </c>
      <c r="C266" s="9" t="s">
        <v>19</v>
      </c>
      <c r="D266" s="9" t="s">
        <v>11</v>
      </c>
      <c r="E266" s="9">
        <v>2015</v>
      </c>
      <c r="F266" s="44">
        <f t="shared" si="1"/>
        <v>410.25822365186144</v>
      </c>
      <c r="G266" s="38"/>
      <c r="H266" s="38"/>
      <c r="I266" s="38"/>
      <c r="J266" s="24">
        <f>SUM(J269,J272,J275,J278,J281,J284)</f>
        <v>427</v>
      </c>
      <c r="K266" s="9">
        <v>0.96079209286150224</v>
      </c>
      <c r="L266" s="9"/>
      <c r="M266" s="9"/>
      <c r="O266" s="9"/>
    </row>
    <row r="267" spans="1:15" x14ac:dyDescent="0.25">
      <c r="A267" s="9" t="s">
        <v>21</v>
      </c>
      <c r="B267" s="9" t="s">
        <v>24</v>
      </c>
      <c r="C267" s="9" t="s">
        <v>11</v>
      </c>
      <c r="D267" s="9" t="s">
        <v>11</v>
      </c>
      <c r="E267" s="9">
        <v>2015</v>
      </c>
      <c r="F267" s="44">
        <f t="shared" si="1"/>
        <v>907.9485277541196</v>
      </c>
      <c r="G267" s="38"/>
      <c r="H267" s="38"/>
      <c r="I267" s="38"/>
      <c r="J267" s="24">
        <f>SUM(J268:J270)</f>
        <v>945</v>
      </c>
      <c r="K267" s="9">
        <v>0.96079209286150224</v>
      </c>
      <c r="L267" s="9"/>
      <c r="M267" s="9"/>
      <c r="O267" s="9"/>
    </row>
    <row r="268" spans="1:15" x14ac:dyDescent="0.25">
      <c r="A268" s="9" t="s">
        <v>21</v>
      </c>
      <c r="B268" s="9" t="s">
        <v>24</v>
      </c>
      <c r="C268" s="9" t="s">
        <v>31</v>
      </c>
      <c r="D268" s="9" t="s">
        <v>11</v>
      </c>
      <c r="E268" s="9">
        <v>2015</v>
      </c>
      <c r="F268" s="44">
        <f t="shared" si="1"/>
        <v>90.927593788241523</v>
      </c>
      <c r="G268" s="38">
        <v>91.131511417807445</v>
      </c>
      <c r="H268" s="38">
        <v>73.670321805424251</v>
      </c>
      <c r="I268" s="38">
        <v>110.75512898287346</v>
      </c>
      <c r="J268" s="24">
        <v>94.63815789473685</v>
      </c>
      <c r="K268" s="9">
        <v>0.96079209286150224</v>
      </c>
      <c r="L268" s="9"/>
      <c r="M268" s="9"/>
      <c r="O268" s="9"/>
    </row>
    <row r="269" spans="1:15" x14ac:dyDescent="0.25">
      <c r="A269" s="9" t="s">
        <v>21</v>
      </c>
      <c r="B269" s="9" t="s">
        <v>24</v>
      </c>
      <c r="C269" s="9" t="s">
        <v>19</v>
      </c>
      <c r="D269" s="9" t="s">
        <v>11</v>
      </c>
      <c r="E269" s="9">
        <v>2015</v>
      </c>
      <c r="F269" s="44">
        <f t="shared" si="1"/>
        <v>283.40206239108846</v>
      </c>
      <c r="G269" s="38">
        <v>283.43313098310858</v>
      </c>
      <c r="H269" s="38">
        <v>251.75109226755981</v>
      </c>
      <c r="I269" s="38">
        <v>317.49775239163097</v>
      </c>
      <c r="J269" s="24">
        <v>294.96710526315786</v>
      </c>
      <c r="K269" s="9">
        <v>0.96079209286150224</v>
      </c>
      <c r="L269" s="9"/>
      <c r="M269" s="9"/>
      <c r="O269" s="9"/>
    </row>
    <row r="270" spans="1:15" x14ac:dyDescent="0.25">
      <c r="A270" s="9" t="s">
        <v>21</v>
      </c>
      <c r="B270" s="9" t="s">
        <v>24</v>
      </c>
      <c r="C270" s="9" t="s">
        <v>20</v>
      </c>
      <c r="D270" s="9" t="s">
        <v>11</v>
      </c>
      <c r="E270" s="9">
        <v>2015</v>
      </c>
      <c r="F270" s="44">
        <f t="shared" si="1"/>
        <v>533.61887157478964</v>
      </c>
      <c r="G270" s="38">
        <v>533.96930941564347</v>
      </c>
      <c r="H270" s="38">
        <v>490.14584873296155</v>
      </c>
      <c r="I270" s="38">
        <v>580.10265698493959</v>
      </c>
      <c r="J270" s="24">
        <v>555.39473684210532</v>
      </c>
      <c r="K270" s="9">
        <v>0.96079209286150224</v>
      </c>
      <c r="L270" s="9"/>
      <c r="M270" s="9"/>
      <c r="O270" s="9"/>
    </row>
    <row r="271" spans="1:15" x14ac:dyDescent="0.25">
      <c r="A271" s="9" t="s">
        <v>21</v>
      </c>
      <c r="B271" s="9" t="s">
        <v>26</v>
      </c>
      <c r="C271" s="9" t="s">
        <v>31</v>
      </c>
      <c r="D271" s="9" t="s">
        <v>12</v>
      </c>
      <c r="E271" s="9">
        <v>2015</v>
      </c>
      <c r="F271" s="44">
        <f t="shared" si="1"/>
        <v>1.0584164356303245</v>
      </c>
      <c r="G271" s="38">
        <v>1.0603125394443953</v>
      </c>
      <c r="H271" s="38">
        <v>2.7896883371395471E-2</v>
      </c>
      <c r="I271" s="38">
        <v>3.7306802351947028</v>
      </c>
      <c r="J271" s="24">
        <v>1.1016081871345029</v>
      </c>
      <c r="K271" s="9">
        <v>0.96079209286150224</v>
      </c>
      <c r="L271" s="9"/>
      <c r="M271" s="9"/>
      <c r="O271" s="9"/>
    </row>
    <row r="272" spans="1:15" x14ac:dyDescent="0.25">
      <c r="A272" s="9" t="s">
        <v>21</v>
      </c>
      <c r="B272" s="9" t="s">
        <v>26</v>
      </c>
      <c r="C272" s="9" t="s">
        <v>19</v>
      </c>
      <c r="D272" s="9" t="s">
        <v>12</v>
      </c>
      <c r="E272" s="9">
        <v>2015</v>
      </c>
      <c r="F272" s="44">
        <f t="shared" si="1"/>
        <v>3.298859985504734</v>
      </c>
      <c r="G272" s="38">
        <v>3.2929816808683126</v>
      </c>
      <c r="H272" s="38">
        <v>0.76085642003502707</v>
      </c>
      <c r="I272" s="38">
        <v>7.6849045563505332</v>
      </c>
      <c r="J272" s="24">
        <v>3.4334795321637426</v>
      </c>
      <c r="K272" s="9">
        <v>0.96079209286150224</v>
      </c>
      <c r="L272" s="9"/>
      <c r="M272" s="9"/>
      <c r="O272" s="9"/>
    </row>
    <row r="273" spans="1:15" x14ac:dyDescent="0.25">
      <c r="A273" s="9" t="s">
        <v>21</v>
      </c>
      <c r="B273" s="9" t="s">
        <v>26</v>
      </c>
      <c r="C273" s="9" t="s">
        <v>20</v>
      </c>
      <c r="D273" s="9" t="s">
        <v>12</v>
      </c>
      <c r="E273" s="9">
        <v>2015</v>
      </c>
      <c r="F273" s="44">
        <f t="shared" si="1"/>
        <v>6.2114366003414672</v>
      </c>
      <c r="G273" s="38">
        <v>6.2077139035681013</v>
      </c>
      <c r="H273" s="38">
        <v>2.3333263842022767</v>
      </c>
      <c r="I273" s="38">
        <v>12.023946123291513</v>
      </c>
      <c r="J273" s="24">
        <v>6.4649122807017552</v>
      </c>
      <c r="K273" s="9">
        <v>0.96079209286150224</v>
      </c>
      <c r="L273" s="9"/>
      <c r="M273" s="9"/>
      <c r="O273" s="9"/>
    </row>
    <row r="274" spans="1:15" x14ac:dyDescent="0.25">
      <c r="A274" s="9" t="s">
        <v>21</v>
      </c>
      <c r="B274" s="9" t="s">
        <v>26</v>
      </c>
      <c r="C274" s="9" t="s">
        <v>31</v>
      </c>
      <c r="D274" s="9" t="s">
        <v>15</v>
      </c>
      <c r="E274" s="9">
        <v>2015</v>
      </c>
      <c r="F274" s="44">
        <f t="shared" si="1"/>
        <v>1.4432951394958971</v>
      </c>
      <c r="G274" s="38">
        <v>1.4137160742953838</v>
      </c>
      <c r="H274" s="38">
        <v>9.0129086825216503E-2</v>
      </c>
      <c r="I274" s="38">
        <v>4.4879117878180654</v>
      </c>
      <c r="J274" s="24">
        <v>1.5021929824561404</v>
      </c>
      <c r="K274" s="9">
        <v>0.96079209286150224</v>
      </c>
      <c r="L274" s="9"/>
      <c r="M274" s="9"/>
      <c r="O274" s="9"/>
    </row>
    <row r="275" spans="1:15" x14ac:dyDescent="0.25">
      <c r="A275" s="9" t="s">
        <v>21</v>
      </c>
      <c r="B275" s="9" t="s">
        <v>26</v>
      </c>
      <c r="C275" s="9" t="s">
        <v>19</v>
      </c>
      <c r="D275" s="9" t="s">
        <v>15</v>
      </c>
      <c r="E275" s="9">
        <v>2015</v>
      </c>
      <c r="F275" s="44">
        <f t="shared" si="1"/>
        <v>4.4984454347791827</v>
      </c>
      <c r="G275" s="38">
        <v>4.4963773030845147</v>
      </c>
      <c r="H275" s="38">
        <v>1.377554354387728</v>
      </c>
      <c r="I275" s="38">
        <v>9.5132622739249477</v>
      </c>
      <c r="J275" s="24">
        <v>4.682017543859649</v>
      </c>
      <c r="K275" s="9">
        <v>0.96079209286150224</v>
      </c>
      <c r="L275" s="9"/>
      <c r="M275" s="9"/>
      <c r="O275" s="9"/>
    </row>
    <row r="276" spans="1:15" x14ac:dyDescent="0.25">
      <c r="A276" s="9" t="s">
        <v>21</v>
      </c>
      <c r="B276" s="9" t="s">
        <v>26</v>
      </c>
      <c r="C276" s="9" t="s">
        <v>20</v>
      </c>
      <c r="D276" s="9" t="s">
        <v>15</v>
      </c>
      <c r="E276" s="9">
        <v>2015</v>
      </c>
      <c r="F276" s="44">
        <f t="shared" si="1"/>
        <v>8.4701408186474545</v>
      </c>
      <c r="G276" s="38">
        <v>8.4840882532715369</v>
      </c>
      <c r="H276" s="38">
        <v>3.7766252395887796</v>
      </c>
      <c r="I276" s="38">
        <v>14.994769490485888</v>
      </c>
      <c r="J276" s="24">
        <v>8.8157894736842106</v>
      </c>
      <c r="K276" s="9">
        <v>0.96079209286150224</v>
      </c>
      <c r="L276" s="9"/>
      <c r="M276" s="9"/>
      <c r="O276" s="9"/>
    </row>
    <row r="277" spans="1:15" x14ac:dyDescent="0.25">
      <c r="A277" s="9" t="s">
        <v>21</v>
      </c>
      <c r="B277" s="9" t="s">
        <v>27</v>
      </c>
      <c r="C277" s="9" t="s">
        <v>31</v>
      </c>
      <c r="D277" s="9" t="s">
        <v>11</v>
      </c>
      <c r="E277" s="9">
        <v>2015</v>
      </c>
      <c r="F277" s="44">
        <f t="shared" si="1"/>
        <v>1.1546361115967176</v>
      </c>
      <c r="G277" s="38">
        <v>1.1607773809651303</v>
      </c>
      <c r="H277" s="38">
        <v>4.310003676497573E-2</v>
      </c>
      <c r="I277" s="38">
        <v>3.9410111184455614</v>
      </c>
      <c r="J277" s="24">
        <v>1.2017543859649122</v>
      </c>
      <c r="K277" s="9">
        <v>0.96079209286150224</v>
      </c>
      <c r="L277" s="9"/>
      <c r="M277" s="9"/>
      <c r="O277" s="9"/>
    </row>
    <row r="278" spans="1:15" x14ac:dyDescent="0.25">
      <c r="A278" s="9" t="s">
        <v>21</v>
      </c>
      <c r="B278" s="9" t="s">
        <v>27</v>
      </c>
      <c r="C278" s="9" t="s">
        <v>19</v>
      </c>
      <c r="D278" s="9" t="s">
        <v>11</v>
      </c>
      <c r="E278" s="9">
        <v>2015</v>
      </c>
      <c r="F278" s="44">
        <f t="shared" si="1"/>
        <v>3.598756347823346</v>
      </c>
      <c r="G278" s="38">
        <v>3.5955837965384614</v>
      </c>
      <c r="H278" s="38">
        <v>0.90381762973644919</v>
      </c>
      <c r="I278" s="38">
        <v>8.0451911547301869</v>
      </c>
      <c r="J278" s="24">
        <v>3.7456140350877192</v>
      </c>
      <c r="K278" s="9">
        <v>0.96079209286150224</v>
      </c>
      <c r="L278" s="9"/>
      <c r="M278" s="9"/>
      <c r="O278" s="9"/>
    </row>
    <row r="279" spans="1:15" x14ac:dyDescent="0.25">
      <c r="A279" s="9" t="s">
        <v>21</v>
      </c>
      <c r="B279" s="9" t="s">
        <v>27</v>
      </c>
      <c r="C279" s="9" t="s">
        <v>20</v>
      </c>
      <c r="D279" s="9" t="s">
        <v>11</v>
      </c>
      <c r="E279" s="9">
        <v>2015</v>
      </c>
      <c r="F279" s="44">
        <f t="shared" si="1"/>
        <v>6.7761126549179638</v>
      </c>
      <c r="G279" s="38">
        <v>6.7443183950780519</v>
      </c>
      <c r="H279" s="38">
        <v>2.6515765625800261</v>
      </c>
      <c r="I279" s="38">
        <v>12.740982190366053</v>
      </c>
      <c r="J279" s="24">
        <v>7.052631578947369</v>
      </c>
      <c r="K279" s="9">
        <v>0.96079209286150224</v>
      </c>
      <c r="L279" s="9"/>
      <c r="M279" s="9"/>
      <c r="O279" s="9"/>
    </row>
    <row r="280" spans="1:15" x14ac:dyDescent="0.25">
      <c r="A280" s="9" t="s">
        <v>21</v>
      </c>
      <c r="B280" s="9" t="s">
        <v>28</v>
      </c>
      <c r="C280" s="9" t="s">
        <v>31</v>
      </c>
      <c r="D280" s="9" t="s">
        <v>12</v>
      </c>
      <c r="E280" s="9">
        <v>2015</v>
      </c>
      <c r="F280" s="44">
        <f t="shared" si="1"/>
        <v>14.144292367059792</v>
      </c>
      <c r="G280" s="38">
        <v>14.204457633925481</v>
      </c>
      <c r="H280" s="38">
        <v>7.8444291563293316</v>
      </c>
      <c r="I280" s="38">
        <v>22.575762611447203</v>
      </c>
      <c r="J280" s="24">
        <v>14.721491228070176</v>
      </c>
      <c r="K280" s="9">
        <v>0.96079209286150224</v>
      </c>
      <c r="L280" s="9"/>
      <c r="M280" s="9"/>
      <c r="O280" s="9"/>
    </row>
    <row r="281" spans="1:15" x14ac:dyDescent="0.25">
      <c r="A281" s="9" t="s">
        <v>21</v>
      </c>
      <c r="B281" s="9" t="s">
        <v>28</v>
      </c>
      <c r="C281" s="9" t="s">
        <v>19</v>
      </c>
      <c r="D281" s="9" t="s">
        <v>12</v>
      </c>
      <c r="E281" s="9">
        <v>2015</v>
      </c>
      <c r="F281" s="44">
        <f t="shared" si="1"/>
        <v>44.084765260835994</v>
      </c>
      <c r="G281" s="38">
        <v>44.079201339697605</v>
      </c>
      <c r="H281" s="38">
        <v>32.00332907218975</v>
      </c>
      <c r="I281" s="38">
        <v>58.102306233123876</v>
      </c>
      <c r="J281" s="24">
        <v>45.883771929824562</v>
      </c>
      <c r="K281" s="9">
        <v>0.96079209286150224</v>
      </c>
      <c r="L281" s="9"/>
      <c r="M281" s="9"/>
      <c r="O281" s="9"/>
    </row>
    <row r="282" spans="1:15" x14ac:dyDescent="0.25">
      <c r="A282" s="9" t="s">
        <v>21</v>
      </c>
      <c r="B282" s="9" t="s">
        <v>28</v>
      </c>
      <c r="C282" s="9" t="s">
        <v>20</v>
      </c>
      <c r="D282" s="9" t="s">
        <v>12</v>
      </c>
      <c r="E282" s="9">
        <v>2015</v>
      </c>
      <c r="F282" s="44">
        <f t="shared" si="1"/>
        <v>83.007380022745053</v>
      </c>
      <c r="G282" s="38">
        <v>83.005823898696221</v>
      </c>
      <c r="H282" s="38">
        <v>65.969606698537419</v>
      </c>
      <c r="I282" s="38">
        <v>101.64455241883914</v>
      </c>
      <c r="J282" s="24">
        <v>86.394736842105274</v>
      </c>
      <c r="K282" s="9">
        <v>0.96079209286150224</v>
      </c>
      <c r="L282" s="9"/>
      <c r="M282" s="9"/>
      <c r="O282" s="9"/>
    </row>
    <row r="283" spans="1:15" x14ac:dyDescent="0.25">
      <c r="A283" s="9" t="s">
        <v>21</v>
      </c>
      <c r="B283" s="9" t="s">
        <v>28</v>
      </c>
      <c r="C283" s="9" t="s">
        <v>31</v>
      </c>
      <c r="D283" s="9" t="s">
        <v>15</v>
      </c>
      <c r="E283" s="9">
        <v>2015</v>
      </c>
      <c r="F283" s="44">
        <f t="shared" si="1"/>
        <v>22.900282880001566</v>
      </c>
      <c r="G283" s="38">
        <v>22.853670684023385</v>
      </c>
      <c r="H283" s="38">
        <v>14.605853040219776</v>
      </c>
      <c r="I283" s="38">
        <v>33.21010415715547</v>
      </c>
      <c r="J283" s="24">
        <v>23.834795321637426</v>
      </c>
      <c r="K283" s="9">
        <v>0.96079209286150224</v>
      </c>
      <c r="L283" s="9"/>
      <c r="M283" s="9"/>
      <c r="O283" s="9"/>
    </row>
    <row r="284" spans="1:15" x14ac:dyDescent="0.25">
      <c r="A284" s="9" t="s">
        <v>21</v>
      </c>
      <c r="B284" s="9" t="s">
        <v>28</v>
      </c>
      <c r="C284" s="9" t="s">
        <v>19</v>
      </c>
      <c r="D284" s="9" t="s">
        <v>15</v>
      </c>
      <c r="E284" s="9">
        <v>2015</v>
      </c>
      <c r="F284" s="44">
        <f t="shared" si="1"/>
        <v>71.375334231829697</v>
      </c>
      <c r="G284" s="38">
        <v>71.356762235594942</v>
      </c>
      <c r="H284" s="38">
        <v>55.941841362844499</v>
      </c>
      <c r="I284" s="38">
        <v>89.022694406013287</v>
      </c>
      <c r="J284" s="24">
        <v>74.288011695906434</v>
      </c>
      <c r="K284" s="9">
        <v>0.96079209286150224</v>
      </c>
      <c r="L284" s="9"/>
      <c r="M284" s="9"/>
      <c r="O284" s="9"/>
    </row>
    <row r="285" spans="1:15" x14ac:dyDescent="0.25">
      <c r="A285" s="9" t="s">
        <v>21</v>
      </c>
      <c r="B285" s="9" t="s">
        <v>28</v>
      </c>
      <c r="C285" s="9" t="s">
        <v>20</v>
      </c>
      <c r="D285" s="9" t="s">
        <v>15</v>
      </c>
      <c r="E285" s="9">
        <v>2015</v>
      </c>
      <c r="F285" s="44">
        <f t="shared" si="1"/>
        <v>134.39290098920628</v>
      </c>
      <c r="G285" s="38">
        <v>134.55916306438897</v>
      </c>
      <c r="H285" s="38">
        <v>112.79802210481168</v>
      </c>
      <c r="I285" s="38">
        <v>158.2893743317064</v>
      </c>
      <c r="J285" s="24">
        <v>139.87719298245617</v>
      </c>
      <c r="K285" s="9">
        <v>0.96079209286150224</v>
      </c>
      <c r="L285" s="9"/>
      <c r="M285" s="9"/>
      <c r="O285" s="9"/>
    </row>
    <row r="286" spans="1:15" x14ac:dyDescent="0.25">
      <c r="A286" s="9" t="s">
        <v>22</v>
      </c>
      <c r="B286" s="9" t="s">
        <v>11</v>
      </c>
      <c r="C286" s="9" t="s">
        <v>11</v>
      </c>
      <c r="D286" s="9" t="s">
        <v>11</v>
      </c>
      <c r="E286" s="9">
        <v>2015</v>
      </c>
      <c r="F286" s="44">
        <f>F287+F290+F293</f>
        <v>352.35186139928703</v>
      </c>
      <c r="G286" s="38">
        <v>352.00479999999999</v>
      </c>
      <c r="H286" s="38">
        <v>317</v>
      </c>
      <c r="I286" s="38">
        <v>389</v>
      </c>
      <c r="J286" s="9"/>
      <c r="K286" s="9"/>
      <c r="L286" s="9"/>
      <c r="M286" s="9"/>
      <c r="O286" s="9"/>
    </row>
    <row r="287" spans="1:15" x14ac:dyDescent="0.25">
      <c r="A287" s="9" t="s">
        <v>22</v>
      </c>
      <c r="B287" s="9" t="s">
        <v>11</v>
      </c>
      <c r="C287" s="9" t="s">
        <v>31</v>
      </c>
      <c r="D287" s="9" t="s">
        <v>11</v>
      </c>
      <c r="E287" s="9">
        <v>2015</v>
      </c>
      <c r="F287" s="44">
        <f t="shared" si="1"/>
        <v>47.513428284599875</v>
      </c>
      <c r="G287" s="38"/>
      <c r="H287" s="38"/>
      <c r="I287" s="38"/>
      <c r="J287" s="24">
        <v>55.869280806800802</v>
      </c>
      <c r="K287" s="9">
        <v>0.85043923240938168</v>
      </c>
      <c r="L287" s="9"/>
      <c r="M287" s="9"/>
      <c r="O287" s="9"/>
    </row>
    <row r="288" spans="1:15" x14ac:dyDescent="0.25">
      <c r="A288" s="9" t="s">
        <v>22</v>
      </c>
      <c r="B288" s="9" t="s">
        <v>11</v>
      </c>
      <c r="C288" s="9" t="s">
        <v>31</v>
      </c>
      <c r="D288" s="9" t="s">
        <v>12</v>
      </c>
      <c r="E288" s="9">
        <v>2015</v>
      </c>
      <c r="F288" s="44">
        <f t="shared" si="1"/>
        <v>27.150530448342785</v>
      </c>
      <c r="G288" s="38">
        <v>27.067891379135482</v>
      </c>
      <c r="H288" s="38">
        <v>17.840242287851506</v>
      </c>
      <c r="I288" s="38">
        <v>38.530510794849697</v>
      </c>
      <c r="J288" s="24">
        <v>31.925303318171885</v>
      </c>
      <c r="K288" s="9">
        <v>0.85043923240938168</v>
      </c>
      <c r="L288" s="9"/>
      <c r="M288" s="9"/>
      <c r="O288" s="9"/>
    </row>
    <row r="289" spans="1:15" x14ac:dyDescent="0.25">
      <c r="A289" s="9" t="s">
        <v>22</v>
      </c>
      <c r="B289" s="9" t="s">
        <v>11</v>
      </c>
      <c r="C289" s="9" t="s">
        <v>31</v>
      </c>
      <c r="D289" s="9" t="s">
        <v>15</v>
      </c>
      <c r="E289" s="9">
        <v>2015</v>
      </c>
      <c r="F289" s="44">
        <f t="shared" si="1"/>
        <v>20.362897836257087</v>
      </c>
      <c r="G289" s="38">
        <v>20.286593450652578</v>
      </c>
      <c r="H289" s="38">
        <v>12.445097241503451</v>
      </c>
      <c r="I289" s="38">
        <v>97.92676257406309</v>
      </c>
      <c r="J289" s="24">
        <v>23.943977488628914</v>
      </c>
      <c r="K289" s="9">
        <v>0.85043923240938168</v>
      </c>
      <c r="L289" s="9"/>
      <c r="M289" s="9"/>
      <c r="O289" s="9"/>
    </row>
    <row r="290" spans="1:15" x14ac:dyDescent="0.25">
      <c r="A290" s="9" t="s">
        <v>22</v>
      </c>
      <c r="B290" s="9" t="s">
        <v>11</v>
      </c>
      <c r="C290" s="9" t="s">
        <v>19</v>
      </c>
      <c r="D290" s="9" t="s">
        <v>11</v>
      </c>
      <c r="E290" s="9">
        <v>2015</v>
      </c>
      <c r="F290" s="44">
        <f t="shared" si="1"/>
        <v>184.5373577483837</v>
      </c>
      <c r="G290" s="38"/>
      <c r="H290" s="38"/>
      <c r="I290" s="38"/>
      <c r="J290" s="24">
        <v>216.99064520526696</v>
      </c>
      <c r="K290" s="9">
        <v>0.85043923240938168</v>
      </c>
      <c r="L290" s="9"/>
      <c r="M290" s="9"/>
      <c r="O290" s="9"/>
    </row>
    <row r="291" spans="1:15" x14ac:dyDescent="0.25">
      <c r="A291" s="9" t="s">
        <v>22</v>
      </c>
      <c r="B291" s="9" t="s">
        <v>11</v>
      </c>
      <c r="C291" s="9" t="s">
        <v>19</v>
      </c>
      <c r="D291" s="9" t="s">
        <v>12</v>
      </c>
      <c r="E291" s="9">
        <v>2015</v>
      </c>
      <c r="F291" s="44">
        <f t="shared" si="1"/>
        <v>104.42811717544194</v>
      </c>
      <c r="G291" s="38">
        <v>104.35141860424525</v>
      </c>
      <c r="H291" s="38">
        <v>85.126679043572963</v>
      </c>
      <c r="I291" s="38">
        <v>29.94162118114129</v>
      </c>
      <c r="J291" s="24">
        <v>122.79315581383324</v>
      </c>
      <c r="K291" s="9">
        <v>0.85043923240938168</v>
      </c>
      <c r="L291" s="9"/>
      <c r="M291" s="9"/>
      <c r="O291" s="9"/>
    </row>
    <row r="292" spans="1:15" x14ac:dyDescent="0.25">
      <c r="A292" s="9" t="s">
        <v>22</v>
      </c>
      <c r="B292" s="9" t="s">
        <v>11</v>
      </c>
      <c r="C292" s="9" t="s">
        <v>19</v>
      </c>
      <c r="D292" s="9" t="s">
        <v>15</v>
      </c>
      <c r="E292" s="9">
        <v>2015</v>
      </c>
      <c r="F292" s="44">
        <f t="shared" si="1"/>
        <v>80.109240572941772</v>
      </c>
      <c r="G292" s="38">
        <v>80.047835353983615</v>
      </c>
      <c r="H292" s="38">
        <v>63.335511321076673</v>
      </c>
      <c r="I292" s="38">
        <v>124.26039282500497</v>
      </c>
      <c r="J292" s="24">
        <v>94.19748939143372</v>
      </c>
      <c r="K292" s="9">
        <v>0.85043923240938168</v>
      </c>
      <c r="L292" s="9"/>
      <c r="M292" s="9"/>
      <c r="O292" s="9"/>
    </row>
    <row r="293" spans="1:15" x14ac:dyDescent="0.25">
      <c r="A293" s="9" t="s">
        <v>22</v>
      </c>
      <c r="B293" s="9" t="s">
        <v>11</v>
      </c>
      <c r="C293" s="9" t="s">
        <v>20</v>
      </c>
      <c r="D293" s="9" t="s">
        <v>11</v>
      </c>
      <c r="E293" s="9">
        <v>2015</v>
      </c>
      <c r="F293" s="44">
        <f t="shared" si="1"/>
        <v>120.30107536630342</v>
      </c>
      <c r="G293" s="38"/>
      <c r="H293" s="38"/>
      <c r="I293" s="38"/>
      <c r="J293" s="24">
        <v>141.457579544488</v>
      </c>
      <c r="K293" s="9">
        <v>0.85043923240938168</v>
      </c>
      <c r="L293" s="9"/>
      <c r="M293" s="9"/>
      <c r="O293" s="9"/>
    </row>
    <row r="294" spans="1:15" x14ac:dyDescent="0.25">
      <c r="A294" s="9" t="s">
        <v>22</v>
      </c>
      <c r="B294" s="9" t="s">
        <v>11</v>
      </c>
      <c r="C294" s="9" t="s">
        <v>20</v>
      </c>
      <c r="D294" s="9" t="s">
        <v>12</v>
      </c>
      <c r="E294" s="9">
        <v>2015</v>
      </c>
      <c r="F294" s="44">
        <f t="shared" si="1"/>
        <v>104.10669983622412</v>
      </c>
      <c r="G294" s="38">
        <v>104.03385716251351</v>
      </c>
      <c r="H294" s="38">
        <v>85.202320728935547</v>
      </c>
      <c r="I294" s="38">
        <v>125.71153369193823</v>
      </c>
      <c r="J294" s="24">
        <v>122.41521306734539</v>
      </c>
      <c r="K294" s="9">
        <v>0.85043923240938168</v>
      </c>
      <c r="L294" s="9"/>
      <c r="M294" s="9"/>
      <c r="O294" s="9"/>
    </row>
    <row r="295" spans="1:15" x14ac:dyDescent="0.25">
      <c r="A295" s="9" t="s">
        <v>22</v>
      </c>
      <c r="B295" s="9" t="s">
        <v>11</v>
      </c>
      <c r="C295" s="9" t="s">
        <v>20</v>
      </c>
      <c r="D295" s="9" t="s">
        <v>15</v>
      </c>
      <c r="E295" s="9">
        <v>2015</v>
      </c>
      <c r="F295" s="44">
        <f t="shared" si="1"/>
        <v>16.194375530079306</v>
      </c>
      <c r="G295" s="38">
        <v>16.217204049469565</v>
      </c>
      <c r="H295" s="38">
        <v>9.4320763055066088</v>
      </c>
      <c r="I295" s="38">
        <v>24.9790835185274</v>
      </c>
      <c r="J295" s="24">
        <v>19.042366477142615</v>
      </c>
      <c r="K295" s="9">
        <v>0.85043923240938168</v>
      </c>
      <c r="L295" s="9"/>
      <c r="M295" s="9"/>
      <c r="O295" s="9"/>
    </row>
    <row r="296" spans="1:15" x14ac:dyDescent="0.25">
      <c r="A296" s="52" t="s">
        <v>22</v>
      </c>
      <c r="B296" s="52" t="s">
        <v>24</v>
      </c>
      <c r="C296" s="52" t="s">
        <v>11</v>
      </c>
      <c r="D296" s="52" t="s">
        <v>11</v>
      </c>
      <c r="E296" s="52">
        <v>2015</v>
      </c>
      <c r="F296" s="51">
        <f t="shared" si="1"/>
        <v>0</v>
      </c>
      <c r="G296" s="66"/>
      <c r="H296" s="66"/>
      <c r="I296" s="66"/>
      <c r="J296" s="52"/>
      <c r="K296" s="52"/>
      <c r="L296" s="9"/>
      <c r="M296" s="9"/>
      <c r="O296" s="9"/>
    </row>
    <row r="297" spans="1:15" x14ac:dyDescent="0.25">
      <c r="A297" s="52" t="s">
        <v>22</v>
      </c>
      <c r="B297" s="52" t="s">
        <v>24</v>
      </c>
      <c r="C297" s="52" t="s">
        <v>31</v>
      </c>
      <c r="D297" s="52" t="s">
        <v>11</v>
      </c>
      <c r="E297" s="52">
        <v>2015</v>
      </c>
      <c r="F297" s="51">
        <f t="shared" si="1"/>
        <v>0</v>
      </c>
      <c r="G297" s="66"/>
      <c r="H297" s="66"/>
      <c r="I297" s="66"/>
      <c r="J297" s="52"/>
      <c r="K297" s="52"/>
      <c r="L297" s="9"/>
      <c r="M297" s="9"/>
      <c r="O297" s="9"/>
    </row>
    <row r="298" spans="1:15" x14ac:dyDescent="0.25">
      <c r="A298" s="52" t="s">
        <v>22</v>
      </c>
      <c r="B298" s="52" t="s">
        <v>24</v>
      </c>
      <c r="C298" s="52" t="s">
        <v>19</v>
      </c>
      <c r="D298" s="52" t="s">
        <v>11</v>
      </c>
      <c r="E298" s="52">
        <v>2015</v>
      </c>
      <c r="F298" s="51">
        <f t="shared" ref="F298:F314" si="2">J298*K298</f>
        <v>0</v>
      </c>
      <c r="G298" s="66"/>
      <c r="H298" s="66"/>
      <c r="I298" s="66"/>
      <c r="J298" s="52"/>
      <c r="K298" s="52"/>
      <c r="L298" s="9"/>
      <c r="M298" s="9"/>
      <c r="O298" s="9"/>
    </row>
    <row r="299" spans="1:15" x14ac:dyDescent="0.25">
      <c r="A299" s="52" t="s">
        <v>22</v>
      </c>
      <c r="B299" s="52" t="s">
        <v>24</v>
      </c>
      <c r="C299" s="52" t="s">
        <v>20</v>
      </c>
      <c r="D299" s="52" t="s">
        <v>11</v>
      </c>
      <c r="E299" s="52">
        <v>2015</v>
      </c>
      <c r="F299" s="51">
        <f t="shared" si="2"/>
        <v>0</v>
      </c>
      <c r="G299" s="66"/>
      <c r="H299" s="66"/>
      <c r="I299" s="66"/>
      <c r="J299" s="52"/>
      <c r="K299" s="52"/>
      <c r="L299" s="9"/>
      <c r="M299" s="9"/>
      <c r="O299" s="9"/>
    </row>
    <row r="300" spans="1:15" x14ac:dyDescent="0.25">
      <c r="A300" s="52" t="s">
        <v>22</v>
      </c>
      <c r="B300" s="52" t="s">
        <v>26</v>
      </c>
      <c r="C300" s="52" t="s">
        <v>31</v>
      </c>
      <c r="D300" s="52" t="s">
        <v>12</v>
      </c>
      <c r="E300" s="52">
        <v>2015</v>
      </c>
      <c r="F300" s="51">
        <f t="shared" si="2"/>
        <v>0</v>
      </c>
      <c r="G300" s="66"/>
      <c r="H300" s="66"/>
      <c r="I300" s="66"/>
      <c r="J300" s="52"/>
      <c r="K300" s="52"/>
      <c r="L300" s="9"/>
      <c r="M300" s="9"/>
      <c r="O300" s="9"/>
    </row>
    <row r="301" spans="1:15" x14ac:dyDescent="0.25">
      <c r="A301" s="52" t="s">
        <v>22</v>
      </c>
      <c r="B301" s="52" t="s">
        <v>26</v>
      </c>
      <c r="C301" s="52" t="s">
        <v>19</v>
      </c>
      <c r="D301" s="52" t="s">
        <v>12</v>
      </c>
      <c r="E301" s="52">
        <v>2015</v>
      </c>
      <c r="F301" s="51">
        <f t="shared" si="2"/>
        <v>0</v>
      </c>
      <c r="G301" s="66"/>
      <c r="H301" s="66"/>
      <c r="I301" s="66"/>
      <c r="J301" s="52"/>
      <c r="K301" s="52"/>
      <c r="L301" s="9"/>
      <c r="M301" s="9"/>
      <c r="O301" s="9"/>
    </row>
    <row r="302" spans="1:15" x14ac:dyDescent="0.25">
      <c r="A302" s="52" t="s">
        <v>22</v>
      </c>
      <c r="B302" s="52" t="s">
        <v>26</v>
      </c>
      <c r="C302" s="52" t="s">
        <v>20</v>
      </c>
      <c r="D302" s="52" t="s">
        <v>12</v>
      </c>
      <c r="E302" s="52">
        <v>2015</v>
      </c>
      <c r="F302" s="51">
        <f t="shared" si="2"/>
        <v>0</v>
      </c>
      <c r="G302" s="66"/>
      <c r="H302" s="66"/>
      <c r="I302" s="66"/>
      <c r="J302" s="52"/>
      <c r="K302" s="52"/>
      <c r="L302" s="9"/>
      <c r="M302" s="9"/>
      <c r="O302" s="9"/>
    </row>
    <row r="303" spans="1:15" x14ac:dyDescent="0.25">
      <c r="A303" s="52" t="s">
        <v>22</v>
      </c>
      <c r="B303" s="54" t="s">
        <v>26</v>
      </c>
      <c r="C303" s="54" t="s">
        <v>31</v>
      </c>
      <c r="D303" s="54" t="s">
        <v>15</v>
      </c>
      <c r="E303" s="54">
        <v>2015</v>
      </c>
      <c r="F303" s="51">
        <f t="shared" si="2"/>
        <v>0</v>
      </c>
      <c r="G303" s="66"/>
      <c r="H303" s="66"/>
      <c r="I303" s="66"/>
      <c r="J303" s="54"/>
      <c r="K303" s="54"/>
      <c r="O303" s="9"/>
    </row>
    <row r="304" spans="1:15" x14ac:dyDescent="0.25">
      <c r="A304" s="52" t="s">
        <v>22</v>
      </c>
      <c r="B304" s="54" t="s">
        <v>26</v>
      </c>
      <c r="C304" s="54" t="s">
        <v>19</v>
      </c>
      <c r="D304" s="54" t="s">
        <v>15</v>
      </c>
      <c r="E304" s="54">
        <v>2015</v>
      </c>
      <c r="F304" s="51">
        <f t="shared" si="2"/>
        <v>0</v>
      </c>
      <c r="G304" s="66"/>
      <c r="H304" s="66"/>
      <c r="I304" s="66"/>
      <c r="J304" s="54"/>
      <c r="K304" s="54"/>
      <c r="O304" s="9"/>
    </row>
    <row r="305" spans="1:22" x14ac:dyDescent="0.25">
      <c r="A305" s="52" t="s">
        <v>22</v>
      </c>
      <c r="B305" s="54" t="s">
        <v>26</v>
      </c>
      <c r="C305" s="54" t="s">
        <v>20</v>
      </c>
      <c r="D305" s="54" t="s">
        <v>15</v>
      </c>
      <c r="E305" s="54">
        <v>2015</v>
      </c>
      <c r="F305" s="51">
        <f t="shared" si="2"/>
        <v>0</v>
      </c>
      <c r="G305" s="66"/>
      <c r="H305" s="66"/>
      <c r="I305" s="66"/>
      <c r="J305" s="54"/>
      <c r="K305" s="54"/>
      <c r="O305" s="9"/>
    </row>
    <row r="306" spans="1:22" x14ac:dyDescent="0.25">
      <c r="A306" s="52" t="s">
        <v>22</v>
      </c>
      <c r="B306" s="52" t="s">
        <v>27</v>
      </c>
      <c r="C306" s="52" t="s">
        <v>31</v>
      </c>
      <c r="D306" s="52" t="s">
        <v>11</v>
      </c>
      <c r="E306" s="52">
        <v>2015</v>
      </c>
      <c r="F306" s="51">
        <f t="shared" si="2"/>
        <v>0</v>
      </c>
      <c r="G306" s="66"/>
      <c r="H306" s="66"/>
      <c r="I306" s="66"/>
      <c r="J306" s="54"/>
      <c r="K306" s="54"/>
      <c r="O306" s="9"/>
    </row>
    <row r="307" spans="1:22" x14ac:dyDescent="0.25">
      <c r="A307" s="52" t="s">
        <v>22</v>
      </c>
      <c r="B307" s="52" t="s">
        <v>27</v>
      </c>
      <c r="C307" s="52" t="s">
        <v>19</v>
      </c>
      <c r="D307" s="52" t="s">
        <v>11</v>
      </c>
      <c r="E307" s="52">
        <v>2015</v>
      </c>
      <c r="F307" s="51">
        <f t="shared" si="2"/>
        <v>0</v>
      </c>
      <c r="G307" s="66"/>
      <c r="H307" s="66"/>
      <c r="I307" s="66"/>
      <c r="J307" s="54"/>
      <c r="K307" s="54"/>
      <c r="O307" s="9"/>
    </row>
    <row r="308" spans="1:22" x14ac:dyDescent="0.25">
      <c r="A308" s="52" t="s">
        <v>22</v>
      </c>
      <c r="B308" s="52" t="s">
        <v>27</v>
      </c>
      <c r="C308" s="52" t="s">
        <v>20</v>
      </c>
      <c r="D308" s="52" t="s">
        <v>11</v>
      </c>
      <c r="E308" s="52">
        <v>2015</v>
      </c>
      <c r="F308" s="51">
        <f t="shared" si="2"/>
        <v>0</v>
      </c>
      <c r="G308" s="66"/>
      <c r="H308" s="66"/>
      <c r="I308" s="66"/>
      <c r="J308" s="54"/>
      <c r="K308" s="54"/>
      <c r="O308" s="9"/>
    </row>
    <row r="309" spans="1:22" x14ac:dyDescent="0.25">
      <c r="A309" s="52" t="s">
        <v>22</v>
      </c>
      <c r="B309" s="52" t="s">
        <v>28</v>
      </c>
      <c r="C309" s="52" t="s">
        <v>31</v>
      </c>
      <c r="D309" s="52" t="s">
        <v>12</v>
      </c>
      <c r="E309" s="52">
        <v>2015</v>
      </c>
      <c r="F309" s="51">
        <f t="shared" si="2"/>
        <v>0</v>
      </c>
      <c r="G309" s="66"/>
      <c r="H309" s="66"/>
      <c r="I309" s="66"/>
      <c r="J309" s="54"/>
      <c r="K309" s="54"/>
      <c r="O309" s="9"/>
    </row>
    <row r="310" spans="1:22" x14ac:dyDescent="0.25">
      <c r="A310" s="52" t="s">
        <v>22</v>
      </c>
      <c r="B310" s="52" t="s">
        <v>28</v>
      </c>
      <c r="C310" s="52" t="s">
        <v>19</v>
      </c>
      <c r="D310" s="52" t="s">
        <v>12</v>
      </c>
      <c r="E310" s="52">
        <v>2015</v>
      </c>
      <c r="F310" s="51">
        <f t="shared" si="2"/>
        <v>0</v>
      </c>
      <c r="G310" s="66"/>
      <c r="H310" s="66"/>
      <c r="I310" s="66"/>
      <c r="J310" s="54"/>
      <c r="K310" s="54"/>
      <c r="O310" s="9"/>
    </row>
    <row r="311" spans="1:22" x14ac:dyDescent="0.25">
      <c r="A311" s="52" t="s">
        <v>22</v>
      </c>
      <c r="B311" s="52" t="s">
        <v>28</v>
      </c>
      <c r="C311" s="52" t="s">
        <v>20</v>
      </c>
      <c r="D311" s="52" t="s">
        <v>12</v>
      </c>
      <c r="E311" s="52">
        <v>2015</v>
      </c>
      <c r="F311" s="51">
        <f t="shared" si="2"/>
        <v>0</v>
      </c>
      <c r="G311" s="66"/>
      <c r="H311" s="66"/>
      <c r="I311" s="66"/>
      <c r="J311" s="54"/>
      <c r="K311" s="54"/>
      <c r="O311" s="9"/>
    </row>
    <row r="312" spans="1:22" x14ac:dyDescent="0.25">
      <c r="A312" s="52" t="s">
        <v>22</v>
      </c>
      <c r="B312" s="54" t="s">
        <v>28</v>
      </c>
      <c r="C312" s="54" t="s">
        <v>31</v>
      </c>
      <c r="D312" s="54" t="s">
        <v>15</v>
      </c>
      <c r="E312" s="54">
        <v>2015</v>
      </c>
      <c r="F312" s="51">
        <f t="shared" si="2"/>
        <v>0</v>
      </c>
      <c r="G312" s="66"/>
      <c r="H312" s="66"/>
      <c r="I312" s="66"/>
      <c r="J312" s="54"/>
      <c r="K312" s="54"/>
      <c r="O312" s="9"/>
    </row>
    <row r="313" spans="1:22" x14ac:dyDescent="0.25">
      <c r="A313" s="52" t="s">
        <v>22</v>
      </c>
      <c r="B313" s="54" t="s">
        <v>28</v>
      </c>
      <c r="C313" s="54" t="s">
        <v>19</v>
      </c>
      <c r="D313" s="54" t="s">
        <v>15</v>
      </c>
      <c r="E313" s="54">
        <v>2015</v>
      </c>
      <c r="F313" s="51">
        <f t="shared" si="2"/>
        <v>0</v>
      </c>
      <c r="G313" s="66"/>
      <c r="H313" s="66"/>
      <c r="I313" s="66"/>
      <c r="J313" s="54"/>
      <c r="K313" s="54"/>
      <c r="O313" s="9"/>
    </row>
    <row r="314" spans="1:22" ht="15.75" thickBot="1" x14ac:dyDescent="0.3">
      <c r="A314" s="56" t="s">
        <v>22</v>
      </c>
      <c r="B314" s="56" t="s">
        <v>28</v>
      </c>
      <c r="C314" s="56" t="s">
        <v>20</v>
      </c>
      <c r="D314" s="56" t="s">
        <v>15</v>
      </c>
      <c r="E314" s="56">
        <v>2015</v>
      </c>
      <c r="F314" s="55">
        <f t="shared" si="2"/>
        <v>0</v>
      </c>
      <c r="G314" s="67"/>
      <c r="H314" s="67"/>
      <c r="I314" s="67"/>
      <c r="J314" s="56"/>
      <c r="K314" s="56"/>
      <c r="L314" s="6"/>
      <c r="M314" s="6"/>
      <c r="N314" s="6"/>
      <c r="O314" s="9"/>
    </row>
    <row r="315" spans="1:22" x14ac:dyDescent="0.25">
      <c r="A315" s="9"/>
      <c r="B315" s="9"/>
      <c r="C315" s="9"/>
      <c r="D315" s="9"/>
      <c r="E315" s="9"/>
      <c r="F315" s="3" t="s">
        <v>62</v>
      </c>
      <c r="G315" s="38"/>
      <c r="H315" s="38"/>
      <c r="I315" s="38"/>
      <c r="J315" s="9" t="s">
        <v>63</v>
      </c>
      <c r="K315" s="9" t="s">
        <v>64</v>
      </c>
      <c r="L315" s="9"/>
      <c r="M315" s="9"/>
      <c r="N315" s="9"/>
      <c r="O315" s="57"/>
      <c r="P315" s="58"/>
      <c r="Q315" s="58"/>
      <c r="R315" s="58"/>
      <c r="S315" s="58"/>
      <c r="T315" s="58" t="s">
        <v>62</v>
      </c>
      <c r="U315" s="58" t="s">
        <v>63</v>
      </c>
      <c r="V315" s="58" t="s">
        <v>64</v>
      </c>
    </row>
    <row r="316" spans="1:22" x14ac:dyDescent="0.25">
      <c r="A316" s="11" t="s">
        <v>61</v>
      </c>
      <c r="B316" s="11" t="s">
        <v>11</v>
      </c>
      <c r="C316" s="37" t="s">
        <v>11</v>
      </c>
      <c r="D316" s="11" t="s">
        <v>11</v>
      </c>
      <c r="E316" s="63">
        <v>2012</v>
      </c>
      <c r="F316" s="44">
        <f>F317+F318</f>
        <v>1214.3974960876371</v>
      </c>
      <c r="G316" s="38"/>
      <c r="H316" s="38"/>
      <c r="I316" s="38"/>
      <c r="J316" s="3">
        <f t="shared" ref="J316:K316" si="3">J317+J318</f>
        <v>1087.8977569118415</v>
      </c>
      <c r="K316" s="3">
        <f t="shared" si="3"/>
        <v>1340.8972352634323</v>
      </c>
      <c r="L316" s="9"/>
      <c r="M316" s="9"/>
      <c r="N316" s="9"/>
      <c r="O316" s="57"/>
      <c r="P316" s="58"/>
      <c r="Q316" s="58"/>
      <c r="R316" s="58"/>
      <c r="S316" s="58"/>
      <c r="T316" s="58"/>
      <c r="U316" s="58"/>
      <c r="V316" s="58"/>
    </row>
    <row r="317" spans="1:22" x14ac:dyDescent="0.25">
      <c r="A317" s="11" t="s">
        <v>61</v>
      </c>
      <c r="B317" s="11" t="s">
        <v>11</v>
      </c>
      <c r="C317" s="37" t="s">
        <v>11</v>
      </c>
      <c r="D317" s="11" t="s">
        <v>12</v>
      </c>
      <c r="E317" s="11">
        <v>2012</v>
      </c>
      <c r="F317" s="47">
        <v>954.53920834850919</v>
      </c>
      <c r="G317" s="14"/>
      <c r="H317" s="14"/>
      <c r="I317" s="14"/>
      <c r="J317" s="3">
        <v>855.10804081220613</v>
      </c>
      <c r="K317" s="3">
        <v>1053.970375884812</v>
      </c>
      <c r="O317" s="57" t="s">
        <v>61</v>
      </c>
      <c r="P317" s="58" t="s">
        <v>11</v>
      </c>
      <c r="Q317" s="58" t="s">
        <v>11</v>
      </c>
      <c r="R317" s="58" t="s">
        <v>12</v>
      </c>
      <c r="S317" s="58">
        <v>2012</v>
      </c>
      <c r="T317" s="58">
        <v>972.45930488341401</v>
      </c>
      <c r="U317" s="58">
        <v>891.42102947646288</v>
      </c>
      <c r="V317" s="58">
        <v>1033.2380114386274</v>
      </c>
    </row>
    <row r="318" spans="1:22" x14ac:dyDescent="0.25">
      <c r="A318" s="11" t="s">
        <v>61</v>
      </c>
      <c r="B318" s="37" t="s">
        <v>11</v>
      </c>
      <c r="C318" s="37" t="s">
        <v>11</v>
      </c>
      <c r="D318" s="11" t="s">
        <v>15</v>
      </c>
      <c r="E318" s="11">
        <v>2012</v>
      </c>
      <c r="F318" s="47">
        <v>259.85828773912783</v>
      </c>
      <c r="G318" s="14"/>
      <c r="H318" s="14"/>
      <c r="I318" s="14"/>
      <c r="J318" s="3">
        <v>232.78971609963531</v>
      </c>
      <c r="K318" s="3">
        <v>286.92685937862029</v>
      </c>
      <c r="O318" s="57" t="s">
        <v>61</v>
      </c>
      <c r="P318" s="58" t="s">
        <v>11</v>
      </c>
      <c r="Q318" s="58" t="s">
        <v>11</v>
      </c>
      <c r="R318" s="58" t="s">
        <v>15</v>
      </c>
      <c r="S318" s="58">
        <v>2012</v>
      </c>
      <c r="T318" s="58">
        <v>265.02419709634847</v>
      </c>
      <c r="U318" s="58">
        <v>242.93884733831942</v>
      </c>
      <c r="V318" s="58">
        <v>281.58820941487022</v>
      </c>
    </row>
    <row r="319" spans="1:22" x14ac:dyDescent="0.25">
      <c r="A319" s="11" t="s">
        <v>61</v>
      </c>
      <c r="B319" s="37" t="s">
        <v>11</v>
      </c>
      <c r="C319" s="37" t="s">
        <v>31</v>
      </c>
      <c r="D319" s="37" t="s">
        <v>11</v>
      </c>
      <c r="E319" s="11">
        <v>2012</v>
      </c>
      <c r="F319" s="47">
        <v>168.75259323297942</v>
      </c>
      <c r="G319" s="14"/>
      <c r="H319" s="14"/>
      <c r="I319" s="14"/>
      <c r="J319" s="3">
        <v>151.17419810454405</v>
      </c>
      <c r="K319" s="3">
        <v>186.33098836141474</v>
      </c>
      <c r="O319" s="57" t="s">
        <v>61</v>
      </c>
      <c r="P319" s="58" t="s">
        <v>11</v>
      </c>
      <c r="Q319" s="58" t="s">
        <v>31</v>
      </c>
      <c r="R319" s="58" t="s">
        <v>11</v>
      </c>
      <c r="S319" s="58">
        <v>2012</v>
      </c>
      <c r="T319" s="58">
        <v>172.10734711834581</v>
      </c>
      <c r="U319" s="58">
        <v>157.76506819181699</v>
      </c>
      <c r="V319" s="58">
        <v>182.8640563132424</v>
      </c>
    </row>
    <row r="320" spans="1:22" x14ac:dyDescent="0.25">
      <c r="A320" s="11" t="s">
        <v>61</v>
      </c>
      <c r="B320" s="37" t="s">
        <v>11</v>
      </c>
      <c r="C320" s="37" t="s">
        <v>19</v>
      </c>
      <c r="D320" s="37" t="s">
        <v>11</v>
      </c>
      <c r="E320" s="11">
        <v>2012</v>
      </c>
      <c r="F320" s="47">
        <v>466.91668434401049</v>
      </c>
      <c r="G320" s="14"/>
      <c r="H320" s="14"/>
      <c r="I320" s="14"/>
      <c r="J320" s="3">
        <v>418.27952972484269</v>
      </c>
      <c r="K320" s="3">
        <v>515.55383896317824</v>
      </c>
      <c r="O320" s="57" t="s">
        <v>61</v>
      </c>
      <c r="P320" s="58" t="s">
        <v>11</v>
      </c>
      <c r="Q320" s="58" t="s">
        <v>19</v>
      </c>
      <c r="R320" s="58" t="s">
        <v>11</v>
      </c>
      <c r="S320" s="58">
        <v>2012</v>
      </c>
      <c r="T320" s="58">
        <v>476.19885613726353</v>
      </c>
      <c r="U320" s="58">
        <v>436.51561812582491</v>
      </c>
      <c r="V320" s="58">
        <v>505.96128464584245</v>
      </c>
    </row>
    <row r="321" spans="1:22" x14ac:dyDescent="0.25">
      <c r="A321" s="11" t="s">
        <v>61</v>
      </c>
      <c r="B321" s="37" t="s">
        <v>11</v>
      </c>
      <c r="C321" s="37" t="s">
        <v>20</v>
      </c>
      <c r="D321" s="37" t="s">
        <v>11</v>
      </c>
      <c r="E321" s="11">
        <v>2012</v>
      </c>
      <c r="F321" s="47">
        <v>578.72821851064725</v>
      </c>
      <c r="G321" s="14"/>
      <c r="H321" s="14"/>
      <c r="I321" s="14"/>
      <c r="J321" s="3">
        <v>518.44402908245479</v>
      </c>
      <c r="K321" s="3">
        <v>639.0124079388396</v>
      </c>
      <c r="O321" s="57" t="s">
        <v>61</v>
      </c>
      <c r="P321" s="58" t="s">
        <v>11</v>
      </c>
      <c r="Q321" s="58" t="s">
        <v>20</v>
      </c>
      <c r="R321" s="58" t="s">
        <v>11</v>
      </c>
      <c r="S321" s="58">
        <v>2012</v>
      </c>
      <c r="T321" s="58">
        <v>590.23317201935777</v>
      </c>
      <c r="U321" s="58">
        <v>541.04707435107787</v>
      </c>
      <c r="V321" s="58">
        <v>627.12274527056752</v>
      </c>
    </row>
    <row r="322" spans="1:22" x14ac:dyDescent="0.25">
      <c r="A322" s="11" t="s">
        <v>61</v>
      </c>
      <c r="B322" s="37" t="s">
        <v>24</v>
      </c>
      <c r="C322" s="37" t="s">
        <v>11</v>
      </c>
      <c r="D322" s="37" t="s">
        <v>11</v>
      </c>
      <c r="E322" s="11">
        <v>2012</v>
      </c>
      <c r="F322" s="44">
        <v>728.84555604918717</v>
      </c>
      <c r="G322" s="38"/>
      <c r="H322" s="38"/>
      <c r="I322" s="38"/>
      <c r="J322" s="3">
        <v>652.92414396073013</v>
      </c>
      <c r="K322" s="3">
        <v>804.76696813764408</v>
      </c>
      <c r="M322" s="21"/>
      <c r="O322" s="57" t="s">
        <v>61</v>
      </c>
      <c r="P322" s="58" t="s">
        <v>24</v>
      </c>
      <c r="Q322" s="58" t="s">
        <v>11</v>
      </c>
      <c r="R322" s="58" t="s">
        <v>11</v>
      </c>
      <c r="S322" s="58">
        <v>2012</v>
      </c>
      <c r="T322" s="58">
        <v>743.33479982402116</v>
      </c>
      <c r="U322" s="58">
        <v>681.39023317201941</v>
      </c>
      <c r="V322" s="58">
        <v>789.79322481302245</v>
      </c>
    </row>
    <row r="323" spans="1:22" x14ac:dyDescent="0.25">
      <c r="A323" s="11" t="s">
        <v>61</v>
      </c>
      <c r="B323" s="11" t="s">
        <v>11</v>
      </c>
      <c r="C323" s="37" t="s">
        <v>11</v>
      </c>
      <c r="D323" s="11" t="s">
        <v>11</v>
      </c>
      <c r="E323" s="11">
        <v>2013</v>
      </c>
      <c r="F323" s="44">
        <f>F324+F325</f>
        <v>1170.1379310344826</v>
      </c>
      <c r="G323" s="38"/>
      <c r="H323" s="38"/>
      <c r="I323" s="38"/>
      <c r="J323" s="3">
        <f t="shared" ref="J323" si="4">J324+J325</f>
        <v>1045.655172413793</v>
      </c>
      <c r="K323" s="3">
        <f t="shared" ref="K323" si="5">K324+K325</f>
        <v>1319.5172413793102</v>
      </c>
      <c r="M323" s="21"/>
      <c r="O323" s="57"/>
      <c r="P323" s="58"/>
      <c r="Q323" s="58"/>
      <c r="R323" s="58"/>
      <c r="S323" s="58"/>
      <c r="T323" s="58"/>
      <c r="U323" s="58"/>
      <c r="V323" s="58"/>
    </row>
    <row r="324" spans="1:22" x14ac:dyDescent="0.25">
      <c r="A324" s="11" t="s">
        <v>61</v>
      </c>
      <c r="B324" s="11" t="s">
        <v>11</v>
      </c>
      <c r="C324" s="37" t="s">
        <v>11</v>
      </c>
      <c r="D324" s="11" t="s">
        <v>12</v>
      </c>
      <c r="E324" s="11">
        <v>2013</v>
      </c>
      <c r="F324" s="44">
        <v>904.00921574610902</v>
      </c>
      <c r="G324" s="38"/>
      <c r="H324" s="38"/>
      <c r="I324" s="38"/>
      <c r="J324" s="3">
        <v>807.83802258162939</v>
      </c>
      <c r="K324" s="3">
        <v>1019.4146475434848</v>
      </c>
      <c r="M324" s="1"/>
      <c r="O324" s="57" t="s">
        <v>61</v>
      </c>
      <c r="P324" s="58" t="s">
        <v>11</v>
      </c>
      <c r="Q324" s="58" t="s">
        <v>11</v>
      </c>
      <c r="R324" s="58" t="s">
        <v>12</v>
      </c>
      <c r="S324" s="58">
        <v>2013</v>
      </c>
      <c r="T324" s="58">
        <v>921.77738671359441</v>
      </c>
      <c r="U324" s="58">
        <v>844.96260448746148</v>
      </c>
      <c r="V324" s="58">
        <v>979.38847338319397</v>
      </c>
    </row>
    <row r="325" spans="1:22" x14ac:dyDescent="0.25">
      <c r="A325" s="11" t="s">
        <v>61</v>
      </c>
      <c r="B325" s="37" t="s">
        <v>11</v>
      </c>
      <c r="C325" s="37" t="s">
        <v>11</v>
      </c>
      <c r="D325" s="11" t="s">
        <v>15</v>
      </c>
      <c r="E325" s="11">
        <v>2013</v>
      </c>
      <c r="F325" s="44">
        <v>266.12871528837354</v>
      </c>
      <c r="G325" s="38"/>
      <c r="H325" s="38"/>
      <c r="I325" s="38"/>
      <c r="J325" s="3">
        <v>237.81714983216358</v>
      </c>
      <c r="K325" s="3">
        <v>300.10259383582547</v>
      </c>
      <c r="M325" s="1"/>
      <c r="O325" s="57" t="s">
        <v>61</v>
      </c>
      <c r="P325" s="58" t="s">
        <v>11</v>
      </c>
      <c r="Q325" s="58" t="s">
        <v>11</v>
      </c>
      <c r="R325" s="58" t="s">
        <v>15</v>
      </c>
      <c r="S325" s="58">
        <v>2013</v>
      </c>
      <c r="T325" s="58">
        <v>271.35943686757588</v>
      </c>
      <c r="U325" s="58">
        <v>248.74615046194458</v>
      </c>
      <c r="V325" s="58">
        <v>288.31940167179937</v>
      </c>
    </row>
    <row r="326" spans="1:22" x14ac:dyDescent="0.25">
      <c r="A326" s="11" t="s">
        <v>61</v>
      </c>
      <c r="B326" s="37" t="s">
        <v>11</v>
      </c>
      <c r="C326" s="37" t="s">
        <v>31</v>
      </c>
      <c r="D326" s="37" t="s">
        <v>11</v>
      </c>
      <c r="E326" s="11">
        <v>2013</v>
      </c>
      <c r="F326" s="44">
        <v>114.94275251754655</v>
      </c>
      <c r="G326" s="38"/>
      <c r="H326" s="38"/>
      <c r="I326" s="38"/>
      <c r="J326" s="3">
        <v>102.71480012206288</v>
      </c>
      <c r="K326" s="3">
        <v>129.61629539212697</v>
      </c>
      <c r="M326" s="1"/>
      <c r="O326" s="57" t="s">
        <v>61</v>
      </c>
      <c r="P326" s="58" t="s">
        <v>11</v>
      </c>
      <c r="Q326" s="58" t="s">
        <v>31</v>
      </c>
      <c r="R326" s="58" t="s">
        <v>11</v>
      </c>
      <c r="S326" s="58">
        <v>2013</v>
      </c>
      <c r="T326" s="58">
        <v>117.20193576770788</v>
      </c>
      <c r="U326" s="58">
        <v>107.43510778706555</v>
      </c>
      <c r="V326" s="58">
        <v>124.52705675318961</v>
      </c>
    </row>
    <row r="327" spans="1:22" x14ac:dyDescent="0.25">
      <c r="A327" s="11" t="s">
        <v>61</v>
      </c>
      <c r="B327" s="37" t="s">
        <v>11</v>
      </c>
      <c r="C327" s="37" t="s">
        <v>19</v>
      </c>
      <c r="D327" s="37" t="s">
        <v>11</v>
      </c>
      <c r="E327" s="11">
        <v>2013</v>
      </c>
      <c r="F327" s="44">
        <v>426.6343606957584</v>
      </c>
      <c r="G327" s="38"/>
      <c r="H327" s="38"/>
      <c r="I327" s="38"/>
      <c r="J327" s="3">
        <v>381.2477265791884</v>
      </c>
      <c r="K327" s="3">
        <v>481.09832163564249</v>
      </c>
      <c r="M327" s="1"/>
      <c r="O327" s="57" t="s">
        <v>61</v>
      </c>
      <c r="P327" s="58" t="s">
        <v>11</v>
      </c>
      <c r="Q327" s="58" t="s">
        <v>19</v>
      </c>
      <c r="R327" s="58" t="s">
        <v>11</v>
      </c>
      <c r="S327" s="58">
        <v>2013</v>
      </c>
      <c r="T327" s="58">
        <v>435.0197976242851</v>
      </c>
      <c r="U327" s="58">
        <v>398.76814782226131</v>
      </c>
      <c r="V327" s="58">
        <v>462.20853497580288</v>
      </c>
    </row>
    <row r="328" spans="1:22" x14ac:dyDescent="0.25">
      <c r="A328" s="11" t="s">
        <v>61</v>
      </c>
      <c r="B328" s="37" t="s">
        <v>11</v>
      </c>
      <c r="C328" s="37" t="s">
        <v>20</v>
      </c>
      <c r="D328" s="37" t="s">
        <v>11</v>
      </c>
      <c r="E328" s="11">
        <v>2013</v>
      </c>
      <c r="F328" s="44">
        <v>628.56081782117792</v>
      </c>
      <c r="G328" s="38"/>
      <c r="H328" s="38"/>
      <c r="I328" s="38"/>
      <c r="J328" s="3">
        <v>561.692645712542</v>
      </c>
      <c r="K328" s="3">
        <v>708.80262435154111</v>
      </c>
      <c r="M328" s="1"/>
      <c r="O328" s="57" t="s">
        <v>61</v>
      </c>
      <c r="P328" s="58" t="s">
        <v>11</v>
      </c>
      <c r="Q328" s="58" t="s">
        <v>20</v>
      </c>
      <c r="R328" s="58" t="s">
        <v>11</v>
      </c>
      <c r="S328" s="58">
        <v>2013</v>
      </c>
      <c r="T328" s="58">
        <v>640.91509018917736</v>
      </c>
      <c r="U328" s="58">
        <v>587.50549934007915</v>
      </c>
      <c r="V328" s="58">
        <v>680.97228332600082</v>
      </c>
    </row>
    <row r="329" spans="1:22" x14ac:dyDescent="0.25">
      <c r="A329" s="11" t="s">
        <v>61</v>
      </c>
      <c r="B329" s="37" t="s">
        <v>24</v>
      </c>
      <c r="C329" s="37" t="s">
        <v>11</v>
      </c>
      <c r="D329" s="37" t="s">
        <v>11</v>
      </c>
      <c r="E329" s="11">
        <v>2013</v>
      </c>
      <c r="F329" s="44">
        <v>740.39700945987204</v>
      </c>
      <c r="G329" s="38"/>
      <c r="H329" s="38"/>
      <c r="I329" s="38"/>
      <c r="J329" s="3">
        <v>661.63137015563029</v>
      </c>
      <c r="K329" s="3">
        <v>834.91577662496206</v>
      </c>
      <c r="M329" s="1"/>
      <c r="O329" s="58" t="s">
        <v>61</v>
      </c>
      <c r="P329" s="58" t="s">
        <v>24</v>
      </c>
      <c r="Q329" s="58" t="s">
        <v>11</v>
      </c>
      <c r="R329" s="58" t="s">
        <v>11</v>
      </c>
      <c r="S329" s="58">
        <v>2013</v>
      </c>
      <c r="T329" s="58">
        <v>754.94940607127148</v>
      </c>
      <c r="U329" s="58">
        <v>692.03695556533216</v>
      </c>
      <c r="V329" s="58">
        <v>802.13374395072583</v>
      </c>
    </row>
    <row r="330" spans="1:22" x14ac:dyDescent="0.25">
      <c r="A330" s="11" t="s">
        <v>61</v>
      </c>
      <c r="B330" s="11" t="s">
        <v>11</v>
      </c>
      <c r="C330" s="37" t="s">
        <v>11</v>
      </c>
      <c r="D330" s="11" t="s">
        <v>11</v>
      </c>
      <c r="E330" s="37">
        <v>2014</v>
      </c>
      <c r="F330" s="44">
        <f>F331+F332</f>
        <v>1207.7396657871593</v>
      </c>
      <c r="G330" s="38"/>
      <c r="H330" s="38"/>
      <c r="I330" s="38"/>
      <c r="J330" s="3">
        <f t="shared" ref="J330" si="6">J331+J332</f>
        <v>1031.6109645265319</v>
      </c>
      <c r="K330" s="3">
        <f t="shared" ref="K330" si="7">K331+K332</f>
        <v>1383.8683670477867</v>
      </c>
      <c r="M330" s="1"/>
      <c r="O330" s="58"/>
      <c r="P330" s="58"/>
      <c r="Q330" s="58"/>
      <c r="R330" s="58"/>
      <c r="S330" s="58"/>
      <c r="T330" s="58"/>
      <c r="U330" s="58"/>
      <c r="V330" s="58"/>
    </row>
    <row r="331" spans="1:22" x14ac:dyDescent="0.25">
      <c r="A331" s="37" t="s">
        <v>61</v>
      </c>
      <c r="B331" s="37" t="s">
        <v>11</v>
      </c>
      <c r="C331" s="37" t="s">
        <v>11</v>
      </c>
      <c r="D331" s="37" t="s">
        <v>12</v>
      </c>
      <c r="E331" s="37">
        <v>2014</v>
      </c>
      <c r="F331" s="47">
        <v>1005.2686405085072</v>
      </c>
      <c r="G331" s="14"/>
      <c r="H331" s="14"/>
      <c r="I331" s="14"/>
      <c r="J331" s="1">
        <v>858.66696376768334</v>
      </c>
      <c r="K331" s="1">
        <v>1151.8703172493313</v>
      </c>
      <c r="M331" s="1"/>
      <c r="O331" s="58" t="s">
        <v>61</v>
      </c>
      <c r="P331" s="58" t="s">
        <v>11</v>
      </c>
      <c r="Q331" s="58" t="s">
        <v>11</v>
      </c>
      <c r="R331" s="58" t="s">
        <v>12</v>
      </c>
      <c r="S331" s="58">
        <v>2014</v>
      </c>
      <c r="T331" s="58">
        <v>1048.4821821381436</v>
      </c>
      <c r="U331" s="58">
        <v>961.10866695996481</v>
      </c>
      <c r="V331" s="58">
        <v>1114.0123185217774</v>
      </c>
    </row>
    <row r="332" spans="1:22" x14ac:dyDescent="0.25">
      <c r="A332" s="37" t="s">
        <v>61</v>
      </c>
      <c r="B332" s="37" t="s">
        <v>11</v>
      </c>
      <c r="C332" s="37" t="s">
        <v>11</v>
      </c>
      <c r="D332" s="37" t="s">
        <v>15</v>
      </c>
      <c r="E332" s="37">
        <v>2014</v>
      </c>
      <c r="F332" s="47">
        <v>202.47102527865201</v>
      </c>
      <c r="G332" s="14"/>
      <c r="H332" s="14"/>
      <c r="I332" s="14"/>
      <c r="J332" s="1">
        <v>172.9440007588486</v>
      </c>
      <c r="K332" s="1">
        <v>231.99804979845541</v>
      </c>
      <c r="M332" s="1"/>
      <c r="O332" s="58" t="s">
        <v>61</v>
      </c>
      <c r="P332" s="58" t="s">
        <v>11</v>
      </c>
      <c r="Q332" s="58" t="s">
        <v>11</v>
      </c>
      <c r="R332" s="58" t="s">
        <v>15</v>
      </c>
      <c r="S332" s="58">
        <v>2014</v>
      </c>
      <c r="T332" s="58">
        <v>211.17465904091512</v>
      </c>
      <c r="U332" s="58">
        <v>193.5767707875055</v>
      </c>
      <c r="V332" s="58">
        <v>224.37307523097226</v>
      </c>
    </row>
    <row r="333" spans="1:22" x14ac:dyDescent="0.25">
      <c r="A333" s="37" t="s">
        <v>61</v>
      </c>
      <c r="B333" s="37" t="s">
        <v>11</v>
      </c>
      <c r="C333" s="37" t="s">
        <v>31</v>
      </c>
      <c r="D333" s="37" t="s">
        <v>11</v>
      </c>
      <c r="E333" s="37">
        <v>2014</v>
      </c>
      <c r="F333" s="47">
        <v>134.6432318103036</v>
      </c>
      <c r="G333" s="14"/>
      <c r="H333" s="14"/>
      <c r="I333" s="14"/>
      <c r="J333" s="1">
        <v>115.00776050463432</v>
      </c>
      <c r="K333" s="1">
        <v>154.27870311597289</v>
      </c>
      <c r="O333" s="58" t="s">
        <v>61</v>
      </c>
      <c r="P333" s="58" t="s">
        <v>11</v>
      </c>
      <c r="Q333" s="58" t="s">
        <v>31</v>
      </c>
      <c r="R333" s="58" t="s">
        <v>11</v>
      </c>
      <c r="S333" s="58">
        <v>2014</v>
      </c>
      <c r="T333" s="58">
        <v>140.43114826220855</v>
      </c>
      <c r="U333" s="58">
        <v>128.72855257369116</v>
      </c>
      <c r="V333" s="58">
        <v>149.20809502859657</v>
      </c>
    </row>
    <row r="334" spans="1:22" x14ac:dyDescent="0.25">
      <c r="A334" s="37" t="s">
        <v>61</v>
      </c>
      <c r="B334" s="37" t="s">
        <v>11</v>
      </c>
      <c r="C334" s="37" t="s">
        <v>19</v>
      </c>
      <c r="D334" s="37" t="s">
        <v>11</v>
      </c>
      <c r="E334" s="37">
        <v>2014</v>
      </c>
      <c r="F334" s="47">
        <v>404.94205055730407</v>
      </c>
      <c r="G334" s="14"/>
      <c r="H334" s="14"/>
      <c r="I334" s="14"/>
      <c r="J334" s="1">
        <v>345.88800151769721</v>
      </c>
      <c r="K334" s="1">
        <v>463.99609959691094</v>
      </c>
      <c r="O334" s="58" t="s">
        <v>61</v>
      </c>
      <c r="P334" s="58" t="s">
        <v>11</v>
      </c>
      <c r="Q334" s="58" t="s">
        <v>19</v>
      </c>
      <c r="R334" s="58" t="s">
        <v>11</v>
      </c>
      <c r="S334" s="58">
        <v>2014</v>
      </c>
      <c r="T334" s="58">
        <v>422.34931808183023</v>
      </c>
      <c r="U334" s="58">
        <v>387.15354157501099</v>
      </c>
      <c r="V334" s="58">
        <v>448.74615046194452</v>
      </c>
    </row>
    <row r="335" spans="1:22" x14ac:dyDescent="0.25">
      <c r="A335" s="37" t="s">
        <v>61</v>
      </c>
      <c r="B335" s="37" t="s">
        <v>11</v>
      </c>
      <c r="C335" s="37" t="s">
        <v>20</v>
      </c>
      <c r="D335" s="37" t="s">
        <v>11</v>
      </c>
      <c r="E335" s="37">
        <v>2014</v>
      </c>
      <c r="F335" s="47">
        <v>668.15438341955166</v>
      </c>
      <c r="G335" s="14"/>
      <c r="H335" s="14"/>
      <c r="I335" s="14"/>
      <c r="J335" s="1">
        <v>570.71520250420042</v>
      </c>
      <c r="K335" s="1">
        <v>765.59356433490302</v>
      </c>
      <c r="O335" s="58" t="s">
        <v>61</v>
      </c>
      <c r="P335" s="58" t="s">
        <v>11</v>
      </c>
      <c r="Q335" s="58" t="s">
        <v>20</v>
      </c>
      <c r="R335" s="58" t="s">
        <v>11</v>
      </c>
      <c r="S335" s="58">
        <v>2014</v>
      </c>
      <c r="T335" s="58">
        <v>696.87637483501987</v>
      </c>
      <c r="U335" s="58">
        <v>638.80334359876815</v>
      </c>
      <c r="V335" s="58">
        <v>740.43114826220847</v>
      </c>
    </row>
    <row r="336" spans="1:22" x14ac:dyDescent="0.25">
      <c r="A336" s="37" t="s">
        <v>61</v>
      </c>
      <c r="B336" s="37" t="s">
        <v>24</v>
      </c>
      <c r="C336" s="37" t="s">
        <v>11</v>
      </c>
      <c r="D336" s="37" t="s">
        <v>11</v>
      </c>
      <c r="E336" s="37">
        <v>2014</v>
      </c>
      <c r="F336" s="47">
        <v>830.13120364247334</v>
      </c>
      <c r="G336" s="14"/>
      <c r="H336" s="14"/>
      <c r="I336" s="14"/>
      <c r="J336" s="1">
        <v>709.07040311127935</v>
      </c>
      <c r="K336" s="1">
        <v>951.19200417366744</v>
      </c>
      <c r="O336" s="58" t="s">
        <v>61</v>
      </c>
      <c r="P336" s="58" t="s">
        <v>24</v>
      </c>
      <c r="Q336" s="58" t="s">
        <v>11</v>
      </c>
      <c r="R336" s="58" t="s">
        <v>11</v>
      </c>
      <c r="S336" s="58">
        <v>2014</v>
      </c>
      <c r="T336" s="58">
        <v>865.8161020677519</v>
      </c>
      <c r="U336" s="58">
        <v>793.66476022877259</v>
      </c>
      <c r="V336" s="58">
        <v>919.92960844698632</v>
      </c>
    </row>
    <row r="337" spans="1:22" x14ac:dyDescent="0.25">
      <c r="A337" s="11" t="s">
        <v>61</v>
      </c>
      <c r="B337" s="11" t="s">
        <v>11</v>
      </c>
      <c r="C337" s="37" t="s">
        <v>11</v>
      </c>
      <c r="D337" s="11" t="s">
        <v>11</v>
      </c>
      <c r="E337" s="37">
        <v>2015</v>
      </c>
      <c r="F337" s="44">
        <f>F338+F339</f>
        <v>1434.7718907269114</v>
      </c>
      <c r="G337" s="38"/>
      <c r="H337" s="38"/>
      <c r="I337" s="38"/>
      <c r="J337" s="3">
        <f t="shared" ref="J337" si="8">J338+J339</f>
        <v>1209.7096333579839</v>
      </c>
      <c r="K337" s="3">
        <f t="shared" ref="K337" si="9">K338+K339</f>
        <v>1687.966930266954</v>
      </c>
      <c r="O337" s="58"/>
      <c r="P337" s="58"/>
      <c r="Q337" s="58"/>
      <c r="R337" s="58"/>
      <c r="S337" s="58"/>
      <c r="T337" s="58"/>
      <c r="U337" s="58"/>
      <c r="V337" s="58"/>
    </row>
    <row r="338" spans="1:22" x14ac:dyDescent="0.25">
      <c r="A338" s="37" t="s">
        <v>61</v>
      </c>
      <c r="B338" s="37" t="s">
        <v>11</v>
      </c>
      <c r="C338" s="37" t="s">
        <v>11</v>
      </c>
      <c r="D338" s="37" t="s">
        <v>12</v>
      </c>
      <c r="E338" s="37">
        <v>2015</v>
      </c>
      <c r="F338" s="47">
        <v>1169.4229957313642</v>
      </c>
      <c r="G338" s="14"/>
      <c r="H338" s="14"/>
      <c r="I338" s="14"/>
      <c r="J338" s="1">
        <v>985.98409444016966</v>
      </c>
      <c r="K338" s="1">
        <v>1375.7917596839575</v>
      </c>
      <c r="O338" s="58" t="s">
        <v>61</v>
      </c>
      <c r="P338" s="58" t="s">
        <v>11</v>
      </c>
      <c r="Q338" s="58" t="s">
        <v>11</v>
      </c>
      <c r="R338" s="58" t="s">
        <v>12</v>
      </c>
      <c r="S338" s="58">
        <v>2015</v>
      </c>
      <c r="T338" s="58">
        <v>1177.2987241531016</v>
      </c>
      <c r="U338" s="58">
        <v>1079.1904971403433</v>
      </c>
      <c r="V338" s="58">
        <v>1250.8798944126704</v>
      </c>
    </row>
    <row r="339" spans="1:22" x14ac:dyDescent="0.25">
      <c r="A339" s="37" t="s">
        <v>61</v>
      </c>
      <c r="B339" s="37" t="s">
        <v>11</v>
      </c>
      <c r="C339" s="37" t="s">
        <v>11</v>
      </c>
      <c r="D339" s="37" t="s">
        <v>15</v>
      </c>
      <c r="E339" s="37">
        <v>2015</v>
      </c>
      <c r="F339" s="47">
        <v>265.3488949955472</v>
      </c>
      <c r="G339" s="14"/>
      <c r="H339" s="14"/>
      <c r="I339" s="14"/>
      <c r="J339" s="1">
        <v>223.72553891781428</v>
      </c>
      <c r="K339" s="1">
        <v>312.17517058299666</v>
      </c>
      <c r="O339" s="58" t="s">
        <v>61</v>
      </c>
      <c r="P339" s="58" t="s">
        <v>11</v>
      </c>
      <c r="Q339" s="58" t="s">
        <v>11</v>
      </c>
      <c r="R339" s="58" t="s">
        <v>15</v>
      </c>
      <c r="S339" s="58">
        <v>2015</v>
      </c>
      <c r="T339" s="58">
        <v>267.13594368675763</v>
      </c>
      <c r="U339" s="58">
        <v>244.87461504619446</v>
      </c>
      <c r="V339" s="58">
        <v>283.83194016717994</v>
      </c>
    </row>
    <row r="340" spans="1:22" x14ac:dyDescent="0.25">
      <c r="A340" s="37" t="s">
        <v>61</v>
      </c>
      <c r="B340" s="37" t="s">
        <v>11</v>
      </c>
      <c r="C340" s="37" t="s">
        <v>31</v>
      </c>
      <c r="D340" s="37" t="s">
        <v>11</v>
      </c>
      <c r="E340" s="37">
        <v>2015</v>
      </c>
      <c r="F340" s="47">
        <v>143.68695104501961</v>
      </c>
      <c r="G340" s="14"/>
      <c r="H340" s="14"/>
      <c r="I340" s="14"/>
      <c r="J340" s="1">
        <v>121.14782146933027</v>
      </c>
      <c r="K340" s="1">
        <v>169.04347181767011</v>
      </c>
      <c r="O340" s="58" t="s">
        <v>61</v>
      </c>
      <c r="P340" s="58" t="s">
        <v>11</v>
      </c>
      <c r="Q340" s="58" t="s">
        <v>31</v>
      </c>
      <c r="R340" s="58" t="s">
        <v>11</v>
      </c>
      <c r="S340" s="58">
        <v>2015</v>
      </c>
      <c r="T340" s="58">
        <v>144.65464144302683</v>
      </c>
      <c r="U340" s="58">
        <v>132.60008798944128</v>
      </c>
      <c r="V340" s="58">
        <v>153.69555653321601</v>
      </c>
    </row>
    <row r="341" spans="1:22" x14ac:dyDescent="0.25">
      <c r="A341" s="37" t="s">
        <v>61</v>
      </c>
      <c r="B341" s="37" t="s">
        <v>11</v>
      </c>
      <c r="C341" s="37" t="s">
        <v>19</v>
      </c>
      <c r="D341" s="37" t="s">
        <v>11</v>
      </c>
      <c r="E341" s="37">
        <v>2015</v>
      </c>
      <c r="F341" s="47">
        <v>447.84181092133844</v>
      </c>
      <c r="G341" s="14"/>
      <c r="H341" s="14"/>
      <c r="I341" s="14"/>
      <c r="J341" s="1">
        <v>377.59211509054023</v>
      </c>
      <c r="K341" s="1">
        <v>526.87271873098632</v>
      </c>
      <c r="O341" s="58" t="s">
        <v>61</v>
      </c>
      <c r="P341" s="58" t="s">
        <v>11</v>
      </c>
      <c r="Q341" s="58" t="s">
        <v>19</v>
      </c>
      <c r="R341" s="58" t="s">
        <v>11</v>
      </c>
      <c r="S341" s="58">
        <v>2015</v>
      </c>
      <c r="T341" s="58">
        <v>450.85789705235374</v>
      </c>
      <c r="U341" s="58">
        <v>413.28640563132427</v>
      </c>
      <c r="V341" s="58">
        <v>479.0365156181258</v>
      </c>
    </row>
    <row r="342" spans="1:22" x14ac:dyDescent="0.25">
      <c r="A342" s="37" t="s">
        <v>61</v>
      </c>
      <c r="B342" s="37" t="s">
        <v>11</v>
      </c>
      <c r="C342" s="37" t="s">
        <v>20</v>
      </c>
      <c r="D342" s="37" t="s">
        <v>11</v>
      </c>
      <c r="E342" s="37">
        <v>2015</v>
      </c>
      <c r="F342" s="47">
        <v>843.24312876055319</v>
      </c>
      <c r="G342" s="14"/>
      <c r="H342" s="14"/>
      <c r="I342" s="14"/>
      <c r="J342" s="1">
        <v>710.96969679811343</v>
      </c>
      <c r="K342" s="1">
        <v>992.05073971829779</v>
      </c>
      <c r="O342" s="58" t="s">
        <v>61</v>
      </c>
      <c r="P342" s="58" t="s">
        <v>11</v>
      </c>
      <c r="Q342" s="58" t="s">
        <v>20</v>
      </c>
      <c r="R342" s="58" t="s">
        <v>11</v>
      </c>
      <c r="S342" s="58">
        <v>2015</v>
      </c>
      <c r="T342" s="58">
        <v>848.92212934447866</v>
      </c>
      <c r="U342" s="58">
        <v>778.17861856577213</v>
      </c>
      <c r="V342" s="58">
        <v>901.97976242850859</v>
      </c>
    </row>
    <row r="343" spans="1:22" x14ac:dyDescent="0.25">
      <c r="A343" s="37" t="s">
        <v>61</v>
      </c>
      <c r="B343" s="37" t="s">
        <v>24</v>
      </c>
      <c r="C343" s="37" t="s">
        <v>11</v>
      </c>
      <c r="D343" s="37" t="s">
        <v>11</v>
      </c>
      <c r="E343" s="37">
        <v>2015</v>
      </c>
      <c r="F343" s="47">
        <v>991.12531925214262</v>
      </c>
      <c r="G343" s="14"/>
      <c r="H343" s="14"/>
      <c r="I343" s="14"/>
      <c r="J343" s="1">
        <v>835.65468093808101</v>
      </c>
      <c r="K343" s="1">
        <v>1166.0297873554616</v>
      </c>
      <c r="O343" s="58" t="s">
        <v>61</v>
      </c>
      <c r="P343" s="58" t="s">
        <v>24</v>
      </c>
      <c r="Q343" s="58" t="s">
        <v>11</v>
      </c>
      <c r="R343" s="58" t="s">
        <v>11</v>
      </c>
      <c r="S343" s="58">
        <v>2015</v>
      </c>
      <c r="T343" s="58">
        <v>997.80026396832386</v>
      </c>
      <c r="U343" s="58">
        <v>914.65024197096352</v>
      </c>
      <c r="V343" s="58">
        <v>1060.162780466344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9"/>
  <sheetViews>
    <sheetView zoomScale="80" zoomScaleNormal="80" workbookViewId="0">
      <pane ySplit="1" topLeftCell="A2" activePane="bottomLeft" state="frozen"/>
      <selection activeCell="E872" sqref="E872"/>
      <selection pane="bottomLeft" activeCell="G1" sqref="G1:I1"/>
    </sheetView>
  </sheetViews>
  <sheetFormatPr defaultRowHeight="15" x14ac:dyDescent="0.25"/>
  <cols>
    <col min="1" max="1" width="31.85546875" style="37" customWidth="1"/>
    <col min="2" max="2" width="15.140625" style="37" customWidth="1"/>
    <col min="3" max="3" width="18.28515625" style="37" customWidth="1"/>
    <col min="4" max="4" width="13.85546875" style="37" customWidth="1"/>
    <col min="5" max="5" width="9.140625" style="37"/>
    <col min="6" max="9" width="13.28515625" style="37" customWidth="1"/>
    <col min="10" max="10" width="10.7109375" style="37" customWidth="1"/>
    <col min="11" max="11" width="17.7109375" style="37" customWidth="1"/>
    <col min="12" max="13" width="9.140625" style="37"/>
    <col min="14" max="14" width="97.5703125" style="37" customWidth="1"/>
    <col min="15" max="15" width="9.85546875" style="37" customWidth="1"/>
    <col min="16" max="16" width="10.5703125" style="37" customWidth="1"/>
    <col min="17" max="16384" width="9.140625" style="37"/>
  </cols>
  <sheetData>
    <row r="1" spans="1:14" x14ac:dyDescent="0.25">
      <c r="A1" s="37" t="s">
        <v>0</v>
      </c>
      <c r="B1" s="37" t="s">
        <v>1</v>
      </c>
      <c r="C1" s="37" t="s">
        <v>2</v>
      </c>
      <c r="D1" s="37" t="s">
        <v>3</v>
      </c>
      <c r="E1" s="37" t="s">
        <v>4</v>
      </c>
      <c r="F1" s="43" t="s">
        <v>55</v>
      </c>
      <c r="G1" s="64" t="s">
        <v>72</v>
      </c>
      <c r="H1" s="64" t="s">
        <v>73</v>
      </c>
      <c r="I1" s="64" t="s">
        <v>74</v>
      </c>
      <c r="J1" s="37" t="s">
        <v>65</v>
      </c>
      <c r="K1" s="37" t="s">
        <v>58</v>
      </c>
      <c r="N1" s="37" t="s">
        <v>9</v>
      </c>
    </row>
    <row r="2" spans="1:14" x14ac:dyDescent="0.25">
      <c r="A2" s="9" t="s">
        <v>10</v>
      </c>
      <c r="B2" s="9" t="s">
        <v>11</v>
      </c>
      <c r="C2" s="9" t="s">
        <v>11</v>
      </c>
      <c r="D2" s="9" t="s">
        <v>11</v>
      </c>
      <c r="E2" s="9">
        <v>2011</v>
      </c>
      <c r="F2" s="44">
        <f>SUM(F3:F20)</f>
        <v>108804.41441433615</v>
      </c>
      <c r="G2" s="38">
        <v>108804.7571</v>
      </c>
      <c r="H2" s="38">
        <v>108163</v>
      </c>
      <c r="I2" s="38">
        <v>109445.05</v>
      </c>
      <c r="J2" s="24"/>
      <c r="K2" s="9"/>
      <c r="L2" s="9"/>
      <c r="M2" s="9"/>
    </row>
    <row r="3" spans="1:14" x14ac:dyDescent="0.25">
      <c r="A3" s="37" t="s">
        <v>10</v>
      </c>
      <c r="B3" s="37" t="s">
        <v>24</v>
      </c>
      <c r="C3" s="9" t="s">
        <v>31</v>
      </c>
      <c r="D3" s="11" t="s">
        <v>11</v>
      </c>
      <c r="E3" s="37">
        <v>2011</v>
      </c>
      <c r="F3" s="44">
        <f t="shared" ref="F3:F98" si="0">J3*K3</f>
        <v>16013.399778068988</v>
      </c>
      <c r="G3" s="38">
        <v>16013.094287010219</v>
      </c>
      <c r="H3" s="38">
        <v>15768.972455607436</v>
      </c>
      <c r="I3" s="38">
        <v>16263.571346185088</v>
      </c>
      <c r="J3" s="1">
        <v>17123</v>
      </c>
      <c r="K3" s="37">
        <v>0.9351982583699695</v>
      </c>
    </row>
    <row r="4" spans="1:14" x14ac:dyDescent="0.25">
      <c r="A4" s="37" t="s">
        <v>10</v>
      </c>
      <c r="B4" s="37" t="s">
        <v>24</v>
      </c>
      <c r="C4" s="9" t="s">
        <v>19</v>
      </c>
      <c r="D4" s="11" t="s">
        <v>11</v>
      </c>
      <c r="E4" s="37">
        <v>2011</v>
      </c>
      <c r="F4" s="44">
        <f t="shared" si="0"/>
        <v>11846.043660479098</v>
      </c>
      <c r="G4" s="38">
        <v>11844.826547556848</v>
      </c>
      <c r="H4" s="38">
        <v>11636.113637056502</v>
      </c>
      <c r="I4" s="38">
        <v>12060.110311996354</v>
      </c>
      <c r="J4" s="1">
        <v>12644</v>
      </c>
      <c r="K4" s="37">
        <v>0.93689051411571478</v>
      </c>
    </row>
    <row r="5" spans="1:14" x14ac:dyDescent="0.25">
      <c r="A5" s="37" t="s">
        <v>10</v>
      </c>
      <c r="B5" s="37" t="s">
        <v>24</v>
      </c>
      <c r="C5" s="9" t="s">
        <v>20</v>
      </c>
      <c r="D5" s="11" t="s">
        <v>11</v>
      </c>
      <c r="E5" s="37">
        <v>2011</v>
      </c>
      <c r="F5" s="44">
        <f t="shared" si="0"/>
        <v>11199.107620512435</v>
      </c>
      <c r="G5" s="38">
        <v>11198.472674811945</v>
      </c>
      <c r="H5" s="38">
        <v>10992.00254181988</v>
      </c>
      <c r="I5" s="38">
        <v>11409.612844452493</v>
      </c>
      <c r="J5" s="1">
        <v>11832</v>
      </c>
      <c r="K5" s="37">
        <v>0.94651010991484408</v>
      </c>
    </row>
    <row r="6" spans="1:14" x14ac:dyDescent="0.25">
      <c r="A6" s="37" t="s">
        <v>10</v>
      </c>
      <c r="B6" s="37" t="s">
        <v>26</v>
      </c>
      <c r="C6" s="9" t="s">
        <v>31</v>
      </c>
      <c r="D6" s="11" t="s">
        <v>12</v>
      </c>
      <c r="E6" s="37">
        <v>2011</v>
      </c>
      <c r="F6" s="44">
        <f t="shared" si="0"/>
        <v>1313.0183547514371</v>
      </c>
      <c r="G6" s="38">
        <v>1313.3563335223967</v>
      </c>
      <c r="H6" s="38">
        <v>1243.1256890570608</v>
      </c>
      <c r="I6" s="38">
        <v>1384.414529239579</v>
      </c>
      <c r="J6" s="1">
        <v>1404</v>
      </c>
      <c r="K6" s="37">
        <v>0.9351982583699695</v>
      </c>
    </row>
    <row r="7" spans="1:14" x14ac:dyDescent="0.25">
      <c r="A7" s="37" t="s">
        <v>10</v>
      </c>
      <c r="B7" s="37" t="s">
        <v>26</v>
      </c>
      <c r="C7" s="9" t="s">
        <v>19</v>
      </c>
      <c r="D7" s="11" t="s">
        <v>12</v>
      </c>
      <c r="E7" s="37">
        <v>2011</v>
      </c>
      <c r="F7" s="44">
        <f t="shared" si="0"/>
        <v>4508.3171539248196</v>
      </c>
      <c r="G7" s="38">
        <v>4508.6250860225991</v>
      </c>
      <c r="H7" s="38">
        <v>4378.2258455919591</v>
      </c>
      <c r="I7" s="38">
        <v>4640.3052643353103</v>
      </c>
      <c r="J7" s="1">
        <v>4812</v>
      </c>
      <c r="K7" s="37">
        <v>0.93689051411571478</v>
      </c>
    </row>
    <row r="8" spans="1:14" x14ac:dyDescent="0.25">
      <c r="A8" s="37" t="s">
        <v>10</v>
      </c>
      <c r="B8" s="37" t="s">
        <v>26</v>
      </c>
      <c r="C8" s="9" t="s">
        <v>20</v>
      </c>
      <c r="D8" s="11" t="s">
        <v>12</v>
      </c>
      <c r="E8" s="37">
        <v>2011</v>
      </c>
      <c r="F8" s="44">
        <f t="shared" si="0"/>
        <v>5217.1637258506207</v>
      </c>
      <c r="G8" s="38">
        <v>5216.4450055161788</v>
      </c>
      <c r="H8" s="38">
        <v>5075.5323915051649</v>
      </c>
      <c r="I8" s="38">
        <v>5360.8963181278141</v>
      </c>
      <c r="J8" s="1">
        <v>5512</v>
      </c>
      <c r="K8" s="37">
        <v>0.94651010991484408</v>
      </c>
    </row>
    <row r="9" spans="1:14" x14ac:dyDescent="0.25">
      <c r="A9" s="37" t="s">
        <v>10</v>
      </c>
      <c r="B9" s="37" t="s">
        <v>26</v>
      </c>
      <c r="C9" s="9" t="s">
        <v>31</v>
      </c>
      <c r="D9" s="37" t="s">
        <v>15</v>
      </c>
      <c r="E9" s="37">
        <v>2011</v>
      </c>
      <c r="F9" s="44">
        <f t="shared" si="0"/>
        <v>661.04141752577323</v>
      </c>
      <c r="G9" s="38">
        <v>660.8991902895923</v>
      </c>
      <c r="H9" s="38">
        <v>611.83626208213332</v>
      </c>
      <c r="I9" s="38">
        <v>712.56276261844334</v>
      </c>
      <c r="J9" s="1">
        <v>699</v>
      </c>
      <c r="K9" s="37">
        <v>0.94569587628865981</v>
      </c>
    </row>
    <row r="10" spans="1:14" x14ac:dyDescent="0.25">
      <c r="A10" s="37" t="s">
        <v>10</v>
      </c>
      <c r="B10" s="37" t="s">
        <v>26</v>
      </c>
      <c r="C10" s="9" t="s">
        <v>19</v>
      </c>
      <c r="D10" s="37" t="s">
        <v>15</v>
      </c>
      <c r="E10" s="37">
        <v>2011</v>
      </c>
      <c r="F10" s="44">
        <f t="shared" si="0"/>
        <v>2728.4703063266456</v>
      </c>
      <c r="G10" s="38">
        <v>2729.0546454181117</v>
      </c>
      <c r="H10" s="38">
        <v>2625.3646925796147</v>
      </c>
      <c r="I10" s="38">
        <v>2831.6650146952475</v>
      </c>
      <c r="J10" s="1">
        <v>2868</v>
      </c>
      <c r="K10" s="37">
        <v>0.95134947919339108</v>
      </c>
    </row>
    <row r="11" spans="1:14" x14ac:dyDescent="0.25">
      <c r="A11" s="37" t="s">
        <v>10</v>
      </c>
      <c r="B11" s="37" t="s">
        <v>26</v>
      </c>
      <c r="C11" s="9" t="s">
        <v>20</v>
      </c>
      <c r="D11" s="37" t="s">
        <v>15</v>
      </c>
      <c r="E11" s="37">
        <v>2011</v>
      </c>
      <c r="F11" s="44">
        <f t="shared" si="0"/>
        <v>2294.9763500090303</v>
      </c>
      <c r="G11" s="38">
        <v>2295.6187579556404</v>
      </c>
      <c r="H11" s="38">
        <v>2201.8461660817065</v>
      </c>
      <c r="I11" s="38">
        <v>2389.2765255341151</v>
      </c>
      <c r="J11" s="1">
        <v>2430</v>
      </c>
      <c r="K11" s="37">
        <v>0.94443471193787254</v>
      </c>
    </row>
    <row r="12" spans="1:14" x14ac:dyDescent="0.25">
      <c r="A12" s="37" t="s">
        <v>10</v>
      </c>
      <c r="B12" s="37" t="s">
        <v>27</v>
      </c>
      <c r="C12" s="9" t="s">
        <v>31</v>
      </c>
      <c r="D12" s="11" t="s">
        <v>11</v>
      </c>
      <c r="E12" s="37">
        <v>2011</v>
      </c>
      <c r="F12" s="44">
        <f t="shared" si="0"/>
        <v>590.11010103145077</v>
      </c>
      <c r="G12" s="38">
        <v>589.99850580574866</v>
      </c>
      <c r="H12" s="38">
        <v>543.43295918373474</v>
      </c>
      <c r="I12" s="38">
        <v>638.06027876811959</v>
      </c>
      <c r="J12" s="1">
        <v>631</v>
      </c>
      <c r="K12" s="37">
        <v>0.9351982583699695</v>
      </c>
    </row>
    <row r="13" spans="1:14" x14ac:dyDescent="0.25">
      <c r="A13" s="37" t="s">
        <v>10</v>
      </c>
      <c r="B13" s="37" t="s">
        <v>27</v>
      </c>
      <c r="C13" s="9" t="s">
        <v>19</v>
      </c>
      <c r="D13" s="11" t="s">
        <v>11</v>
      </c>
      <c r="E13" s="37">
        <v>2011</v>
      </c>
      <c r="F13" s="44">
        <f t="shared" si="0"/>
        <v>932.20606154513621</v>
      </c>
      <c r="G13" s="38">
        <v>932.11095229418515</v>
      </c>
      <c r="H13" s="38">
        <v>873.91242971276142</v>
      </c>
      <c r="I13" s="38">
        <v>993.40709381953991</v>
      </c>
      <c r="J13" s="1">
        <v>995</v>
      </c>
      <c r="K13" s="37">
        <v>0.93689051411571478</v>
      </c>
    </row>
    <row r="14" spans="1:14" x14ac:dyDescent="0.25">
      <c r="A14" s="37" t="s">
        <v>10</v>
      </c>
      <c r="B14" s="37" t="s">
        <v>27</v>
      </c>
      <c r="C14" s="9" t="s">
        <v>20</v>
      </c>
      <c r="D14" s="11" t="s">
        <v>11</v>
      </c>
      <c r="E14" s="37">
        <v>2011</v>
      </c>
      <c r="F14" s="44">
        <f t="shared" si="0"/>
        <v>1034.5355501369245</v>
      </c>
      <c r="G14" s="38">
        <v>1034.6688854865183</v>
      </c>
      <c r="H14" s="38">
        <v>972.03902855320064</v>
      </c>
      <c r="I14" s="38">
        <v>1099.6362386090975</v>
      </c>
      <c r="J14" s="1">
        <v>1093</v>
      </c>
      <c r="K14" s="37">
        <v>0.94651010991484408</v>
      </c>
    </row>
    <row r="15" spans="1:14" x14ac:dyDescent="0.25">
      <c r="A15" s="37" t="s">
        <v>10</v>
      </c>
      <c r="B15" s="37" t="s">
        <v>28</v>
      </c>
      <c r="C15" s="37" t="s">
        <v>31</v>
      </c>
      <c r="D15" s="37" t="s">
        <v>12</v>
      </c>
      <c r="E15" s="37">
        <v>2011</v>
      </c>
      <c r="F15" s="44">
        <f t="shared" si="0"/>
        <v>3843.6648419005746</v>
      </c>
      <c r="G15" s="38">
        <v>3843.6496820657417</v>
      </c>
      <c r="H15" s="38">
        <v>3722.6979819285557</v>
      </c>
      <c r="I15" s="38">
        <v>3965.0218617310002</v>
      </c>
      <c r="J15" s="1">
        <v>4110</v>
      </c>
      <c r="K15" s="37">
        <v>0.9351982583699695</v>
      </c>
    </row>
    <row r="16" spans="1:14" x14ac:dyDescent="0.25">
      <c r="A16" s="37" t="s">
        <v>10</v>
      </c>
      <c r="B16" s="37" t="s">
        <v>28</v>
      </c>
      <c r="C16" s="37" t="s">
        <v>19</v>
      </c>
      <c r="D16" s="37" t="s">
        <v>12</v>
      </c>
      <c r="E16" s="37">
        <v>2011</v>
      </c>
      <c r="F16" s="44">
        <f t="shared" si="0"/>
        <v>12874.749444978152</v>
      </c>
      <c r="G16" s="38">
        <v>12875.297670199139</v>
      </c>
      <c r="H16" s="38">
        <v>12654.298043690902</v>
      </c>
      <c r="I16" s="38">
        <v>13094.033850603082</v>
      </c>
      <c r="J16" s="1">
        <v>13742</v>
      </c>
      <c r="K16" s="37">
        <v>0.93689051411571478</v>
      </c>
    </row>
    <row r="17" spans="1:15" x14ac:dyDescent="0.25">
      <c r="A17" s="37" t="s">
        <v>10</v>
      </c>
      <c r="B17" s="37" t="s">
        <v>28</v>
      </c>
      <c r="C17" s="37" t="s">
        <v>20</v>
      </c>
      <c r="D17" s="37" t="s">
        <v>12</v>
      </c>
      <c r="E17" s="37">
        <v>2011</v>
      </c>
      <c r="F17" s="44">
        <f t="shared" si="0"/>
        <v>7741.5061889935096</v>
      </c>
      <c r="G17" s="38">
        <v>7741.8273633176022</v>
      </c>
      <c r="H17" s="38">
        <v>7566.9975309088195</v>
      </c>
      <c r="I17" s="38">
        <v>7914.2218370135333</v>
      </c>
      <c r="J17" s="1">
        <v>8179</v>
      </c>
      <c r="K17" s="37">
        <v>0.94651010991484408</v>
      </c>
    </row>
    <row r="18" spans="1:15" x14ac:dyDescent="0.25">
      <c r="A18" s="37" t="s">
        <v>10</v>
      </c>
      <c r="B18" s="37" t="s">
        <v>28</v>
      </c>
      <c r="C18" s="37" t="s">
        <v>31</v>
      </c>
      <c r="D18" s="37" t="s">
        <v>15</v>
      </c>
      <c r="E18" s="37">
        <v>2011</v>
      </c>
      <c r="F18" s="44">
        <f t="shared" si="0"/>
        <v>2156.1865979381446</v>
      </c>
      <c r="G18" s="38">
        <v>2156.4201110397753</v>
      </c>
      <c r="H18" s="38">
        <v>2065.7766505120958</v>
      </c>
      <c r="I18" s="38">
        <v>2250.1226970661251</v>
      </c>
      <c r="J18" s="1">
        <v>2280</v>
      </c>
      <c r="K18" s="37">
        <v>0.94569587628865981</v>
      </c>
    </row>
    <row r="19" spans="1:15" x14ac:dyDescent="0.25">
      <c r="A19" s="37" t="s">
        <v>10</v>
      </c>
      <c r="B19" s="37" t="s">
        <v>28</v>
      </c>
      <c r="C19" s="37" t="s">
        <v>19</v>
      </c>
      <c r="D19" s="37" t="s">
        <v>15</v>
      </c>
      <c r="E19" s="37">
        <v>2011</v>
      </c>
      <c r="F19" s="44">
        <f t="shared" si="0"/>
        <v>15737.223084817075</v>
      </c>
      <c r="G19" s="38">
        <v>15737.149814099124</v>
      </c>
      <c r="H19" s="38">
        <v>15485.803370631573</v>
      </c>
      <c r="I19" s="38">
        <v>15982.862890939092</v>
      </c>
      <c r="J19" s="1">
        <v>16542</v>
      </c>
      <c r="K19" s="37">
        <v>0.95134947919339108</v>
      </c>
    </row>
    <row r="20" spans="1:15" ht="15.75" thickBot="1" x14ac:dyDescent="0.3">
      <c r="A20" s="6" t="s">
        <v>10</v>
      </c>
      <c r="B20" s="6" t="s">
        <v>28</v>
      </c>
      <c r="C20" s="6" t="s">
        <v>20</v>
      </c>
      <c r="D20" s="6" t="s">
        <v>15</v>
      </c>
      <c r="E20" s="6">
        <v>2011</v>
      </c>
      <c r="F20" s="45">
        <f t="shared" si="0"/>
        <v>8112.6941755463249</v>
      </c>
      <c r="G20" s="65">
        <v>8113.2415875886363</v>
      </c>
      <c r="H20" s="65">
        <v>7939.792834146403</v>
      </c>
      <c r="I20" s="65">
        <v>8288.745526506611</v>
      </c>
      <c r="J20" s="42">
        <v>8590</v>
      </c>
      <c r="K20" s="6">
        <v>0.94443471193787254</v>
      </c>
      <c r="L20" s="6"/>
      <c r="M20" s="6"/>
      <c r="N20" s="6"/>
    </row>
    <row r="21" spans="1:15" x14ac:dyDescent="0.25">
      <c r="A21" s="9" t="s">
        <v>10</v>
      </c>
      <c r="B21" s="9" t="s">
        <v>11</v>
      </c>
      <c r="C21" s="9" t="s">
        <v>11</v>
      </c>
      <c r="D21" s="9" t="s">
        <v>11</v>
      </c>
      <c r="E21" s="9">
        <v>2012</v>
      </c>
      <c r="F21" s="44">
        <f>SUM(F22:F39)</f>
        <v>109637.51061812496</v>
      </c>
      <c r="G21" s="38">
        <v>109635.96400000001</v>
      </c>
      <c r="H21" s="38">
        <v>108981.97499999999</v>
      </c>
      <c r="I21" s="38">
        <v>110294</v>
      </c>
      <c r="J21" s="24"/>
      <c r="K21" s="9"/>
      <c r="L21" s="9"/>
      <c r="M21" s="9"/>
      <c r="N21" s="9"/>
    </row>
    <row r="22" spans="1:15" x14ac:dyDescent="0.25">
      <c r="A22" s="9" t="s">
        <v>10</v>
      </c>
      <c r="B22" s="9" t="s">
        <v>24</v>
      </c>
      <c r="C22" s="9" t="s">
        <v>31</v>
      </c>
      <c r="D22" s="9" t="s">
        <v>11</v>
      </c>
      <c r="E22" s="9">
        <v>2012</v>
      </c>
      <c r="F22" s="44">
        <f t="shared" si="0"/>
        <v>16346.912407461021</v>
      </c>
      <c r="G22" s="38">
        <v>16347.815609779283</v>
      </c>
      <c r="H22" s="38">
        <v>16101.556584818225</v>
      </c>
      <c r="I22" s="38">
        <v>16595.295323431325</v>
      </c>
      <c r="J22" s="24">
        <v>17614</v>
      </c>
      <c r="K22" s="9">
        <v>0.92806360891682871</v>
      </c>
      <c r="L22" s="9"/>
      <c r="M22" s="9"/>
      <c r="O22" s="9"/>
    </row>
    <row r="23" spans="1:15" x14ac:dyDescent="0.25">
      <c r="A23" s="9" t="s">
        <v>10</v>
      </c>
      <c r="B23" s="9" t="s">
        <v>24</v>
      </c>
      <c r="C23" s="9" t="s">
        <v>19</v>
      </c>
      <c r="D23" s="9" t="s">
        <v>11</v>
      </c>
      <c r="E23" s="9">
        <v>2012</v>
      </c>
      <c r="F23" s="44">
        <f t="shared" si="0"/>
        <v>12232.591112878557</v>
      </c>
      <c r="G23" s="38">
        <v>12230.776525781121</v>
      </c>
      <c r="H23" s="38">
        <v>12011.739753134854</v>
      </c>
      <c r="I23" s="38">
        <v>12446.308819770999</v>
      </c>
      <c r="J23" s="24">
        <v>13148</v>
      </c>
      <c r="K23" s="9">
        <v>0.93037656775772415</v>
      </c>
      <c r="L23" s="9"/>
      <c r="M23" s="9"/>
      <c r="O23" s="9"/>
    </row>
    <row r="24" spans="1:15" x14ac:dyDescent="0.25">
      <c r="A24" s="9" t="s">
        <v>10</v>
      </c>
      <c r="B24" s="9" t="s">
        <v>24</v>
      </c>
      <c r="C24" s="9" t="s">
        <v>20</v>
      </c>
      <c r="D24" s="9" t="s">
        <v>11</v>
      </c>
      <c r="E24" s="9">
        <v>2012</v>
      </c>
      <c r="F24" s="44">
        <f t="shared" si="0"/>
        <v>11694.864261426363</v>
      </c>
      <c r="G24" s="38">
        <v>11694.973255134861</v>
      </c>
      <c r="H24" s="38">
        <v>11482.960697719927</v>
      </c>
      <c r="I24" s="38">
        <v>11906.08632974088</v>
      </c>
      <c r="J24" s="24">
        <v>12423</v>
      </c>
      <c r="K24" s="9">
        <v>0.94138809155810699</v>
      </c>
      <c r="L24" s="9"/>
      <c r="M24" s="9"/>
      <c r="O24" s="9"/>
    </row>
    <row r="25" spans="1:15" x14ac:dyDescent="0.25">
      <c r="A25" s="9" t="s">
        <v>10</v>
      </c>
      <c r="B25" s="9" t="s">
        <v>26</v>
      </c>
      <c r="C25" s="9" t="s">
        <v>31</v>
      </c>
      <c r="D25" s="9" t="s">
        <v>12</v>
      </c>
      <c r="E25" s="9">
        <v>2012</v>
      </c>
      <c r="F25" s="44">
        <f t="shared" si="0"/>
        <v>1274.2313350428058</v>
      </c>
      <c r="G25" s="38">
        <v>1274.3148580693876</v>
      </c>
      <c r="H25" s="38">
        <v>1205.1815795620807</v>
      </c>
      <c r="I25" s="38">
        <v>1344.5889287667358</v>
      </c>
      <c r="J25" s="24">
        <v>1373</v>
      </c>
      <c r="K25" s="9">
        <v>0.92806360891682871</v>
      </c>
      <c r="L25" s="9"/>
      <c r="M25" s="9"/>
      <c r="O25" s="9"/>
    </row>
    <row r="26" spans="1:15" x14ac:dyDescent="0.25">
      <c r="A26" s="9" t="s">
        <v>10</v>
      </c>
      <c r="B26" s="9" t="s">
        <v>26</v>
      </c>
      <c r="C26" s="9" t="s">
        <v>19</v>
      </c>
      <c r="D26" s="9" t="s">
        <v>12</v>
      </c>
      <c r="E26" s="9">
        <v>2012</v>
      </c>
      <c r="F26" s="44">
        <f t="shared" si="0"/>
        <v>4342.0674417252985</v>
      </c>
      <c r="G26" s="38">
        <v>4341.0398056427412</v>
      </c>
      <c r="H26" s="38">
        <v>4212.6097243246595</v>
      </c>
      <c r="I26" s="38">
        <v>4473.3541467491814</v>
      </c>
      <c r="J26" s="24">
        <v>4667</v>
      </c>
      <c r="K26" s="9">
        <v>0.93037656775772415</v>
      </c>
      <c r="L26" s="9"/>
      <c r="M26" s="9"/>
      <c r="O26" s="9"/>
    </row>
    <row r="27" spans="1:15" x14ac:dyDescent="0.25">
      <c r="A27" s="9" t="s">
        <v>10</v>
      </c>
      <c r="B27" s="9" t="s">
        <v>26</v>
      </c>
      <c r="C27" s="9" t="s">
        <v>20</v>
      </c>
      <c r="D27" s="9" t="s">
        <v>12</v>
      </c>
      <c r="E27" s="9">
        <v>2012</v>
      </c>
      <c r="F27" s="44">
        <f t="shared" si="0"/>
        <v>5038.3090660189882</v>
      </c>
      <c r="G27" s="38">
        <v>5039.3927504463991</v>
      </c>
      <c r="H27" s="38">
        <v>4898.0608817445864</v>
      </c>
      <c r="I27" s="38">
        <v>5181.3009876463047</v>
      </c>
      <c r="J27" s="3">
        <v>5352</v>
      </c>
      <c r="K27" s="9">
        <v>0.94138809155810699</v>
      </c>
      <c r="L27" s="9"/>
      <c r="M27" s="9"/>
      <c r="O27" s="9"/>
    </row>
    <row r="28" spans="1:15" x14ac:dyDescent="0.25">
      <c r="A28" s="9" t="s">
        <v>10</v>
      </c>
      <c r="B28" s="9" t="s">
        <v>26</v>
      </c>
      <c r="C28" s="9" t="s">
        <v>31</v>
      </c>
      <c r="D28" s="9" t="s">
        <v>15</v>
      </c>
      <c r="E28" s="9">
        <v>2012</v>
      </c>
      <c r="F28" s="44">
        <f t="shared" si="0"/>
        <v>638.7793062659847</v>
      </c>
      <c r="G28" s="38">
        <v>638.52817410932482</v>
      </c>
      <c r="H28" s="38">
        <v>590.39861277609282</v>
      </c>
      <c r="I28" s="38">
        <v>689.32712522056386</v>
      </c>
      <c r="J28" s="24">
        <v>681</v>
      </c>
      <c r="K28" s="9">
        <v>0.93800191815856782</v>
      </c>
      <c r="L28" s="9"/>
      <c r="M28" s="9"/>
      <c r="O28" s="9"/>
    </row>
    <row r="29" spans="1:15" x14ac:dyDescent="0.25">
      <c r="A29" s="9" t="s">
        <v>10</v>
      </c>
      <c r="B29" s="9" t="s">
        <v>26</v>
      </c>
      <c r="C29" s="9" t="s">
        <v>19</v>
      </c>
      <c r="D29" s="9" t="s">
        <v>15</v>
      </c>
      <c r="E29" s="9">
        <v>2012</v>
      </c>
      <c r="F29" s="44">
        <f t="shared" si="0"/>
        <v>2629.2731094235769</v>
      </c>
      <c r="G29" s="38">
        <v>2628.9404771177924</v>
      </c>
      <c r="H29" s="38">
        <v>2530.293252948491</v>
      </c>
      <c r="I29" s="38">
        <v>2730.7580769929455</v>
      </c>
      <c r="J29" s="24">
        <v>2784</v>
      </c>
      <c r="K29" s="9">
        <v>0.94442281229295144</v>
      </c>
      <c r="L29" s="9"/>
      <c r="M29" s="9"/>
      <c r="O29" s="9"/>
    </row>
    <row r="30" spans="1:15" x14ac:dyDescent="0.25">
      <c r="A30" s="9" t="s">
        <v>10</v>
      </c>
      <c r="B30" s="9" t="s">
        <v>26</v>
      </c>
      <c r="C30" s="9" t="s">
        <v>20</v>
      </c>
      <c r="D30" s="9" t="s">
        <v>15</v>
      </c>
      <c r="E30" s="9">
        <v>2012</v>
      </c>
      <c r="F30" s="44">
        <f t="shared" si="0"/>
        <v>2217.273281066955</v>
      </c>
      <c r="G30" s="38">
        <v>2217.0267869772965</v>
      </c>
      <c r="H30" s="38">
        <v>2126.3020070125431</v>
      </c>
      <c r="I30" s="38">
        <v>2309.0173799770769</v>
      </c>
      <c r="J30" s="3">
        <v>2365</v>
      </c>
      <c r="K30" s="9">
        <v>0.93753627106425164</v>
      </c>
      <c r="L30" s="9"/>
      <c r="M30" s="9"/>
      <c r="O30" s="9"/>
    </row>
    <row r="31" spans="1:15" x14ac:dyDescent="0.25">
      <c r="A31" s="9" t="s">
        <v>10</v>
      </c>
      <c r="B31" s="9" t="s">
        <v>27</v>
      </c>
      <c r="C31" s="9" t="s">
        <v>31</v>
      </c>
      <c r="D31" s="9" t="s">
        <v>11</v>
      </c>
      <c r="E31" s="9">
        <v>2012</v>
      </c>
      <c r="F31" s="44">
        <f t="shared" si="0"/>
        <v>591.1765188800199</v>
      </c>
      <c r="G31" s="38">
        <v>591.21803300643217</v>
      </c>
      <c r="H31" s="38">
        <v>544.54386545196962</v>
      </c>
      <c r="I31" s="38">
        <v>640.08075954975038</v>
      </c>
      <c r="J31" s="24">
        <v>637</v>
      </c>
      <c r="K31" s="9">
        <v>0.92806360891682871</v>
      </c>
      <c r="L31" s="9"/>
      <c r="M31" s="9"/>
      <c r="O31" s="9"/>
    </row>
    <row r="32" spans="1:15" x14ac:dyDescent="0.25">
      <c r="A32" s="9" t="s">
        <v>10</v>
      </c>
      <c r="B32" s="9" t="s">
        <v>27</v>
      </c>
      <c r="C32" s="9" t="s">
        <v>19</v>
      </c>
      <c r="D32" s="9" t="s">
        <v>11</v>
      </c>
      <c r="E32" s="9">
        <v>2012</v>
      </c>
      <c r="F32" s="44">
        <f t="shared" si="0"/>
        <v>908.04753013153879</v>
      </c>
      <c r="G32" s="38">
        <v>908.50793484084079</v>
      </c>
      <c r="H32" s="38">
        <v>850.69257224945397</v>
      </c>
      <c r="I32" s="38">
        <v>968.3459034095531</v>
      </c>
      <c r="J32" s="24">
        <v>976</v>
      </c>
      <c r="K32" s="9">
        <v>0.93037656775772415</v>
      </c>
      <c r="L32" s="9"/>
      <c r="M32" s="9"/>
      <c r="O32" s="9"/>
    </row>
    <row r="33" spans="1:15" x14ac:dyDescent="0.25">
      <c r="A33" s="9" t="s">
        <v>10</v>
      </c>
      <c r="B33" s="9" t="s">
        <v>27</v>
      </c>
      <c r="C33" s="9" t="s">
        <v>20</v>
      </c>
      <c r="D33" s="9" t="s">
        <v>11</v>
      </c>
      <c r="E33" s="9">
        <v>2012</v>
      </c>
      <c r="F33" s="44">
        <f t="shared" si="0"/>
        <v>1028.9371840730109</v>
      </c>
      <c r="G33" s="38">
        <v>1029.0369355885941</v>
      </c>
      <c r="H33" s="38">
        <v>967.31933662676977</v>
      </c>
      <c r="I33" s="38">
        <v>1092.554850595106</v>
      </c>
      <c r="J33" s="3">
        <v>1093</v>
      </c>
      <c r="K33" s="9">
        <v>0.94138809155810699</v>
      </c>
      <c r="L33" s="9"/>
      <c r="M33" s="9"/>
      <c r="O33" s="9"/>
    </row>
    <row r="34" spans="1:15" x14ac:dyDescent="0.25">
      <c r="A34" s="9" t="s">
        <v>10</v>
      </c>
      <c r="B34" s="9" t="s">
        <v>28</v>
      </c>
      <c r="C34" s="9" t="s">
        <v>31</v>
      </c>
      <c r="D34" s="9" t="s">
        <v>12</v>
      </c>
      <c r="E34" s="9">
        <v>2012</v>
      </c>
      <c r="F34" s="44">
        <f t="shared" si="0"/>
        <v>3861.672676702924</v>
      </c>
      <c r="G34" s="38">
        <v>3860.4067362710148</v>
      </c>
      <c r="H34" s="38">
        <v>3739.7883485776179</v>
      </c>
      <c r="I34" s="38">
        <v>3982.1301803613146</v>
      </c>
      <c r="J34" s="24">
        <v>4161</v>
      </c>
      <c r="K34" s="9">
        <v>0.92806360891682871</v>
      </c>
      <c r="L34" s="9"/>
      <c r="M34" s="9"/>
      <c r="O34" s="9"/>
    </row>
    <row r="35" spans="1:15" x14ac:dyDescent="0.25">
      <c r="A35" s="9" t="s">
        <v>10</v>
      </c>
      <c r="B35" s="9" t="s">
        <v>28</v>
      </c>
      <c r="C35" s="9" t="s">
        <v>19</v>
      </c>
      <c r="D35" s="9" t="s">
        <v>12</v>
      </c>
      <c r="E35" s="9">
        <v>2012</v>
      </c>
      <c r="F35" s="44">
        <f t="shared" si="0"/>
        <v>12874.550944631386</v>
      </c>
      <c r="G35" s="38">
        <v>12873.362884944412</v>
      </c>
      <c r="H35" s="38">
        <v>12648.834694227209</v>
      </c>
      <c r="I35" s="38">
        <v>13098.058582826796</v>
      </c>
      <c r="J35" s="24">
        <v>13838</v>
      </c>
      <c r="K35" s="9">
        <v>0.93037656775772415</v>
      </c>
      <c r="L35" s="9"/>
      <c r="M35" s="9"/>
      <c r="O35" s="9"/>
    </row>
    <row r="36" spans="1:15" x14ac:dyDescent="0.25">
      <c r="A36" s="9" t="s">
        <v>10</v>
      </c>
      <c r="B36" s="9" t="s">
        <v>28</v>
      </c>
      <c r="C36" s="9" t="s">
        <v>20</v>
      </c>
      <c r="D36" s="9" t="s">
        <v>12</v>
      </c>
      <c r="E36" s="9">
        <v>2012</v>
      </c>
      <c r="F36" s="44">
        <f t="shared" si="0"/>
        <v>7792.8106219180099</v>
      </c>
      <c r="G36" s="38">
        <v>7794.6417801212374</v>
      </c>
      <c r="H36" s="38">
        <v>7625.7202474336646</v>
      </c>
      <c r="I36" s="38">
        <v>7970.3912048549601</v>
      </c>
      <c r="J36" s="24">
        <v>8278</v>
      </c>
      <c r="K36" s="9">
        <v>0.94138809155810699</v>
      </c>
      <c r="L36" s="9"/>
      <c r="M36" s="9"/>
      <c r="O36" s="9"/>
    </row>
    <row r="37" spans="1:15" x14ac:dyDescent="0.25">
      <c r="A37" s="9" t="s">
        <v>10</v>
      </c>
      <c r="B37" s="9" t="s">
        <v>28</v>
      </c>
      <c r="C37" s="9" t="s">
        <v>31</v>
      </c>
      <c r="D37" s="9" t="s">
        <v>15</v>
      </c>
      <c r="E37" s="9">
        <v>2012</v>
      </c>
      <c r="F37" s="44">
        <f t="shared" si="0"/>
        <v>2178.0404539641945</v>
      </c>
      <c r="G37" s="38">
        <v>2178.6783965392715</v>
      </c>
      <c r="H37" s="38">
        <v>2088.1910533273826</v>
      </c>
      <c r="I37" s="38">
        <v>2270.4798338538394</v>
      </c>
      <c r="J37" s="24">
        <v>2322</v>
      </c>
      <c r="K37" s="9">
        <v>0.93800191815856782</v>
      </c>
      <c r="L37" s="9"/>
      <c r="M37" s="9"/>
      <c r="O37" s="9"/>
    </row>
    <row r="38" spans="1:15" x14ac:dyDescent="0.25">
      <c r="A38" s="9" t="s">
        <v>10</v>
      </c>
      <c r="B38" s="9" t="s">
        <v>28</v>
      </c>
      <c r="C38" s="9" t="s">
        <v>19</v>
      </c>
      <c r="D38" s="9" t="s">
        <v>15</v>
      </c>
      <c r="E38" s="9">
        <v>2012</v>
      </c>
      <c r="F38" s="44">
        <f t="shared" si="0"/>
        <v>15837.970562152796</v>
      </c>
      <c r="G38" s="38">
        <v>15837.835498000455</v>
      </c>
      <c r="H38" s="38">
        <v>15586.772025982777</v>
      </c>
      <c r="I38" s="38">
        <v>16085.133364455241</v>
      </c>
      <c r="J38" s="24">
        <v>16770</v>
      </c>
      <c r="K38" s="9">
        <v>0.94442281229295144</v>
      </c>
      <c r="L38" s="9"/>
      <c r="M38" s="9"/>
      <c r="O38" s="9"/>
    </row>
    <row r="39" spans="1:15" x14ac:dyDescent="0.25">
      <c r="A39" s="9" t="s">
        <v>10</v>
      </c>
      <c r="B39" s="9" t="s">
        <v>28</v>
      </c>
      <c r="C39" s="9" t="s">
        <v>20</v>
      </c>
      <c r="D39" s="9" t="s">
        <v>15</v>
      </c>
      <c r="E39" s="9">
        <v>2012</v>
      </c>
      <c r="F39" s="44">
        <f t="shared" si="0"/>
        <v>8150.0028043615393</v>
      </c>
      <c r="G39" s="38">
        <v>8149.4675576295349</v>
      </c>
      <c r="H39" s="38">
        <v>7974.8633199922142</v>
      </c>
      <c r="I39" s="38">
        <v>8325.9283874588582</v>
      </c>
      <c r="J39" s="24">
        <v>8693</v>
      </c>
      <c r="K39" s="9">
        <v>0.93753627106425164</v>
      </c>
      <c r="L39" s="9"/>
      <c r="M39" s="9"/>
      <c r="O39" s="9"/>
    </row>
    <row r="40" spans="1:15" x14ac:dyDescent="0.25">
      <c r="A40" s="9" t="s">
        <v>21</v>
      </c>
      <c r="B40" s="9" t="s">
        <v>24</v>
      </c>
      <c r="C40" s="9" t="s">
        <v>11</v>
      </c>
      <c r="D40" s="9" t="s">
        <v>11</v>
      </c>
      <c r="E40" s="9">
        <v>2012</v>
      </c>
      <c r="F40" s="44">
        <f>SUM(F41:F43)</f>
        <v>1666.3543670326897</v>
      </c>
      <c r="G40" s="38"/>
      <c r="H40" s="38"/>
      <c r="I40" s="38"/>
      <c r="J40" s="3"/>
      <c r="K40" s="9"/>
      <c r="L40" s="9"/>
      <c r="M40" s="9"/>
      <c r="O40" s="9"/>
    </row>
    <row r="41" spans="1:15" x14ac:dyDescent="0.25">
      <c r="A41" s="9" t="s">
        <v>21</v>
      </c>
      <c r="B41" s="9" t="s">
        <v>24</v>
      </c>
      <c r="C41" s="9" t="s">
        <v>31</v>
      </c>
      <c r="D41" s="9" t="s">
        <v>11</v>
      </c>
      <c r="E41" s="9">
        <v>2012</v>
      </c>
      <c r="F41" s="44">
        <f t="shared" si="0"/>
        <v>533.56894736842105</v>
      </c>
      <c r="G41" s="38">
        <v>533.46688057512256</v>
      </c>
      <c r="H41" s="38">
        <v>490.02966347096105</v>
      </c>
      <c r="I41" s="38">
        <v>579.6477975166116</v>
      </c>
      <c r="J41" s="24">
        <v>543</v>
      </c>
      <c r="K41" s="9">
        <v>0.98263157894736841</v>
      </c>
      <c r="L41" s="9"/>
      <c r="M41" s="9"/>
      <c r="O41" s="9"/>
    </row>
    <row r="42" spans="1:15" x14ac:dyDescent="0.25">
      <c r="A42" s="9" t="s">
        <v>21</v>
      </c>
      <c r="B42" s="9" t="s">
        <v>24</v>
      </c>
      <c r="C42" s="9" t="s">
        <v>19</v>
      </c>
      <c r="D42" s="9" t="s">
        <v>11</v>
      </c>
      <c r="E42" s="9">
        <v>2012</v>
      </c>
      <c r="F42" s="44">
        <f t="shared" si="0"/>
        <v>546.93333333333339</v>
      </c>
      <c r="G42" s="38">
        <v>546.91133485027137</v>
      </c>
      <c r="H42" s="38">
        <v>502.52483894501728</v>
      </c>
      <c r="I42" s="38">
        <v>593.6984005291622</v>
      </c>
      <c r="J42" s="24">
        <v>560</v>
      </c>
      <c r="K42" s="9">
        <v>0.97666666666666668</v>
      </c>
      <c r="L42" s="9"/>
      <c r="M42" s="9"/>
      <c r="N42" s="8"/>
      <c r="O42" s="9"/>
    </row>
    <row r="43" spans="1:15" x14ac:dyDescent="0.25">
      <c r="A43" s="9" t="s">
        <v>21</v>
      </c>
      <c r="B43" s="9" t="s">
        <v>24</v>
      </c>
      <c r="C43" s="9" t="s">
        <v>20</v>
      </c>
      <c r="D43" s="9" t="s">
        <v>11</v>
      </c>
      <c r="E43" s="9">
        <v>2012</v>
      </c>
      <c r="F43" s="44">
        <f t="shared" si="0"/>
        <v>585.85208633093521</v>
      </c>
      <c r="G43" s="38">
        <v>585.82802377867449</v>
      </c>
      <c r="H43" s="38">
        <v>539.80269018799163</v>
      </c>
      <c r="I43" s="38">
        <v>634.80994570254654</v>
      </c>
      <c r="J43" s="24">
        <v>594</v>
      </c>
      <c r="K43" s="9">
        <v>0.98628297362110307</v>
      </c>
      <c r="L43" s="9"/>
      <c r="M43" s="9"/>
      <c r="O43" s="9"/>
    </row>
    <row r="44" spans="1:15" x14ac:dyDescent="0.25">
      <c r="A44" s="9" t="s">
        <v>21</v>
      </c>
      <c r="B44" s="9" t="s">
        <v>26</v>
      </c>
      <c r="C44" s="9" t="s">
        <v>31</v>
      </c>
      <c r="D44" s="9" t="s">
        <v>12</v>
      </c>
      <c r="E44" s="9">
        <v>2012</v>
      </c>
      <c r="F44" s="44">
        <f t="shared" si="0"/>
        <v>11.791578947368421</v>
      </c>
      <c r="G44" s="38">
        <v>11.883639818486001</v>
      </c>
      <c r="H44" s="38">
        <v>6.1003588902361932</v>
      </c>
      <c r="I44" s="38">
        <v>19.61577731865826</v>
      </c>
      <c r="J44" s="24">
        <v>12</v>
      </c>
      <c r="K44" s="9">
        <v>0.98263157894736841</v>
      </c>
      <c r="L44" s="9"/>
      <c r="M44" s="9"/>
      <c r="O44" s="9"/>
    </row>
    <row r="45" spans="1:15" x14ac:dyDescent="0.25">
      <c r="A45" s="9" t="s">
        <v>21</v>
      </c>
      <c r="B45" s="9" t="s">
        <v>26</v>
      </c>
      <c r="C45" s="9" t="s">
        <v>19</v>
      </c>
      <c r="D45" s="9" t="s">
        <v>12</v>
      </c>
      <c r="E45" s="9">
        <v>2012</v>
      </c>
      <c r="F45" s="44">
        <f t="shared" si="0"/>
        <v>24.416666666666668</v>
      </c>
      <c r="G45" s="38">
        <v>24.465685675168519</v>
      </c>
      <c r="H45" s="38">
        <v>15.976799104641421</v>
      </c>
      <c r="I45" s="38">
        <v>34.944026696447267</v>
      </c>
      <c r="J45" s="24">
        <v>25</v>
      </c>
      <c r="K45" s="9">
        <v>0.97666666666666668</v>
      </c>
      <c r="L45" s="9"/>
      <c r="M45" s="9"/>
      <c r="O45" s="9"/>
    </row>
    <row r="46" spans="1:15" x14ac:dyDescent="0.25">
      <c r="A46" s="9" t="s">
        <v>21</v>
      </c>
      <c r="B46" s="9" t="s">
        <v>26</v>
      </c>
      <c r="C46" s="9" t="s">
        <v>20</v>
      </c>
      <c r="D46" s="9" t="s">
        <v>12</v>
      </c>
      <c r="E46" s="9">
        <v>2012</v>
      </c>
      <c r="F46" s="44">
        <f t="shared" si="0"/>
        <v>22.68450839328537</v>
      </c>
      <c r="G46" s="38">
        <v>22.741415623213744</v>
      </c>
      <c r="H46" s="38">
        <v>14.311090125841787</v>
      </c>
      <c r="I46" s="38">
        <v>32.924822018556853</v>
      </c>
      <c r="J46" s="24">
        <v>23</v>
      </c>
      <c r="K46" s="9">
        <v>0.98628297362110307</v>
      </c>
      <c r="L46" s="9"/>
      <c r="M46" s="9"/>
      <c r="O46" s="9"/>
    </row>
    <row r="47" spans="1:15" x14ac:dyDescent="0.25">
      <c r="A47" s="9" t="s">
        <v>21</v>
      </c>
      <c r="B47" s="9" t="s">
        <v>26</v>
      </c>
      <c r="C47" s="9" t="s">
        <v>31</v>
      </c>
      <c r="D47" s="9" t="s">
        <v>15</v>
      </c>
      <c r="E47" s="9">
        <v>2012</v>
      </c>
      <c r="F47" s="44">
        <f t="shared" si="0"/>
        <v>1.9148387096774193</v>
      </c>
      <c r="G47" s="38">
        <v>1.8914006938868058</v>
      </c>
      <c r="H47" s="38">
        <v>0.22039552570608106</v>
      </c>
      <c r="I47" s="38">
        <v>5.2752953093350659</v>
      </c>
      <c r="J47" s="24">
        <v>2</v>
      </c>
      <c r="K47" s="9">
        <v>0.95741935483870966</v>
      </c>
      <c r="L47" s="9"/>
      <c r="M47" s="9"/>
      <c r="O47" s="9"/>
    </row>
    <row r="48" spans="1:15" x14ac:dyDescent="0.25">
      <c r="A48" s="9" t="s">
        <v>21</v>
      </c>
      <c r="B48" s="9" t="s">
        <v>26</v>
      </c>
      <c r="C48" s="9" t="s">
        <v>19</v>
      </c>
      <c r="D48" s="9" t="s">
        <v>15</v>
      </c>
      <c r="E48" s="9">
        <v>2012</v>
      </c>
      <c r="F48" s="44">
        <f t="shared" si="0"/>
        <v>11.621052631578948</v>
      </c>
      <c r="G48" s="38">
        <v>11.626401816408922</v>
      </c>
      <c r="H48" s="38">
        <v>5.9170283993869228</v>
      </c>
      <c r="I48" s="38">
        <v>19.149524536716413</v>
      </c>
      <c r="J48" s="24">
        <v>12</v>
      </c>
      <c r="K48" s="9">
        <v>0.96842105263157896</v>
      </c>
      <c r="L48" s="9"/>
      <c r="M48" s="9"/>
      <c r="O48" s="9"/>
    </row>
    <row r="49" spans="1:15" x14ac:dyDescent="0.25">
      <c r="A49" s="9" t="s">
        <v>21</v>
      </c>
      <c r="B49" s="9" t="s">
        <v>26</v>
      </c>
      <c r="C49" s="9" t="s">
        <v>20</v>
      </c>
      <c r="D49" s="9" t="s">
        <v>15</v>
      </c>
      <c r="E49" s="9">
        <v>2012</v>
      </c>
      <c r="F49" s="44">
        <f t="shared" si="0"/>
        <v>10.617894736842105</v>
      </c>
      <c r="G49" s="38">
        <v>10.589615947357983</v>
      </c>
      <c r="H49" s="38">
        <v>5.201778066659771</v>
      </c>
      <c r="I49" s="38">
        <v>17.885914615934556</v>
      </c>
      <c r="J49" s="24">
        <v>11</v>
      </c>
      <c r="K49" s="9">
        <v>0.96526315789473682</v>
      </c>
      <c r="L49" s="9"/>
      <c r="M49" s="9"/>
      <c r="O49" s="9"/>
    </row>
    <row r="50" spans="1:15" x14ac:dyDescent="0.25">
      <c r="A50" s="9" t="s">
        <v>21</v>
      </c>
      <c r="B50" s="9" t="s">
        <v>27</v>
      </c>
      <c r="C50" s="9" t="s">
        <v>31</v>
      </c>
      <c r="D50" s="9" t="s">
        <v>11</v>
      </c>
      <c r="E50" s="9">
        <v>2012</v>
      </c>
      <c r="F50" s="44">
        <f t="shared" si="0"/>
        <v>16.704736842105262</v>
      </c>
      <c r="G50" s="38">
        <v>16.682742074529685</v>
      </c>
      <c r="H50" s="38">
        <v>9.6558678982255746</v>
      </c>
      <c r="I50" s="38">
        <v>25.325349263664219</v>
      </c>
      <c r="J50" s="24">
        <v>17</v>
      </c>
      <c r="K50" s="9">
        <v>0.98263157894736841</v>
      </c>
      <c r="L50" s="9"/>
      <c r="M50" s="9"/>
      <c r="O50" s="9"/>
    </row>
    <row r="51" spans="1:15" x14ac:dyDescent="0.25">
      <c r="A51" s="9" t="s">
        <v>21</v>
      </c>
      <c r="B51" s="9" t="s">
        <v>27</v>
      </c>
      <c r="C51" s="9" t="s">
        <v>19</v>
      </c>
      <c r="D51" s="9" t="s">
        <v>11</v>
      </c>
      <c r="E51" s="9">
        <v>2012</v>
      </c>
      <c r="F51" s="44">
        <f t="shared" si="0"/>
        <v>14.65</v>
      </c>
      <c r="G51" s="38">
        <v>14.698266243218416</v>
      </c>
      <c r="H51" s="38">
        <v>8.2082324322000755</v>
      </c>
      <c r="I51" s="38">
        <v>22.982433976037463</v>
      </c>
      <c r="J51" s="24">
        <v>15</v>
      </c>
      <c r="K51" s="9">
        <v>0.97666666666666668</v>
      </c>
      <c r="L51" s="9"/>
      <c r="M51" s="9"/>
      <c r="O51" s="9"/>
    </row>
    <row r="52" spans="1:15" x14ac:dyDescent="0.25">
      <c r="A52" s="9" t="s">
        <v>21</v>
      </c>
      <c r="B52" s="9" t="s">
        <v>27</v>
      </c>
      <c r="C52" s="9" t="s">
        <v>20</v>
      </c>
      <c r="D52" s="9" t="s">
        <v>11</v>
      </c>
      <c r="E52" s="9">
        <v>2012</v>
      </c>
      <c r="F52" s="44">
        <f t="shared" si="0"/>
        <v>27.615923261390886</v>
      </c>
      <c r="G52" s="38">
        <v>27.696613726518393</v>
      </c>
      <c r="H52" s="38">
        <v>18.549462079090585</v>
      </c>
      <c r="I52" s="38">
        <v>38.874216930612612</v>
      </c>
      <c r="J52" s="24">
        <v>28</v>
      </c>
      <c r="K52" s="9">
        <v>0.98628297362110307</v>
      </c>
      <c r="L52" s="9"/>
      <c r="M52" s="9"/>
      <c r="O52" s="9"/>
    </row>
    <row r="53" spans="1:15" x14ac:dyDescent="0.25">
      <c r="A53" s="9" t="s">
        <v>21</v>
      </c>
      <c r="B53" s="9" t="s">
        <v>28</v>
      </c>
      <c r="C53" s="9" t="s">
        <v>31</v>
      </c>
      <c r="D53" s="9" t="s">
        <v>12</v>
      </c>
      <c r="E53" s="9">
        <v>2012</v>
      </c>
      <c r="F53" s="44">
        <f t="shared" si="0"/>
        <v>100.22842105263157</v>
      </c>
      <c r="G53" s="38">
        <v>100.22333558666409</v>
      </c>
      <c r="H53" s="38">
        <v>81.607443379558987</v>
      </c>
      <c r="I53" s="38">
        <v>120.66591570762687</v>
      </c>
      <c r="J53" s="24">
        <v>102</v>
      </c>
      <c r="K53" s="9">
        <v>0.98263157894736841</v>
      </c>
      <c r="L53" s="9"/>
      <c r="M53" s="9"/>
      <c r="O53" s="9"/>
    </row>
    <row r="54" spans="1:15" x14ac:dyDescent="0.25">
      <c r="A54" s="9" t="s">
        <v>21</v>
      </c>
      <c r="B54" s="9" t="s">
        <v>28</v>
      </c>
      <c r="C54" s="9" t="s">
        <v>19</v>
      </c>
      <c r="D54" s="9" t="s">
        <v>12</v>
      </c>
      <c r="E54" s="9">
        <v>2012</v>
      </c>
      <c r="F54" s="44">
        <f t="shared" si="0"/>
        <v>311.55666666666667</v>
      </c>
      <c r="G54" s="38">
        <v>311.55448624335031</v>
      </c>
      <c r="H54" s="38">
        <v>277.28336059814126</v>
      </c>
      <c r="I54" s="38">
        <v>347.24961707360211</v>
      </c>
      <c r="J54" s="24">
        <v>319</v>
      </c>
      <c r="K54" s="9">
        <v>0.97666666666666668</v>
      </c>
      <c r="L54" s="9"/>
      <c r="M54" s="9"/>
      <c r="O54" s="9"/>
    </row>
    <row r="55" spans="1:15" x14ac:dyDescent="0.25">
      <c r="A55" s="9" t="s">
        <v>21</v>
      </c>
      <c r="B55" s="9" t="s">
        <v>28</v>
      </c>
      <c r="C55" s="9" t="s">
        <v>20</v>
      </c>
      <c r="D55" s="9" t="s">
        <v>12</v>
      </c>
      <c r="E55" s="9">
        <v>2012</v>
      </c>
      <c r="F55" s="44">
        <f t="shared" si="0"/>
        <v>186.40748201438848</v>
      </c>
      <c r="G55" s="38">
        <v>186.40724192507673</v>
      </c>
      <c r="H55" s="38">
        <v>160.76376508872934</v>
      </c>
      <c r="I55" s="38">
        <v>214.28122955738553</v>
      </c>
      <c r="J55" s="24">
        <v>189</v>
      </c>
      <c r="K55" s="9">
        <v>0.98628297362110307</v>
      </c>
      <c r="L55" s="9"/>
      <c r="M55" s="9"/>
      <c r="O55" s="9"/>
    </row>
    <row r="56" spans="1:15" x14ac:dyDescent="0.25">
      <c r="A56" s="9" t="s">
        <v>21</v>
      </c>
      <c r="B56" s="9" t="s">
        <v>28</v>
      </c>
      <c r="C56" s="9" t="s">
        <v>31</v>
      </c>
      <c r="D56" s="9" t="s">
        <v>15</v>
      </c>
      <c r="E56" s="9">
        <v>2012</v>
      </c>
      <c r="F56" s="44">
        <f t="shared" si="0"/>
        <v>53.615483870967743</v>
      </c>
      <c r="G56" s="38">
        <v>53.669875307815332</v>
      </c>
      <c r="H56" s="38">
        <v>40.198024085060922</v>
      </c>
      <c r="I56" s="38">
        <v>68.930185938607636</v>
      </c>
      <c r="J56" s="24">
        <v>56</v>
      </c>
      <c r="K56" s="9">
        <v>0.95741935483870966</v>
      </c>
      <c r="L56" s="9"/>
      <c r="M56" s="9"/>
      <c r="O56" s="9"/>
    </row>
    <row r="57" spans="1:15" x14ac:dyDescent="0.25">
      <c r="A57" s="9" t="s">
        <v>21</v>
      </c>
      <c r="B57" s="9" t="s">
        <v>28</v>
      </c>
      <c r="C57" s="9" t="s">
        <v>19</v>
      </c>
      <c r="D57" s="9" t="s">
        <v>15</v>
      </c>
      <c r="E57" s="9">
        <v>2012</v>
      </c>
      <c r="F57" s="44">
        <f t="shared" si="0"/>
        <v>392.21052631578948</v>
      </c>
      <c r="G57" s="38">
        <v>392.45558149041528</v>
      </c>
      <c r="H57" s="38">
        <v>354.8460492687164</v>
      </c>
      <c r="I57" s="38">
        <v>432.36849951464171</v>
      </c>
      <c r="J57" s="24">
        <v>405</v>
      </c>
      <c r="K57" s="9">
        <v>0.96842105263157896</v>
      </c>
      <c r="L57" s="9"/>
      <c r="M57" s="9"/>
      <c r="O57" s="9"/>
    </row>
    <row r="58" spans="1:15" x14ac:dyDescent="0.25">
      <c r="A58" s="9" t="s">
        <v>21</v>
      </c>
      <c r="B58" s="9" t="s">
        <v>28</v>
      </c>
      <c r="C58" s="9" t="s">
        <v>20</v>
      </c>
      <c r="D58" s="9" t="s">
        <v>15</v>
      </c>
      <c r="E58" s="9">
        <v>2012</v>
      </c>
      <c r="F58" s="44">
        <f t="shared" si="0"/>
        <v>172.78210526315789</v>
      </c>
      <c r="G58" s="38">
        <v>172.74365862382129</v>
      </c>
      <c r="H58" s="38">
        <v>148.05473218127509</v>
      </c>
      <c r="I58" s="38">
        <v>199.44338781879242</v>
      </c>
      <c r="J58" s="24">
        <v>179</v>
      </c>
      <c r="K58" s="9">
        <v>0.96526315789473682</v>
      </c>
      <c r="L58" s="9"/>
      <c r="M58" s="9"/>
      <c r="O58" s="9"/>
    </row>
    <row r="59" spans="1:15" x14ac:dyDescent="0.25">
      <c r="A59" s="9" t="s">
        <v>22</v>
      </c>
      <c r="B59" s="9" t="s">
        <v>11</v>
      </c>
      <c r="C59" s="9" t="s">
        <v>11</v>
      </c>
      <c r="D59" s="9" t="s">
        <v>11</v>
      </c>
      <c r="E59" s="9">
        <v>2012</v>
      </c>
      <c r="F59" s="44">
        <f>SUM(F62:F79)</f>
        <v>1604.6073277392388</v>
      </c>
      <c r="G59" s="38">
        <v>1604.6646000000001</v>
      </c>
      <c r="H59" s="38">
        <v>1525</v>
      </c>
      <c r="I59" s="38">
        <v>1685</v>
      </c>
      <c r="J59" s="11"/>
      <c r="K59" s="9"/>
      <c r="L59" s="9"/>
      <c r="M59" s="9"/>
      <c r="O59" s="9"/>
    </row>
    <row r="60" spans="1:15" x14ac:dyDescent="0.25">
      <c r="A60" s="9" t="s">
        <v>22</v>
      </c>
      <c r="B60" s="9" t="s">
        <v>11</v>
      </c>
      <c r="C60" s="9" t="s">
        <v>19</v>
      </c>
      <c r="D60" s="9" t="s">
        <v>11</v>
      </c>
      <c r="E60" s="9">
        <v>2012</v>
      </c>
      <c r="F60" s="44">
        <f>SUM(F63,F66,F69,F72,F75,F78)</f>
        <v>818.90163695909689</v>
      </c>
      <c r="G60" s="38"/>
      <c r="H60" s="38"/>
      <c r="I60" s="38"/>
      <c r="J60" s="11"/>
      <c r="K60" s="9"/>
      <c r="L60" s="9"/>
      <c r="M60" s="9"/>
      <c r="N60" s="9"/>
      <c r="O60" s="9"/>
    </row>
    <row r="61" spans="1:15" x14ac:dyDescent="0.25">
      <c r="A61" s="9" t="s">
        <v>22</v>
      </c>
      <c r="B61" s="9" t="s">
        <v>24</v>
      </c>
      <c r="C61" s="9" t="s">
        <v>11</v>
      </c>
      <c r="D61" s="9" t="s">
        <v>11</v>
      </c>
      <c r="E61" s="9">
        <v>2012</v>
      </c>
      <c r="F61" s="44">
        <f>SUM(F62:F64)</f>
        <v>302.85129430512933</v>
      </c>
      <c r="G61" s="38"/>
      <c r="H61" s="38"/>
      <c r="I61" s="38"/>
      <c r="J61" s="9"/>
      <c r="K61" s="9"/>
      <c r="L61" s="9"/>
      <c r="M61" s="9"/>
      <c r="N61" s="9"/>
      <c r="O61" s="9"/>
    </row>
    <row r="62" spans="1:15" x14ac:dyDescent="0.25">
      <c r="A62" s="9" t="s">
        <v>22</v>
      </c>
      <c r="B62" s="9" t="s">
        <v>24</v>
      </c>
      <c r="C62" s="9" t="s">
        <v>31</v>
      </c>
      <c r="D62" s="9" t="s">
        <v>11</v>
      </c>
      <c r="E62" s="9">
        <v>2012</v>
      </c>
      <c r="F62" s="44">
        <f t="shared" si="0"/>
        <v>127.04425531914893</v>
      </c>
      <c r="G62" s="38">
        <v>127.13938633769435</v>
      </c>
      <c r="H62" s="38">
        <v>105.87737189647166</v>
      </c>
      <c r="I62" s="38">
        <v>150.0729680883974</v>
      </c>
      <c r="J62" s="9">
        <v>153</v>
      </c>
      <c r="K62" s="9">
        <v>0.83035460992907795</v>
      </c>
      <c r="L62" s="9"/>
      <c r="M62" s="9"/>
      <c r="N62" s="9"/>
      <c r="O62" s="9"/>
    </row>
    <row r="63" spans="1:15" x14ac:dyDescent="0.25">
      <c r="A63" s="9" t="s">
        <v>22</v>
      </c>
      <c r="B63" s="9" t="s">
        <v>24</v>
      </c>
      <c r="C63" s="9" t="s">
        <v>19</v>
      </c>
      <c r="D63" s="9" t="s">
        <v>11</v>
      </c>
      <c r="E63" s="9">
        <v>2012</v>
      </c>
      <c r="F63" s="44">
        <f t="shared" si="0"/>
        <v>114.98255118110235</v>
      </c>
      <c r="G63" s="38">
        <v>115.00857326428239</v>
      </c>
      <c r="H63" s="38">
        <v>94.695209911396176</v>
      </c>
      <c r="I63" s="38">
        <v>137.48226626902368</v>
      </c>
      <c r="J63" s="9">
        <v>139</v>
      </c>
      <c r="K63" s="9">
        <v>0.82721259842519679</v>
      </c>
      <c r="L63" s="9"/>
      <c r="M63" s="9"/>
      <c r="N63" s="9"/>
      <c r="O63" s="9"/>
    </row>
    <row r="64" spans="1:15" x14ac:dyDescent="0.25">
      <c r="A64" s="9" t="s">
        <v>22</v>
      </c>
      <c r="B64" s="9" t="s">
        <v>24</v>
      </c>
      <c r="C64" s="9" t="s">
        <v>20</v>
      </c>
      <c r="D64" s="9" t="s">
        <v>11</v>
      </c>
      <c r="E64" s="9">
        <v>2012</v>
      </c>
      <c r="F64" s="44">
        <f t="shared" si="0"/>
        <v>60.824487804878046</v>
      </c>
      <c r="G64" s="38">
        <v>60.779451258145038</v>
      </c>
      <c r="H64" s="38">
        <v>46.18767842993028</v>
      </c>
      <c r="I64" s="38">
        <v>76.640335643331468</v>
      </c>
      <c r="J64" s="9">
        <v>71</v>
      </c>
      <c r="K64" s="9">
        <v>0.85668292682926828</v>
      </c>
      <c r="L64" s="9"/>
      <c r="M64" s="9"/>
      <c r="N64" s="9"/>
      <c r="O64" s="9"/>
    </row>
    <row r="65" spans="1:15" x14ac:dyDescent="0.25">
      <c r="A65" s="9" t="s">
        <v>22</v>
      </c>
      <c r="B65" s="9" t="s">
        <v>26</v>
      </c>
      <c r="C65" s="9" t="s">
        <v>31</v>
      </c>
      <c r="D65" s="9" t="s">
        <v>12</v>
      </c>
      <c r="E65" s="9">
        <v>2012</v>
      </c>
      <c r="F65" s="44">
        <f t="shared" si="0"/>
        <v>38.196312056737582</v>
      </c>
      <c r="G65" s="38">
        <v>38.203558083774666</v>
      </c>
      <c r="H65" s="38">
        <v>27.007584124568382</v>
      </c>
      <c r="I65" s="38">
        <v>51.441256288290141</v>
      </c>
      <c r="J65" s="11">
        <v>46</v>
      </c>
      <c r="K65" s="9">
        <v>0.83035460992907795</v>
      </c>
      <c r="L65" s="9"/>
      <c r="M65" s="9"/>
      <c r="N65" s="9"/>
      <c r="O65" s="9"/>
    </row>
    <row r="66" spans="1:15" x14ac:dyDescent="0.25">
      <c r="A66" s="9" t="s">
        <v>22</v>
      </c>
      <c r="B66" s="9" t="s">
        <v>26</v>
      </c>
      <c r="C66" s="9" t="s">
        <v>19</v>
      </c>
      <c r="D66" s="9" t="s">
        <v>12</v>
      </c>
      <c r="E66" s="9">
        <v>2012</v>
      </c>
      <c r="F66" s="44">
        <f t="shared" si="0"/>
        <v>144.76220472440943</v>
      </c>
      <c r="G66" s="38">
        <v>144.7723779907792</v>
      </c>
      <c r="H66" s="38">
        <v>122.01737159423514</v>
      </c>
      <c r="I66" s="38">
        <v>169.51051656778876</v>
      </c>
      <c r="J66" s="9">
        <v>175</v>
      </c>
      <c r="K66" s="9">
        <v>0.82721259842519679</v>
      </c>
      <c r="L66" s="9"/>
      <c r="M66" s="9"/>
      <c r="N66" s="9"/>
      <c r="O66" s="9"/>
    </row>
    <row r="67" spans="1:15" x14ac:dyDescent="0.25">
      <c r="A67" s="9" t="s">
        <v>22</v>
      </c>
      <c r="B67" s="9" t="s">
        <v>26</v>
      </c>
      <c r="C67" s="9" t="s">
        <v>20</v>
      </c>
      <c r="D67" s="9" t="s">
        <v>12</v>
      </c>
      <c r="E67" s="9">
        <v>2012</v>
      </c>
      <c r="F67" s="44">
        <f t="shared" si="0"/>
        <v>160.19970731707318</v>
      </c>
      <c r="G67" s="38">
        <v>160.16309141809819</v>
      </c>
      <c r="H67" s="38">
        <v>136.69320872891549</v>
      </c>
      <c r="I67" s="38">
        <v>185.63265916736373</v>
      </c>
      <c r="J67" s="9">
        <v>187</v>
      </c>
      <c r="K67" s="9">
        <v>0.85668292682926828</v>
      </c>
      <c r="L67" s="9"/>
      <c r="M67" s="9"/>
      <c r="N67" s="9"/>
      <c r="O67" s="9"/>
    </row>
    <row r="68" spans="1:15" x14ac:dyDescent="0.25">
      <c r="A68" s="9" t="s">
        <v>22</v>
      </c>
      <c r="B68" s="9" t="s">
        <v>26</v>
      </c>
      <c r="C68" s="9" t="s">
        <v>31</v>
      </c>
      <c r="D68" s="9" t="s">
        <v>15</v>
      </c>
      <c r="E68" s="9">
        <v>2012</v>
      </c>
      <c r="F68" s="44">
        <f t="shared" si="0"/>
        <v>19.172799999999999</v>
      </c>
      <c r="G68" s="38">
        <v>19.183340159693429</v>
      </c>
      <c r="H68" s="38">
        <v>11.735819778444149</v>
      </c>
      <c r="I68" s="38">
        <v>28.86161061678937</v>
      </c>
      <c r="J68" s="11">
        <v>23</v>
      </c>
      <c r="K68" s="9">
        <v>0.83360000000000001</v>
      </c>
      <c r="L68" s="9"/>
      <c r="M68" s="9"/>
      <c r="N68" s="9"/>
      <c r="O68" s="9"/>
    </row>
    <row r="69" spans="1:15" x14ac:dyDescent="0.25">
      <c r="A69" s="9" t="s">
        <v>22</v>
      </c>
      <c r="B69" s="9" t="s">
        <v>26</v>
      </c>
      <c r="C69" s="9" t="s">
        <v>19</v>
      </c>
      <c r="D69" s="9" t="s">
        <v>15</v>
      </c>
      <c r="E69" s="9">
        <v>2012</v>
      </c>
      <c r="F69" s="44">
        <f t="shared" si="0"/>
        <v>83.630442477876102</v>
      </c>
      <c r="G69" s="38">
        <v>83.589740234193286</v>
      </c>
      <c r="H69" s="38">
        <v>66.855684424182144</v>
      </c>
      <c r="I69" s="38">
        <v>102.13094390332169</v>
      </c>
      <c r="J69" s="9">
        <v>96</v>
      </c>
      <c r="K69" s="9">
        <v>0.8711504424778761</v>
      </c>
      <c r="L69" s="9"/>
      <c r="M69" s="9"/>
      <c r="N69" s="9"/>
      <c r="O69" s="9"/>
    </row>
    <row r="70" spans="1:15" x14ac:dyDescent="0.25">
      <c r="A70" s="9" t="s">
        <v>22</v>
      </c>
      <c r="B70" s="9" t="s">
        <v>26</v>
      </c>
      <c r="C70" s="9" t="s">
        <v>20</v>
      </c>
      <c r="D70" s="9" t="s">
        <v>15</v>
      </c>
      <c r="E70" s="9">
        <v>2012</v>
      </c>
      <c r="F70" s="44">
        <f t="shared" si="0"/>
        <v>67.425217391304344</v>
      </c>
      <c r="G70" s="38">
        <v>67.475222045341908</v>
      </c>
      <c r="H70" s="38">
        <v>52.179688175909206</v>
      </c>
      <c r="I70" s="38">
        <v>84.871811429374802</v>
      </c>
      <c r="J70" s="9">
        <v>77</v>
      </c>
      <c r="K70" s="9">
        <v>0.87565217391304351</v>
      </c>
      <c r="L70" s="9"/>
      <c r="M70" s="9"/>
      <c r="N70" s="9"/>
      <c r="O70" s="9"/>
    </row>
    <row r="71" spans="1:15" x14ac:dyDescent="0.25">
      <c r="A71" s="9" t="s">
        <v>22</v>
      </c>
      <c r="B71" s="9" t="s">
        <v>27</v>
      </c>
      <c r="C71" s="9" t="s">
        <v>31</v>
      </c>
      <c r="D71" s="9" t="s">
        <v>11</v>
      </c>
      <c r="E71" s="9">
        <v>2012</v>
      </c>
      <c r="F71" s="44">
        <f t="shared" si="0"/>
        <v>10.794609929078014</v>
      </c>
      <c r="G71" s="38">
        <v>10.773760312454408</v>
      </c>
      <c r="H71" s="38">
        <v>5.307306859239767</v>
      </c>
      <c r="I71" s="38">
        <v>18.022049098871967</v>
      </c>
      <c r="J71" s="11">
        <v>13</v>
      </c>
      <c r="K71" s="9">
        <v>0.83035460992907795</v>
      </c>
      <c r="L71" s="9"/>
      <c r="M71" s="9"/>
      <c r="N71" s="9"/>
      <c r="O71" s="9"/>
    </row>
    <row r="72" spans="1:15" x14ac:dyDescent="0.25">
      <c r="A72" s="9" t="s">
        <v>22</v>
      </c>
      <c r="B72" s="9" t="s">
        <v>27</v>
      </c>
      <c r="C72" s="9" t="s">
        <v>19</v>
      </c>
      <c r="D72" s="9" t="s">
        <v>11</v>
      </c>
      <c r="E72" s="9">
        <v>2012</v>
      </c>
      <c r="F72" s="44">
        <f t="shared" si="0"/>
        <v>28.952440944881886</v>
      </c>
      <c r="G72" s="38">
        <v>29.038857264488268</v>
      </c>
      <c r="H72" s="38">
        <v>19.637524767830232</v>
      </c>
      <c r="I72" s="38">
        <v>40.54227718471175</v>
      </c>
      <c r="J72" s="9">
        <v>35</v>
      </c>
      <c r="K72" s="9">
        <v>0.82721259842519679</v>
      </c>
      <c r="L72" s="9"/>
      <c r="M72" s="9"/>
      <c r="N72" s="9"/>
      <c r="O72" s="9"/>
    </row>
    <row r="73" spans="1:15" x14ac:dyDescent="0.25">
      <c r="A73" s="9" t="s">
        <v>22</v>
      </c>
      <c r="B73" s="9" t="s">
        <v>27</v>
      </c>
      <c r="C73" s="9" t="s">
        <v>20</v>
      </c>
      <c r="D73" s="9" t="s">
        <v>11</v>
      </c>
      <c r="E73" s="9">
        <v>2012</v>
      </c>
      <c r="F73" s="44">
        <f t="shared" si="0"/>
        <v>27.413853658536585</v>
      </c>
      <c r="G73" s="38">
        <v>27.398411746397812</v>
      </c>
      <c r="H73" s="38">
        <v>18.206659497487756</v>
      </c>
      <c r="I73" s="38">
        <v>38.37296289963593</v>
      </c>
      <c r="J73" s="9">
        <v>32</v>
      </c>
      <c r="K73" s="9">
        <v>0.85668292682926828</v>
      </c>
      <c r="L73" s="9"/>
      <c r="M73" s="9"/>
      <c r="N73" s="9"/>
      <c r="O73" s="9"/>
    </row>
    <row r="74" spans="1:15" x14ac:dyDescent="0.25">
      <c r="A74" s="9" t="s">
        <v>22</v>
      </c>
      <c r="B74" s="9" t="s">
        <v>28</v>
      </c>
      <c r="C74" s="9" t="s">
        <v>31</v>
      </c>
      <c r="D74" s="9" t="s">
        <v>12</v>
      </c>
      <c r="E74" s="9">
        <v>2012</v>
      </c>
      <c r="F74" s="44">
        <f t="shared" si="0"/>
        <v>56.4641134751773</v>
      </c>
      <c r="G74" s="38">
        <v>56.430090329394581</v>
      </c>
      <c r="H74" s="38">
        <v>42.565523301785369</v>
      </c>
      <c r="I74" s="38">
        <v>71.883131615239662</v>
      </c>
      <c r="J74" s="11">
        <v>68</v>
      </c>
      <c r="K74" s="9">
        <v>0.83035460992907795</v>
      </c>
      <c r="L74" s="9"/>
      <c r="M74" s="9"/>
      <c r="N74" s="9"/>
      <c r="O74" s="9"/>
    </row>
    <row r="75" spans="1:15" x14ac:dyDescent="0.25">
      <c r="A75" s="9" t="s">
        <v>22</v>
      </c>
      <c r="B75" s="9" t="s">
        <v>28</v>
      </c>
      <c r="C75" s="9" t="s">
        <v>19</v>
      </c>
      <c r="D75" s="9" t="s">
        <v>12</v>
      </c>
      <c r="E75" s="9">
        <v>2012</v>
      </c>
      <c r="F75" s="44">
        <f t="shared" si="0"/>
        <v>235.75559055118109</v>
      </c>
      <c r="G75" s="38">
        <v>235.69122480470497</v>
      </c>
      <c r="H75" s="38">
        <v>206.54377857498687</v>
      </c>
      <c r="I75" s="38">
        <v>266.8421095198284</v>
      </c>
      <c r="J75" s="9">
        <v>285</v>
      </c>
      <c r="K75" s="9">
        <v>0.82721259842519679</v>
      </c>
      <c r="L75" s="9"/>
      <c r="M75" s="9"/>
      <c r="N75" s="9"/>
      <c r="O75" s="9"/>
    </row>
    <row r="76" spans="1:15" x14ac:dyDescent="0.25">
      <c r="A76" s="9" t="s">
        <v>22</v>
      </c>
      <c r="B76" s="9" t="s">
        <v>28</v>
      </c>
      <c r="C76" s="9" t="s">
        <v>20</v>
      </c>
      <c r="D76" s="9" t="s">
        <v>12</v>
      </c>
      <c r="E76" s="9">
        <v>2012</v>
      </c>
      <c r="F76" s="44">
        <f t="shared" si="0"/>
        <v>102.80195121951219</v>
      </c>
      <c r="G76" s="38">
        <v>102.78735980773243</v>
      </c>
      <c r="H76" s="38">
        <v>83.637508421321485</v>
      </c>
      <c r="I76" s="38">
        <v>123.57914899455128</v>
      </c>
      <c r="J76" s="11">
        <v>120</v>
      </c>
      <c r="K76" s="9">
        <v>0.85668292682926828</v>
      </c>
      <c r="L76" s="9"/>
      <c r="M76" s="9"/>
      <c r="N76" s="9"/>
      <c r="O76" s="9"/>
    </row>
    <row r="77" spans="1:15" x14ac:dyDescent="0.25">
      <c r="A77" s="9" t="s">
        <v>22</v>
      </c>
      <c r="B77" s="9" t="s">
        <v>28</v>
      </c>
      <c r="C77" s="9" t="s">
        <v>31</v>
      </c>
      <c r="D77" s="9" t="s">
        <v>15</v>
      </c>
      <c r="E77" s="9">
        <v>2012</v>
      </c>
      <c r="F77" s="44">
        <f t="shared" si="0"/>
        <v>21.6736</v>
      </c>
      <c r="G77" s="38">
        <v>21.782183580926933</v>
      </c>
      <c r="H77" s="38">
        <v>13.627037541971507</v>
      </c>
      <c r="I77" s="38">
        <v>31.634316350143898</v>
      </c>
      <c r="J77" s="11">
        <v>26</v>
      </c>
      <c r="K77" s="9">
        <v>0.83360000000000001</v>
      </c>
      <c r="L77" s="9"/>
      <c r="M77" s="9"/>
      <c r="N77" s="9"/>
      <c r="O77" s="9"/>
    </row>
    <row r="78" spans="1:15" x14ac:dyDescent="0.25">
      <c r="A78" s="9" t="s">
        <v>22</v>
      </c>
      <c r="B78" s="9" t="s">
        <v>28</v>
      </c>
      <c r="C78" s="9" t="s">
        <v>19</v>
      </c>
      <c r="D78" s="9" t="s">
        <v>15</v>
      </c>
      <c r="E78" s="9">
        <v>2012</v>
      </c>
      <c r="F78" s="44">
        <f t="shared" si="0"/>
        <v>210.81840707964602</v>
      </c>
      <c r="G78" s="38">
        <v>210.82337104013052</v>
      </c>
      <c r="H78" s="38">
        <v>183.07719386377454</v>
      </c>
      <c r="I78" s="38">
        <v>240.4713164993648</v>
      </c>
      <c r="J78" s="9">
        <v>242</v>
      </c>
      <c r="K78" s="9">
        <v>0.8711504424778761</v>
      </c>
      <c r="L78" s="9"/>
      <c r="M78" s="9"/>
      <c r="N78" s="9"/>
      <c r="O78" s="9"/>
    </row>
    <row r="79" spans="1:15" ht="15.75" thickBot="1" x14ac:dyDescent="0.3">
      <c r="A79" s="6" t="s">
        <v>22</v>
      </c>
      <c r="B79" s="6" t="s">
        <v>28</v>
      </c>
      <c r="C79" s="6" t="s">
        <v>20</v>
      </c>
      <c r="D79" s="6" t="s">
        <v>15</v>
      </c>
      <c r="E79" s="6">
        <v>2012</v>
      </c>
      <c r="F79" s="45">
        <f t="shared" si="0"/>
        <v>93.694782608695661</v>
      </c>
      <c r="G79" s="65">
        <v>93.624600321767616</v>
      </c>
      <c r="H79" s="65">
        <v>75.423514596530964</v>
      </c>
      <c r="I79" s="65">
        <v>113.716820279911</v>
      </c>
      <c r="J79" s="6">
        <v>107</v>
      </c>
      <c r="K79" s="6">
        <v>0.87565217391304351</v>
      </c>
      <c r="L79" s="6"/>
      <c r="M79" s="6"/>
      <c r="N79" s="6"/>
      <c r="O79" s="9"/>
    </row>
    <row r="80" spans="1:15" x14ac:dyDescent="0.25">
      <c r="A80" s="9" t="s">
        <v>10</v>
      </c>
      <c r="B80" s="9" t="s">
        <v>11</v>
      </c>
      <c r="C80" s="9" t="s">
        <v>11</v>
      </c>
      <c r="D80" s="9" t="s">
        <v>11</v>
      </c>
      <c r="E80" s="9">
        <v>2013</v>
      </c>
      <c r="F80" s="44">
        <f>SUM(F81:F98)</f>
        <v>110073.87845138372</v>
      </c>
      <c r="G80" s="38">
        <v>110076.0839</v>
      </c>
      <c r="H80" s="38">
        <v>109416.97499999999</v>
      </c>
      <c r="I80" s="38">
        <v>110744.02499999999</v>
      </c>
      <c r="J80" s="24"/>
      <c r="K80" s="9"/>
      <c r="L80" s="9"/>
      <c r="M80" s="9"/>
      <c r="N80" s="9"/>
      <c r="O80" s="9"/>
    </row>
    <row r="81" spans="1:15" x14ac:dyDescent="0.25">
      <c r="A81" s="9" t="s">
        <v>10</v>
      </c>
      <c r="B81" s="9" t="s">
        <v>24</v>
      </c>
      <c r="C81" s="9" t="s">
        <v>31</v>
      </c>
      <c r="D81" s="9" t="s">
        <v>11</v>
      </c>
      <c r="E81" s="9">
        <v>2013</v>
      </c>
      <c r="F81" s="44">
        <f t="shared" si="0"/>
        <v>16590.63115909091</v>
      </c>
      <c r="G81" s="38">
        <v>16591.654759994766</v>
      </c>
      <c r="H81" s="38">
        <v>16350.406193024393</v>
      </c>
      <c r="I81" s="38">
        <v>16841.537785750123</v>
      </c>
      <c r="J81" s="24">
        <v>18024</v>
      </c>
      <c r="K81" s="9">
        <v>0.92047443181818189</v>
      </c>
      <c r="L81" s="9"/>
      <c r="M81" s="9"/>
      <c r="O81" s="9"/>
    </row>
    <row r="82" spans="1:15" x14ac:dyDescent="0.25">
      <c r="A82" s="9" t="s">
        <v>10</v>
      </c>
      <c r="B82" s="9" t="s">
        <v>24</v>
      </c>
      <c r="C82" s="9" t="s">
        <v>19</v>
      </c>
      <c r="D82" s="9" t="s">
        <v>11</v>
      </c>
      <c r="E82" s="9">
        <v>2013</v>
      </c>
      <c r="F82" s="44">
        <f t="shared" si="0"/>
        <v>12590.214399854731</v>
      </c>
      <c r="G82" s="38">
        <v>12589.104181860504</v>
      </c>
      <c r="H82" s="38">
        <v>12367.087625146551</v>
      </c>
      <c r="I82" s="38">
        <v>12811.036945879086</v>
      </c>
      <c r="J82" s="24">
        <v>13630</v>
      </c>
      <c r="K82" s="9">
        <v>0.92371345560196116</v>
      </c>
      <c r="L82" s="9"/>
      <c r="M82" s="9"/>
      <c r="O82" s="9"/>
    </row>
    <row r="83" spans="1:15" x14ac:dyDescent="0.25">
      <c r="A83" s="9" t="s">
        <v>10</v>
      </c>
      <c r="B83" s="9" t="s">
        <v>24</v>
      </c>
      <c r="C83" s="9" t="s">
        <v>20</v>
      </c>
      <c r="D83" s="9" t="s">
        <v>11</v>
      </c>
      <c r="E83" s="9">
        <v>2013</v>
      </c>
      <c r="F83" s="44">
        <f t="shared" si="0"/>
        <v>12144.170299550855</v>
      </c>
      <c r="G83" s="38">
        <v>12144.916154107666</v>
      </c>
      <c r="H83" s="38">
        <v>11932.248106087767</v>
      </c>
      <c r="I83" s="38">
        <v>12365.969477126999</v>
      </c>
      <c r="J83" s="24">
        <v>12981</v>
      </c>
      <c r="K83" s="9">
        <v>0.93553426543031004</v>
      </c>
      <c r="L83" s="9"/>
      <c r="M83" s="9"/>
      <c r="O83" s="9"/>
    </row>
    <row r="84" spans="1:15" x14ac:dyDescent="0.25">
      <c r="A84" s="9" t="s">
        <v>10</v>
      </c>
      <c r="B84" s="9" t="s">
        <v>26</v>
      </c>
      <c r="C84" s="9" t="s">
        <v>31</v>
      </c>
      <c r="D84" s="9" t="s">
        <v>12</v>
      </c>
      <c r="E84" s="9">
        <v>2013</v>
      </c>
      <c r="F84" s="44">
        <f t="shared" si="0"/>
        <v>1234.3562130681819</v>
      </c>
      <c r="G84" s="38">
        <v>1234.3169017127366</v>
      </c>
      <c r="H84" s="38">
        <v>1167.2081217710406</v>
      </c>
      <c r="I84" s="38">
        <v>1305.0143018300059</v>
      </c>
      <c r="J84" s="24">
        <v>1341</v>
      </c>
      <c r="K84" s="9">
        <v>0.92047443181818189</v>
      </c>
      <c r="L84" s="9"/>
      <c r="M84" s="9"/>
      <c r="O84" s="9"/>
    </row>
    <row r="85" spans="1:15" x14ac:dyDescent="0.25">
      <c r="A85" s="9" t="s">
        <v>10</v>
      </c>
      <c r="B85" s="9" t="s">
        <v>26</v>
      </c>
      <c r="C85" s="9" t="s">
        <v>19</v>
      </c>
      <c r="D85" s="9" t="s">
        <v>12</v>
      </c>
      <c r="E85" s="9">
        <v>2013</v>
      </c>
      <c r="F85" s="44">
        <f t="shared" si="0"/>
        <v>4174.2611058652628</v>
      </c>
      <c r="G85" s="38">
        <v>4174.7236560702231</v>
      </c>
      <c r="H85" s="38">
        <v>4046.5535611915961</v>
      </c>
      <c r="I85" s="38">
        <v>4300.4482671973028</v>
      </c>
      <c r="J85" s="24">
        <v>4519</v>
      </c>
      <c r="K85" s="9">
        <v>0.92371345560196116</v>
      </c>
      <c r="L85" s="9"/>
      <c r="M85" s="9"/>
      <c r="O85" s="9"/>
    </row>
    <row r="86" spans="1:15" x14ac:dyDescent="0.25">
      <c r="A86" s="9" t="s">
        <v>10</v>
      </c>
      <c r="B86" s="9" t="s">
        <v>26</v>
      </c>
      <c r="C86" s="9" t="s">
        <v>20</v>
      </c>
      <c r="D86" s="9" t="s">
        <v>12</v>
      </c>
      <c r="E86" s="9">
        <v>2013</v>
      </c>
      <c r="F86" s="44">
        <f t="shared" si="0"/>
        <v>4858.2294403796004</v>
      </c>
      <c r="G86" s="38">
        <v>4857.6664039457573</v>
      </c>
      <c r="H86" s="38">
        <v>4720.3135800352948</v>
      </c>
      <c r="I86" s="38">
        <v>4994.9456876571858</v>
      </c>
      <c r="J86" s="3">
        <v>5193</v>
      </c>
      <c r="K86" s="9">
        <v>0.93553426543031004</v>
      </c>
      <c r="L86" s="9"/>
      <c r="M86" s="9"/>
      <c r="O86" s="9"/>
    </row>
    <row r="87" spans="1:15" x14ac:dyDescent="0.25">
      <c r="A87" s="9" t="s">
        <v>10</v>
      </c>
      <c r="B87" s="9" t="s">
        <v>26</v>
      </c>
      <c r="C87" s="9" t="s">
        <v>31</v>
      </c>
      <c r="D87" s="9" t="s">
        <v>15</v>
      </c>
      <c r="E87" s="9">
        <v>2013</v>
      </c>
      <c r="F87" s="44">
        <f t="shared" si="0"/>
        <v>621.7569318905156</v>
      </c>
      <c r="G87" s="38">
        <v>622.02744171047846</v>
      </c>
      <c r="H87" s="38">
        <v>574.22455038678515</v>
      </c>
      <c r="I87" s="38">
        <v>671.73008423567069</v>
      </c>
      <c r="J87" s="24">
        <v>669</v>
      </c>
      <c r="K87" s="9">
        <v>0.92938255887969445</v>
      </c>
      <c r="L87" s="9"/>
      <c r="M87" s="9"/>
      <c r="O87" s="9"/>
    </row>
    <row r="88" spans="1:15" x14ac:dyDescent="0.25">
      <c r="A88" s="9" t="s">
        <v>10</v>
      </c>
      <c r="B88" s="9" t="s">
        <v>26</v>
      </c>
      <c r="C88" s="9" t="s">
        <v>19</v>
      </c>
      <c r="D88" s="9" t="s">
        <v>15</v>
      </c>
      <c r="E88" s="9">
        <v>2013</v>
      </c>
      <c r="F88" s="44">
        <f t="shared" si="0"/>
        <v>2541.9798099979675</v>
      </c>
      <c r="G88" s="38">
        <v>2542.3832672791068</v>
      </c>
      <c r="H88" s="38">
        <v>2445.1407248505743</v>
      </c>
      <c r="I88" s="38">
        <v>2641.7697742155087</v>
      </c>
      <c r="J88" s="24">
        <v>2711</v>
      </c>
      <c r="K88" s="9">
        <v>0.93765393212761627</v>
      </c>
      <c r="L88" s="9"/>
      <c r="M88" s="9"/>
      <c r="O88" s="9"/>
    </row>
    <row r="89" spans="1:15" x14ac:dyDescent="0.25">
      <c r="A89" s="9" t="s">
        <v>10</v>
      </c>
      <c r="B89" s="9" t="s">
        <v>26</v>
      </c>
      <c r="C89" s="9" t="s">
        <v>20</v>
      </c>
      <c r="D89" s="9" t="s">
        <v>15</v>
      </c>
      <c r="E89" s="9">
        <v>2013</v>
      </c>
      <c r="F89" s="44">
        <f t="shared" si="0"/>
        <v>2150.5819509125236</v>
      </c>
      <c r="G89" s="38">
        <v>2150.6322560121544</v>
      </c>
      <c r="H89" s="38">
        <v>2061.5164627939939</v>
      </c>
      <c r="I89" s="38">
        <v>2242.0585692493287</v>
      </c>
      <c r="J89" s="3">
        <v>2312</v>
      </c>
      <c r="K89" s="9">
        <v>0.93018250471994968</v>
      </c>
      <c r="L89" s="9"/>
      <c r="M89" s="9"/>
      <c r="O89" s="9"/>
    </row>
    <row r="90" spans="1:15" x14ac:dyDescent="0.25">
      <c r="A90" s="9" t="s">
        <v>10</v>
      </c>
      <c r="B90" s="9" t="s">
        <v>27</v>
      </c>
      <c r="C90" s="9" t="s">
        <v>31</v>
      </c>
      <c r="D90" s="9" t="s">
        <v>11</v>
      </c>
      <c r="E90" s="9">
        <v>2013</v>
      </c>
      <c r="F90" s="44">
        <f t="shared" si="0"/>
        <v>595.54695738636372</v>
      </c>
      <c r="G90" s="38">
        <v>595.77841980425251</v>
      </c>
      <c r="H90" s="38">
        <v>548.49276037487016</v>
      </c>
      <c r="I90" s="38">
        <v>644.53911669419142</v>
      </c>
      <c r="J90" s="24">
        <v>647</v>
      </c>
      <c r="K90" s="9">
        <v>0.92047443181818189</v>
      </c>
      <c r="L90" s="9"/>
      <c r="M90" s="9"/>
      <c r="O90" s="9"/>
    </row>
    <row r="91" spans="1:15" x14ac:dyDescent="0.25">
      <c r="A91" s="9" t="s">
        <v>10</v>
      </c>
      <c r="B91" s="9" t="s">
        <v>27</v>
      </c>
      <c r="C91" s="9" t="s">
        <v>19</v>
      </c>
      <c r="D91" s="9" t="s">
        <v>11</v>
      </c>
      <c r="E91" s="9">
        <v>2013</v>
      </c>
      <c r="F91" s="44">
        <f t="shared" si="0"/>
        <v>888.61234428908665</v>
      </c>
      <c r="G91" s="38">
        <v>888.83687603001647</v>
      </c>
      <c r="H91" s="38">
        <v>832.27256618157469</v>
      </c>
      <c r="I91" s="38">
        <v>949.77407078660553</v>
      </c>
      <c r="J91" s="3">
        <v>962</v>
      </c>
      <c r="K91" s="9">
        <v>0.92371345560196116</v>
      </c>
      <c r="L91" s="9"/>
      <c r="M91" s="9"/>
      <c r="O91" s="9"/>
    </row>
    <row r="92" spans="1:15" x14ac:dyDescent="0.25">
      <c r="A92" s="9" t="s">
        <v>10</v>
      </c>
      <c r="B92" s="9" t="s">
        <v>27</v>
      </c>
      <c r="C92" s="9" t="s">
        <v>20</v>
      </c>
      <c r="D92" s="9" t="s">
        <v>11</v>
      </c>
      <c r="E92" s="9">
        <v>2013</v>
      </c>
      <c r="F92" s="44">
        <f t="shared" si="0"/>
        <v>1013.1836094610258</v>
      </c>
      <c r="G92" s="38">
        <v>1012.462414817689</v>
      </c>
      <c r="H92" s="38">
        <v>950.79428442007031</v>
      </c>
      <c r="I92" s="38">
        <v>1076.0802065667961</v>
      </c>
      <c r="J92" s="3">
        <v>1083</v>
      </c>
      <c r="K92" s="9">
        <v>0.93553426543031004</v>
      </c>
      <c r="L92" s="9"/>
      <c r="M92" s="9"/>
      <c r="O92" s="9"/>
    </row>
    <row r="93" spans="1:15" x14ac:dyDescent="0.25">
      <c r="A93" s="9" t="s">
        <v>10</v>
      </c>
      <c r="B93" s="9" t="s">
        <v>28</v>
      </c>
      <c r="C93" s="9" t="s">
        <v>31</v>
      </c>
      <c r="D93" s="9" t="s">
        <v>12</v>
      </c>
      <c r="E93" s="9">
        <v>2013</v>
      </c>
      <c r="F93" s="44">
        <f t="shared" si="0"/>
        <v>3856.7878693181819</v>
      </c>
      <c r="G93" s="38">
        <v>3857.2591458549605</v>
      </c>
      <c r="H93" s="38">
        <v>3735.6013689131614</v>
      </c>
      <c r="I93" s="38">
        <v>3979.4134066594029</v>
      </c>
      <c r="J93" s="24">
        <v>4190</v>
      </c>
      <c r="K93" s="9">
        <v>0.92047443181818189</v>
      </c>
      <c r="L93" s="9"/>
      <c r="M93" s="9"/>
      <c r="O93" s="9"/>
    </row>
    <row r="94" spans="1:15" x14ac:dyDescent="0.25">
      <c r="A94" s="9" t="s">
        <v>10</v>
      </c>
      <c r="B94" s="9" t="s">
        <v>28</v>
      </c>
      <c r="C94" s="9" t="s">
        <v>19</v>
      </c>
      <c r="D94" s="9" t="s">
        <v>12</v>
      </c>
      <c r="E94" s="9">
        <v>2013</v>
      </c>
      <c r="F94" s="44">
        <f t="shared" si="0"/>
        <v>12819.295336844018</v>
      </c>
      <c r="G94" s="38">
        <v>12820.537570284199</v>
      </c>
      <c r="H94" s="38">
        <v>12598.864864830122</v>
      </c>
      <c r="I94" s="38">
        <v>13036.720729626581</v>
      </c>
      <c r="J94" s="24">
        <v>13878</v>
      </c>
      <c r="K94" s="9">
        <v>0.92371345560196116</v>
      </c>
      <c r="L94" s="9"/>
      <c r="M94" s="9"/>
      <c r="O94" s="9"/>
    </row>
    <row r="95" spans="1:15" x14ac:dyDescent="0.25">
      <c r="A95" s="9" t="s">
        <v>10</v>
      </c>
      <c r="B95" s="9" t="s">
        <v>28</v>
      </c>
      <c r="C95" s="9" t="s">
        <v>20</v>
      </c>
      <c r="D95" s="9" t="s">
        <v>12</v>
      </c>
      <c r="E95" s="9">
        <v>2013</v>
      </c>
      <c r="F95" s="44">
        <f t="shared" si="0"/>
        <v>7792.0648967690522</v>
      </c>
      <c r="G95" s="38">
        <v>7791.8924207012406</v>
      </c>
      <c r="H95" s="38">
        <v>7618.8352391524231</v>
      </c>
      <c r="I95" s="38">
        <v>7966.6244095240854</v>
      </c>
      <c r="J95" s="24">
        <v>8329</v>
      </c>
      <c r="K95" s="9">
        <v>0.93553426543031004</v>
      </c>
      <c r="L95" s="9"/>
      <c r="M95" s="9"/>
      <c r="O95" s="9"/>
    </row>
    <row r="96" spans="1:15" x14ac:dyDescent="0.25">
      <c r="A96" s="9" t="s">
        <v>10</v>
      </c>
      <c r="B96" s="9" t="s">
        <v>28</v>
      </c>
      <c r="C96" s="9" t="s">
        <v>31</v>
      </c>
      <c r="D96" s="9" t="s">
        <v>15</v>
      </c>
      <c r="E96" s="9">
        <v>2013</v>
      </c>
      <c r="F96" s="44">
        <f t="shared" si="0"/>
        <v>2171.9670401018461</v>
      </c>
      <c r="G96" s="38">
        <v>2172.3398803201476</v>
      </c>
      <c r="H96" s="38">
        <v>2081.9667618364724</v>
      </c>
      <c r="I96" s="38">
        <v>2265.707249757038</v>
      </c>
      <c r="J96" s="24">
        <v>2337</v>
      </c>
      <c r="K96" s="9">
        <v>0.92938255887969445</v>
      </c>
      <c r="L96" s="9"/>
      <c r="M96" s="9"/>
      <c r="O96" s="9"/>
    </row>
    <row r="97" spans="1:15" x14ac:dyDescent="0.25">
      <c r="A97" s="9" t="s">
        <v>10</v>
      </c>
      <c r="B97" s="9" t="s">
        <v>28</v>
      </c>
      <c r="C97" s="9" t="s">
        <v>19</v>
      </c>
      <c r="D97" s="9" t="s">
        <v>15</v>
      </c>
      <c r="E97" s="9">
        <v>2013</v>
      </c>
      <c r="F97" s="44">
        <f t="shared" si="0"/>
        <v>15864.166877667139</v>
      </c>
      <c r="G97" s="38">
        <v>15863.191608530286</v>
      </c>
      <c r="H97" s="38">
        <v>15611.965758305336</v>
      </c>
      <c r="I97" s="38">
        <v>16112.609979751451</v>
      </c>
      <c r="J97" s="24">
        <v>16919</v>
      </c>
      <c r="K97" s="9">
        <v>0.93765393212761627</v>
      </c>
      <c r="L97" s="9"/>
      <c r="M97" s="9"/>
      <c r="O97" s="9"/>
    </row>
    <row r="98" spans="1:15" x14ac:dyDescent="0.25">
      <c r="A98" s="9" t="s">
        <v>10</v>
      </c>
      <c r="B98" s="9" t="s">
        <v>28</v>
      </c>
      <c r="C98" s="9" t="s">
        <v>20</v>
      </c>
      <c r="D98" s="9" t="s">
        <v>15</v>
      </c>
      <c r="E98" s="9">
        <v>2013</v>
      </c>
      <c r="F98" s="44">
        <f t="shared" si="0"/>
        <v>8166.0722089364381</v>
      </c>
      <c r="G98" s="38">
        <v>8166.360540963813</v>
      </c>
      <c r="H98" s="38">
        <v>7995.2310967889052</v>
      </c>
      <c r="I98" s="38">
        <v>8344.2172831495282</v>
      </c>
      <c r="J98" s="24">
        <v>8779</v>
      </c>
      <c r="K98" s="9">
        <v>0.93018250471994968</v>
      </c>
      <c r="L98" s="9"/>
      <c r="M98" s="9"/>
      <c r="O98" s="9"/>
    </row>
    <row r="99" spans="1:15" x14ac:dyDescent="0.25">
      <c r="A99" s="9" t="s">
        <v>21</v>
      </c>
      <c r="B99" s="9" t="s">
        <v>11</v>
      </c>
      <c r="C99" s="9" t="s">
        <v>11</v>
      </c>
      <c r="D99" s="9" t="s">
        <v>11</v>
      </c>
      <c r="E99" s="9">
        <v>2013</v>
      </c>
      <c r="F99" s="44">
        <f>SUM(F102:F119)</f>
        <v>2744.0226800508917</v>
      </c>
      <c r="G99" s="38">
        <v>2744.2676999999999</v>
      </c>
      <c r="H99" s="38">
        <v>2639</v>
      </c>
      <c r="I99" s="38">
        <v>2849</v>
      </c>
      <c r="J99" s="3"/>
      <c r="K99" s="9"/>
      <c r="L99" s="9"/>
      <c r="M99" s="9"/>
      <c r="O99" s="9"/>
    </row>
    <row r="100" spans="1:15" x14ac:dyDescent="0.25">
      <c r="A100" s="9" t="s">
        <v>21</v>
      </c>
      <c r="B100" s="9" t="s">
        <v>11</v>
      </c>
      <c r="C100" s="9" t="s">
        <v>19</v>
      </c>
      <c r="D100" s="9" t="s">
        <v>11</v>
      </c>
      <c r="E100" s="9">
        <v>2013</v>
      </c>
      <c r="F100" s="44">
        <f>SUM(F103,F106,F109,F112,F115,F118)</f>
        <v>1138.1107871720119</v>
      </c>
      <c r="G100" s="38"/>
      <c r="H100" s="38"/>
      <c r="I100" s="38"/>
      <c r="J100" s="3"/>
      <c r="K100" s="9"/>
      <c r="L100" s="9"/>
      <c r="M100" s="9"/>
      <c r="O100" s="9"/>
    </row>
    <row r="101" spans="1:15" x14ac:dyDescent="0.25">
      <c r="A101" s="9" t="s">
        <v>21</v>
      </c>
      <c r="B101" s="9" t="s">
        <v>24</v>
      </c>
      <c r="C101" s="9" t="s">
        <v>11</v>
      </c>
      <c r="D101" s="9" t="s">
        <v>11</v>
      </c>
      <c r="E101" s="9">
        <v>2013</v>
      </c>
      <c r="F101" s="44">
        <f>SUM(F102:F104)</f>
        <v>1605.7886334374998</v>
      </c>
      <c r="G101" s="38"/>
      <c r="H101" s="38"/>
      <c r="I101" s="38"/>
      <c r="J101" s="3"/>
      <c r="K101" s="9"/>
      <c r="L101" s="9"/>
      <c r="M101" s="9"/>
      <c r="O101" s="9"/>
    </row>
    <row r="102" spans="1:15" x14ac:dyDescent="0.25">
      <c r="A102" s="9" t="s">
        <v>21</v>
      </c>
      <c r="B102" s="9" t="s">
        <v>24</v>
      </c>
      <c r="C102" s="11" t="s">
        <v>31</v>
      </c>
      <c r="D102" s="9" t="s">
        <v>11</v>
      </c>
      <c r="E102" s="9">
        <v>2013</v>
      </c>
      <c r="F102" s="44">
        <f t="shared" ref="F102:F247" si="1">J102*K102</f>
        <v>476.9471698113208</v>
      </c>
      <c r="G102" s="38">
        <v>476.8246688449812</v>
      </c>
      <c r="H102" s="38">
        <v>434.90810426186829</v>
      </c>
      <c r="I102" s="38">
        <v>520.83574097448684</v>
      </c>
      <c r="J102" s="3">
        <v>485</v>
      </c>
      <c r="K102" s="9">
        <v>0.98339622641509439</v>
      </c>
      <c r="L102" s="9"/>
      <c r="M102" s="9"/>
      <c r="O102" s="9"/>
    </row>
    <row r="103" spans="1:15" x14ac:dyDescent="0.25">
      <c r="A103" s="9" t="s">
        <v>21</v>
      </c>
      <c r="B103" s="9" t="s">
        <v>24</v>
      </c>
      <c r="C103" s="11" t="s">
        <v>19</v>
      </c>
      <c r="D103" s="9" t="s">
        <v>11</v>
      </c>
      <c r="E103" s="9">
        <v>2013</v>
      </c>
      <c r="F103" s="44">
        <f t="shared" si="1"/>
        <v>542.96832929782079</v>
      </c>
      <c r="G103" s="38">
        <v>543.00857156463837</v>
      </c>
      <c r="H103" s="38">
        <v>498.05199588999176</v>
      </c>
      <c r="I103" s="38">
        <v>590.32038490251205</v>
      </c>
      <c r="J103" s="3">
        <v>556</v>
      </c>
      <c r="K103" s="9">
        <v>0.97656174334140433</v>
      </c>
      <c r="L103" s="9"/>
      <c r="M103" s="9"/>
      <c r="O103" s="9"/>
    </row>
    <row r="104" spans="1:15" x14ac:dyDescent="0.25">
      <c r="A104" s="9" t="s">
        <v>21</v>
      </c>
      <c r="B104" s="9" t="s">
        <v>24</v>
      </c>
      <c r="C104" s="11" t="s">
        <v>20</v>
      </c>
      <c r="D104" s="9" t="s">
        <v>11</v>
      </c>
      <c r="E104" s="9">
        <v>2013</v>
      </c>
      <c r="F104" s="44">
        <f t="shared" si="1"/>
        <v>585.87313432835822</v>
      </c>
      <c r="G104" s="38">
        <v>586.04070298251565</v>
      </c>
      <c r="H104" s="38">
        <v>540.37391797415466</v>
      </c>
      <c r="I104" s="38">
        <v>633.52610484645106</v>
      </c>
      <c r="J104" s="3">
        <v>594</v>
      </c>
      <c r="K104" s="9">
        <v>0.98631840796019898</v>
      </c>
      <c r="L104" s="9"/>
      <c r="M104" s="9"/>
      <c r="O104" s="9"/>
    </row>
    <row r="105" spans="1:15" x14ac:dyDescent="0.25">
      <c r="A105" s="9" t="s">
        <v>21</v>
      </c>
      <c r="B105" s="9" t="s">
        <v>26</v>
      </c>
      <c r="C105" s="11" t="s">
        <v>31</v>
      </c>
      <c r="D105" s="9" t="s">
        <v>12</v>
      </c>
      <c r="E105" s="9">
        <v>2013</v>
      </c>
      <c r="F105" s="44">
        <f t="shared" si="1"/>
        <v>7.8671698113207551</v>
      </c>
      <c r="G105" s="38">
        <v>7.8787880405203836</v>
      </c>
      <c r="H105" s="38">
        <v>3.3072436003899224</v>
      </c>
      <c r="I105" s="38">
        <v>14.218170841213352</v>
      </c>
      <c r="J105" s="3">
        <v>8</v>
      </c>
      <c r="K105" s="9">
        <v>0.98339622641509439</v>
      </c>
      <c r="L105" s="9"/>
      <c r="M105" s="9"/>
      <c r="O105" s="9"/>
    </row>
    <row r="106" spans="1:15" x14ac:dyDescent="0.25">
      <c r="A106" s="9" t="s">
        <v>21</v>
      </c>
      <c r="B106" s="9" t="s">
        <v>26</v>
      </c>
      <c r="C106" s="11" t="s">
        <v>19</v>
      </c>
      <c r="D106" s="9" t="s">
        <v>12</v>
      </c>
      <c r="E106" s="9">
        <v>2013</v>
      </c>
      <c r="F106" s="44">
        <f t="shared" si="1"/>
        <v>5.8593704600484262</v>
      </c>
      <c r="G106" s="38">
        <v>5.8749933659279536</v>
      </c>
      <c r="H106" s="38">
        <v>2.1523148769346165</v>
      </c>
      <c r="I106" s="38">
        <v>11.517252259032817</v>
      </c>
      <c r="J106" s="3">
        <v>6</v>
      </c>
      <c r="K106" s="9">
        <v>0.97656174334140433</v>
      </c>
      <c r="L106" s="9"/>
      <c r="M106" s="9"/>
      <c r="O106" s="9"/>
    </row>
    <row r="107" spans="1:15" x14ac:dyDescent="0.25">
      <c r="A107" s="9" t="s">
        <v>21</v>
      </c>
      <c r="B107" s="9" t="s">
        <v>26</v>
      </c>
      <c r="C107" s="11" t="s">
        <v>20</v>
      </c>
      <c r="D107" s="9" t="s">
        <v>12</v>
      </c>
      <c r="E107" s="9">
        <v>2013</v>
      </c>
      <c r="F107" s="44">
        <f t="shared" si="1"/>
        <v>15.781094527363184</v>
      </c>
      <c r="G107" s="38">
        <v>15.851063559682405</v>
      </c>
      <c r="H107" s="38">
        <v>9.161589625821108</v>
      </c>
      <c r="I107" s="38">
        <v>24.532287920406976</v>
      </c>
      <c r="J107" s="3">
        <v>16</v>
      </c>
      <c r="K107" s="9">
        <v>0.98631840796019898</v>
      </c>
      <c r="L107" s="9"/>
      <c r="M107" s="9"/>
      <c r="O107" s="9"/>
    </row>
    <row r="108" spans="1:15" x14ac:dyDescent="0.25">
      <c r="A108" s="9" t="s">
        <v>21</v>
      </c>
      <c r="B108" s="9" t="s">
        <v>26</v>
      </c>
      <c r="C108" s="11" t="s">
        <v>31</v>
      </c>
      <c r="D108" s="9" t="s">
        <v>15</v>
      </c>
      <c r="E108" s="9">
        <v>2013</v>
      </c>
      <c r="F108" s="44">
        <f t="shared" si="1"/>
        <v>0.9432258064516128</v>
      </c>
      <c r="G108" s="38">
        <v>0.9249781548226117</v>
      </c>
      <c r="H108" s="38">
        <v>2.1612401783638834E-2</v>
      </c>
      <c r="I108" s="38">
        <v>3.4239848669713648</v>
      </c>
      <c r="J108" s="3">
        <v>1</v>
      </c>
      <c r="K108" s="9">
        <v>0.9432258064516128</v>
      </c>
      <c r="L108" s="9"/>
      <c r="M108" s="9"/>
      <c r="O108" s="9"/>
    </row>
    <row r="109" spans="1:15" x14ac:dyDescent="0.25">
      <c r="A109" s="9" t="s">
        <v>21</v>
      </c>
      <c r="B109" s="9" t="s">
        <v>26</v>
      </c>
      <c r="C109" s="11" t="s">
        <v>19</v>
      </c>
      <c r="D109" s="9" t="s">
        <v>15</v>
      </c>
      <c r="E109" s="9">
        <v>2013</v>
      </c>
      <c r="F109" s="44">
        <f t="shared" si="1"/>
        <v>10.661341107871721</v>
      </c>
      <c r="G109" s="38">
        <v>10.71051797669117</v>
      </c>
      <c r="H109" s="38">
        <v>5.240498253630542</v>
      </c>
      <c r="I109" s="38">
        <v>17.993671763619872</v>
      </c>
      <c r="J109" s="3">
        <v>11</v>
      </c>
      <c r="K109" s="9">
        <v>0.96921282798833819</v>
      </c>
      <c r="L109" s="9"/>
      <c r="M109" s="9"/>
      <c r="O109" s="9"/>
    </row>
    <row r="110" spans="1:15" x14ac:dyDescent="0.25">
      <c r="A110" s="9" t="s">
        <v>21</v>
      </c>
      <c r="B110" s="9" t="s">
        <v>26</v>
      </c>
      <c r="C110" s="11" t="s">
        <v>20</v>
      </c>
      <c r="D110" s="9" t="s">
        <v>15</v>
      </c>
      <c r="E110" s="9">
        <v>2013</v>
      </c>
      <c r="F110" s="44">
        <f t="shared" si="1"/>
        <v>14.258823529411764</v>
      </c>
      <c r="G110" s="38">
        <v>14.326785039595441</v>
      </c>
      <c r="H110" s="38">
        <v>7.8574667240765743</v>
      </c>
      <c r="I110" s="38">
        <v>22.873761500861107</v>
      </c>
      <c r="J110" s="3">
        <v>15</v>
      </c>
      <c r="K110" s="9">
        <v>0.95058823529411762</v>
      </c>
      <c r="L110" s="9"/>
      <c r="M110" s="9"/>
      <c r="O110" s="9"/>
    </row>
    <row r="111" spans="1:15" x14ac:dyDescent="0.25">
      <c r="A111" s="9" t="s">
        <v>21</v>
      </c>
      <c r="B111" s="9" t="s">
        <v>27</v>
      </c>
      <c r="C111" s="11" t="s">
        <v>31</v>
      </c>
      <c r="D111" s="9" t="s">
        <v>11</v>
      </c>
      <c r="E111" s="9">
        <v>2013</v>
      </c>
      <c r="F111" s="44">
        <f t="shared" si="1"/>
        <v>21.634716981132076</v>
      </c>
      <c r="G111" s="38">
        <v>21.588822923702512</v>
      </c>
      <c r="H111" s="38">
        <v>13.513430716639078</v>
      </c>
      <c r="I111" s="38">
        <v>31.667238853504198</v>
      </c>
      <c r="J111" s="3">
        <v>22</v>
      </c>
      <c r="K111" s="9">
        <v>0.98339622641509439</v>
      </c>
      <c r="L111" s="9"/>
      <c r="M111" s="9"/>
      <c r="O111" s="9"/>
    </row>
    <row r="112" spans="1:15" x14ac:dyDescent="0.25">
      <c r="A112" s="9" t="s">
        <v>21</v>
      </c>
      <c r="B112" s="9" t="s">
        <v>27</v>
      </c>
      <c r="C112" s="11" t="s">
        <v>19</v>
      </c>
      <c r="D112" s="9" t="s">
        <v>11</v>
      </c>
      <c r="E112" s="9">
        <v>2013</v>
      </c>
      <c r="F112" s="44">
        <f t="shared" si="1"/>
        <v>10.742179176755448</v>
      </c>
      <c r="G112" s="38">
        <v>10.734686391688209</v>
      </c>
      <c r="H112" s="38">
        <v>5.2934174195238244</v>
      </c>
      <c r="I112" s="38">
        <v>18.108192205679995</v>
      </c>
      <c r="J112" s="3">
        <v>11</v>
      </c>
      <c r="K112" s="9">
        <v>0.97656174334140433</v>
      </c>
      <c r="L112" s="9"/>
      <c r="M112" s="9"/>
      <c r="O112" s="9"/>
    </row>
    <row r="113" spans="1:15" x14ac:dyDescent="0.25">
      <c r="A113" s="9" t="s">
        <v>21</v>
      </c>
      <c r="B113" s="9" t="s">
        <v>27</v>
      </c>
      <c r="C113" s="11" t="s">
        <v>20</v>
      </c>
      <c r="D113" s="9" t="s">
        <v>11</v>
      </c>
      <c r="E113" s="9">
        <v>2013</v>
      </c>
      <c r="F113" s="44">
        <f t="shared" si="1"/>
        <v>18.740049751243781</v>
      </c>
      <c r="G113" s="38">
        <v>18.799524546918093</v>
      </c>
      <c r="H113" s="38">
        <v>11.140036266084742</v>
      </c>
      <c r="I113" s="38">
        <v>28.292689600684895</v>
      </c>
      <c r="J113" s="3">
        <v>19</v>
      </c>
      <c r="K113" s="9">
        <v>0.98631840796019898</v>
      </c>
      <c r="L113" s="9"/>
      <c r="M113" s="9"/>
      <c r="O113" s="9"/>
    </row>
    <row r="114" spans="1:15" x14ac:dyDescent="0.25">
      <c r="A114" s="9" t="s">
        <v>21</v>
      </c>
      <c r="B114" s="9" t="s">
        <v>28</v>
      </c>
      <c r="C114" s="11" t="s">
        <v>31</v>
      </c>
      <c r="D114" s="9" t="s">
        <v>12</v>
      </c>
      <c r="E114" s="9">
        <v>2013</v>
      </c>
      <c r="F114" s="44">
        <f t="shared" si="1"/>
        <v>79.65509433962265</v>
      </c>
      <c r="G114" s="38">
        <v>79.622467899635396</v>
      </c>
      <c r="H114" s="38">
        <v>63.161380889639744</v>
      </c>
      <c r="I114" s="38">
        <v>97.699417452713149</v>
      </c>
      <c r="J114" s="3">
        <v>81</v>
      </c>
      <c r="K114" s="9">
        <v>0.98339622641509439</v>
      </c>
      <c r="L114" s="9"/>
      <c r="M114" s="9"/>
      <c r="O114" s="9"/>
    </row>
    <row r="115" spans="1:15" x14ac:dyDescent="0.25">
      <c r="A115" s="9" t="s">
        <v>21</v>
      </c>
      <c r="B115" s="9" t="s">
        <v>28</v>
      </c>
      <c r="C115" s="11" t="s">
        <v>19</v>
      </c>
      <c r="D115" s="9" t="s">
        <v>12</v>
      </c>
      <c r="E115" s="9">
        <v>2013</v>
      </c>
      <c r="F115" s="44">
        <f t="shared" si="1"/>
        <v>247.0701210653753</v>
      </c>
      <c r="G115" s="38">
        <v>247.14358747601941</v>
      </c>
      <c r="H115" s="38">
        <v>217.09117785023523</v>
      </c>
      <c r="I115" s="38">
        <v>278.66644036224056</v>
      </c>
      <c r="J115" s="3">
        <v>253</v>
      </c>
      <c r="K115" s="9">
        <v>0.97656174334140433</v>
      </c>
      <c r="L115" s="9"/>
      <c r="M115" s="9"/>
      <c r="O115" s="9"/>
    </row>
    <row r="116" spans="1:15" x14ac:dyDescent="0.25">
      <c r="A116" s="9" t="s">
        <v>21</v>
      </c>
      <c r="B116" s="9" t="s">
        <v>28</v>
      </c>
      <c r="C116" s="11" t="s">
        <v>20</v>
      </c>
      <c r="D116" s="9" t="s">
        <v>12</v>
      </c>
      <c r="E116" s="9">
        <v>2013</v>
      </c>
      <c r="F116" s="44">
        <f t="shared" si="1"/>
        <v>172.60572139303483</v>
      </c>
      <c r="G116" s="38">
        <v>172.70287652020031</v>
      </c>
      <c r="H116" s="38">
        <v>147.77774521903569</v>
      </c>
      <c r="I116" s="38">
        <v>199.51035636470604</v>
      </c>
      <c r="J116" s="3">
        <v>175</v>
      </c>
      <c r="K116" s="9">
        <v>0.98631840796019898</v>
      </c>
      <c r="L116" s="9"/>
      <c r="M116" s="9"/>
      <c r="O116" s="9"/>
    </row>
    <row r="117" spans="1:15" x14ac:dyDescent="0.25">
      <c r="A117" s="9" t="s">
        <v>21</v>
      </c>
      <c r="B117" s="9" t="s">
        <v>28</v>
      </c>
      <c r="C117" s="11" t="s">
        <v>31</v>
      </c>
      <c r="D117" s="9" t="s">
        <v>15</v>
      </c>
      <c r="E117" s="9">
        <v>2013</v>
      </c>
      <c r="F117" s="44">
        <f t="shared" si="1"/>
        <v>48.104516129032255</v>
      </c>
      <c r="G117" s="38">
        <v>48.007921002321687</v>
      </c>
      <c r="H117" s="38">
        <v>35.206733704046044</v>
      </c>
      <c r="I117" s="38">
        <v>62.401123281229459</v>
      </c>
      <c r="J117" s="3">
        <v>51</v>
      </c>
      <c r="K117" s="9">
        <v>0.9432258064516128</v>
      </c>
      <c r="L117" s="9"/>
      <c r="M117" s="9"/>
      <c r="O117" s="9"/>
    </row>
    <row r="118" spans="1:15" x14ac:dyDescent="0.25">
      <c r="A118" s="9" t="s">
        <v>21</v>
      </c>
      <c r="B118" s="9" t="s">
        <v>28</v>
      </c>
      <c r="C118" s="11" t="s">
        <v>19</v>
      </c>
      <c r="D118" s="9" t="s">
        <v>15</v>
      </c>
      <c r="E118" s="9">
        <v>2013</v>
      </c>
      <c r="F118" s="44">
        <f t="shared" si="1"/>
        <v>320.80944606413993</v>
      </c>
      <c r="G118" s="38">
        <v>320.79246342762116</v>
      </c>
      <c r="H118" s="38">
        <v>286.83593706135554</v>
      </c>
      <c r="I118" s="38">
        <v>356.32451102336574</v>
      </c>
      <c r="J118" s="3">
        <v>331</v>
      </c>
      <c r="K118" s="9">
        <v>0.96921282798833819</v>
      </c>
      <c r="L118" s="9"/>
      <c r="M118" s="9"/>
      <c r="O118" s="9"/>
    </row>
    <row r="119" spans="1:15" x14ac:dyDescent="0.25">
      <c r="A119" s="9" t="s">
        <v>21</v>
      </c>
      <c r="B119" s="9" t="s">
        <v>28</v>
      </c>
      <c r="C119" s="11" t="s">
        <v>20</v>
      </c>
      <c r="D119" s="9" t="s">
        <v>15</v>
      </c>
      <c r="E119" s="9">
        <v>2013</v>
      </c>
      <c r="F119" s="44">
        <f t="shared" si="1"/>
        <v>163.50117647058823</v>
      </c>
      <c r="G119" s="38">
        <v>163.43428028251807</v>
      </c>
      <c r="H119" s="38">
        <v>139.59827578804914</v>
      </c>
      <c r="I119" s="38">
        <v>189.10327747264756</v>
      </c>
      <c r="J119" s="3">
        <v>172</v>
      </c>
      <c r="K119" s="9">
        <v>0.95058823529411762</v>
      </c>
      <c r="L119" s="9"/>
      <c r="M119" s="9"/>
      <c r="O119" s="9"/>
    </row>
    <row r="120" spans="1:15" x14ac:dyDescent="0.25">
      <c r="A120" s="9" t="s">
        <v>22</v>
      </c>
      <c r="B120" s="9" t="s">
        <v>11</v>
      </c>
      <c r="C120" s="9" t="s">
        <v>11</v>
      </c>
      <c r="D120" s="9" t="s">
        <v>11</v>
      </c>
      <c r="E120" s="9">
        <v>2013</v>
      </c>
      <c r="F120" s="44">
        <f>SUM(F123:F140)</f>
        <v>1503.3039080459771</v>
      </c>
      <c r="G120" s="38">
        <v>1503.0524</v>
      </c>
      <c r="H120" s="38">
        <v>1429</v>
      </c>
      <c r="I120" s="38">
        <v>1580</v>
      </c>
      <c r="J120" s="11"/>
      <c r="K120" s="9"/>
      <c r="L120" s="9"/>
      <c r="M120" s="9"/>
      <c r="O120" s="9"/>
    </row>
    <row r="121" spans="1:15" x14ac:dyDescent="0.25">
      <c r="A121" s="9" t="s">
        <v>22</v>
      </c>
      <c r="B121" s="9" t="s">
        <v>11</v>
      </c>
      <c r="C121" s="9" t="s">
        <v>19</v>
      </c>
      <c r="D121" s="9" t="s">
        <v>11</v>
      </c>
      <c r="E121" s="9">
        <v>2013</v>
      </c>
      <c r="F121" s="44">
        <f>SUM(F124,F127,F130,F133,F136,F139)</f>
        <v>717.56</v>
      </c>
      <c r="G121" s="38"/>
      <c r="H121" s="38"/>
      <c r="I121" s="38"/>
      <c r="J121" s="11"/>
      <c r="K121" s="9"/>
      <c r="L121" s="9"/>
      <c r="M121" s="9"/>
      <c r="N121" s="9"/>
      <c r="O121" s="9"/>
    </row>
    <row r="122" spans="1:15" x14ac:dyDescent="0.25">
      <c r="A122" s="9" t="s">
        <v>22</v>
      </c>
      <c r="B122" s="9" t="s">
        <v>24</v>
      </c>
      <c r="C122" s="9" t="s">
        <v>11</v>
      </c>
      <c r="D122" s="9" t="s">
        <v>11</v>
      </c>
      <c r="E122" s="9">
        <v>2013</v>
      </c>
      <c r="F122" s="44">
        <f>SUM(F123:F125)</f>
        <v>308.05359465196307</v>
      </c>
      <c r="G122" s="38"/>
      <c r="H122" s="38"/>
      <c r="I122" s="38"/>
      <c r="J122" s="9"/>
      <c r="K122" s="9"/>
      <c r="L122" s="9"/>
      <c r="M122" s="9"/>
      <c r="N122" s="9"/>
      <c r="O122" s="9"/>
    </row>
    <row r="123" spans="1:15" x14ac:dyDescent="0.25">
      <c r="A123" s="9" t="s">
        <v>22</v>
      </c>
      <c r="B123" s="9" t="s">
        <v>24</v>
      </c>
      <c r="C123" s="9" t="s">
        <v>31</v>
      </c>
      <c r="D123" s="9" t="s">
        <v>11</v>
      </c>
      <c r="E123" s="9">
        <v>2013</v>
      </c>
      <c r="F123" s="44">
        <f t="shared" si="1"/>
        <v>115.43632183908046</v>
      </c>
      <c r="G123" s="38">
        <v>115.31089112585825</v>
      </c>
      <c r="H123" s="38">
        <v>94.931434459756417</v>
      </c>
      <c r="I123" s="38">
        <v>137.57470868959928</v>
      </c>
      <c r="J123" s="9">
        <v>141</v>
      </c>
      <c r="K123" s="9">
        <v>0.81869731800766288</v>
      </c>
      <c r="L123" s="9"/>
      <c r="M123" s="9"/>
      <c r="N123" s="9"/>
      <c r="O123" s="9"/>
    </row>
    <row r="124" spans="1:15" x14ac:dyDescent="0.25">
      <c r="A124" s="9" t="s">
        <v>22</v>
      </c>
      <c r="B124" s="9" t="s">
        <v>24</v>
      </c>
      <c r="C124" s="9" t="s">
        <v>19</v>
      </c>
      <c r="D124" s="9" t="s">
        <v>11</v>
      </c>
      <c r="E124" s="9">
        <v>2013</v>
      </c>
      <c r="F124" s="44">
        <f t="shared" si="1"/>
        <v>114.64808362369338</v>
      </c>
      <c r="G124" s="38">
        <v>114.75375331958736</v>
      </c>
      <c r="H124" s="38">
        <v>94.492315352693652</v>
      </c>
      <c r="I124" s="38">
        <v>137.27633438233138</v>
      </c>
      <c r="J124" s="9">
        <v>144</v>
      </c>
      <c r="K124" s="9">
        <v>0.79616724738675959</v>
      </c>
      <c r="L124" s="9"/>
      <c r="M124" s="9"/>
      <c r="N124" s="9"/>
      <c r="O124" s="9"/>
    </row>
    <row r="125" spans="1:15" x14ac:dyDescent="0.25">
      <c r="A125" s="9" t="s">
        <v>22</v>
      </c>
      <c r="B125" s="9" t="s">
        <v>24</v>
      </c>
      <c r="C125" s="9" t="s">
        <v>20</v>
      </c>
      <c r="D125" s="9" t="s">
        <v>11</v>
      </c>
      <c r="E125" s="9">
        <v>2013</v>
      </c>
      <c r="F125" s="44">
        <f t="shared" si="1"/>
        <v>77.969189189189194</v>
      </c>
      <c r="G125" s="38">
        <v>77.927011162093208</v>
      </c>
      <c r="H125" s="38">
        <v>61.582990282072736</v>
      </c>
      <c r="I125" s="38">
        <v>96.269075044728993</v>
      </c>
      <c r="J125" s="9">
        <v>93</v>
      </c>
      <c r="K125" s="9">
        <v>0.83837837837837836</v>
      </c>
      <c r="L125" s="9"/>
      <c r="M125" s="9"/>
      <c r="N125" s="9"/>
      <c r="O125" s="9"/>
    </row>
    <row r="126" spans="1:15" x14ac:dyDescent="0.25">
      <c r="A126" s="9" t="s">
        <v>22</v>
      </c>
      <c r="B126" s="11" t="s">
        <v>26</v>
      </c>
      <c r="C126" s="9" t="s">
        <v>31</v>
      </c>
      <c r="D126" s="9" t="s">
        <v>12</v>
      </c>
      <c r="E126" s="9">
        <v>2013</v>
      </c>
      <c r="F126" s="44">
        <f t="shared" si="1"/>
        <v>32.747892720306517</v>
      </c>
      <c r="G126" s="38">
        <v>32.773152076668744</v>
      </c>
      <c r="H126" s="38">
        <v>22.424882297877122</v>
      </c>
      <c r="I126" s="38">
        <v>44.824427405732123</v>
      </c>
      <c r="J126" s="11">
        <v>40</v>
      </c>
      <c r="K126" s="9">
        <v>0.81869731800766288</v>
      </c>
      <c r="L126" s="9"/>
      <c r="M126" s="9"/>
      <c r="N126" s="9"/>
      <c r="O126" s="9"/>
    </row>
    <row r="127" spans="1:15" x14ac:dyDescent="0.25">
      <c r="A127" s="9" t="s">
        <v>22</v>
      </c>
      <c r="B127" s="11" t="s">
        <v>26</v>
      </c>
      <c r="C127" s="9" t="s">
        <v>19</v>
      </c>
      <c r="D127" s="9" t="s">
        <v>12</v>
      </c>
      <c r="E127" s="9">
        <v>2013</v>
      </c>
      <c r="F127" s="44">
        <f t="shared" si="1"/>
        <v>124.2020905923345</v>
      </c>
      <c r="G127" s="38">
        <v>124.03700618000211</v>
      </c>
      <c r="H127" s="38">
        <v>102.85752146640597</v>
      </c>
      <c r="I127" s="38">
        <v>146.86417292487084</v>
      </c>
      <c r="J127" s="9">
        <v>156</v>
      </c>
      <c r="K127" s="9">
        <v>0.79616724738675959</v>
      </c>
      <c r="L127" s="9"/>
      <c r="M127" s="9"/>
      <c r="N127" s="9"/>
      <c r="O127" s="9"/>
    </row>
    <row r="128" spans="1:15" x14ac:dyDescent="0.25">
      <c r="A128" s="9" t="s">
        <v>22</v>
      </c>
      <c r="B128" s="11" t="s">
        <v>26</v>
      </c>
      <c r="C128" s="9" t="s">
        <v>20</v>
      </c>
      <c r="D128" s="9" t="s">
        <v>12</v>
      </c>
      <c r="E128" s="9">
        <v>2013</v>
      </c>
      <c r="F128" s="44">
        <f t="shared" si="1"/>
        <v>146.71621621621622</v>
      </c>
      <c r="G128" s="38">
        <v>146.7160600251805</v>
      </c>
      <c r="H128" s="38">
        <v>123.38665189069405</v>
      </c>
      <c r="I128" s="38">
        <v>171.35747945559206</v>
      </c>
      <c r="J128" s="9">
        <v>175</v>
      </c>
      <c r="K128" s="9">
        <v>0.83837837837837836</v>
      </c>
      <c r="L128" s="9"/>
      <c r="M128" s="9"/>
      <c r="N128" s="9"/>
      <c r="O128" s="9"/>
    </row>
    <row r="129" spans="1:15" x14ac:dyDescent="0.25">
      <c r="A129" s="9" t="s">
        <v>22</v>
      </c>
      <c r="B129" s="11" t="s">
        <v>26</v>
      </c>
      <c r="C129" s="9" t="s">
        <v>31</v>
      </c>
      <c r="D129" s="9" t="s">
        <v>15</v>
      </c>
      <c r="E129" s="9">
        <v>2013</v>
      </c>
      <c r="F129" s="44">
        <f t="shared" si="1"/>
        <v>11.648</v>
      </c>
      <c r="G129" s="38">
        <v>11.635354696130975</v>
      </c>
      <c r="H129" s="38">
        <v>5.9982959130566078</v>
      </c>
      <c r="I129" s="38">
        <v>19.201240284235663</v>
      </c>
      <c r="J129" s="11">
        <v>13</v>
      </c>
      <c r="K129" s="9">
        <v>0.89600000000000002</v>
      </c>
      <c r="L129" s="9"/>
      <c r="M129" s="9"/>
      <c r="N129" s="9"/>
      <c r="O129" s="9"/>
    </row>
    <row r="130" spans="1:15" x14ac:dyDescent="0.25">
      <c r="A130" s="9" t="s">
        <v>22</v>
      </c>
      <c r="B130" s="11" t="s">
        <v>26</v>
      </c>
      <c r="C130" s="9" t="s">
        <v>19</v>
      </c>
      <c r="D130" s="9" t="s">
        <v>15</v>
      </c>
      <c r="E130" s="9">
        <v>2013</v>
      </c>
      <c r="F130" s="44">
        <f t="shared" si="1"/>
        <v>70.376334405144689</v>
      </c>
      <c r="G130" s="38">
        <v>70.326273208789118</v>
      </c>
      <c r="H130" s="38">
        <v>54.936125491847264</v>
      </c>
      <c r="I130" s="38">
        <v>87.664781607380078</v>
      </c>
      <c r="J130" s="9">
        <v>84</v>
      </c>
      <c r="K130" s="9">
        <v>0.83781350482315109</v>
      </c>
      <c r="L130" s="9"/>
      <c r="M130" s="9"/>
      <c r="N130" s="9"/>
      <c r="O130" s="9"/>
    </row>
    <row r="131" spans="1:15" x14ac:dyDescent="0.25">
      <c r="A131" s="9" t="s">
        <v>22</v>
      </c>
      <c r="B131" s="11" t="s">
        <v>26</v>
      </c>
      <c r="C131" s="9" t="s">
        <v>20</v>
      </c>
      <c r="D131" s="9" t="s">
        <v>15</v>
      </c>
      <c r="E131" s="9">
        <v>2013</v>
      </c>
      <c r="F131" s="44">
        <f t="shared" si="1"/>
        <v>58.122905027932966</v>
      </c>
      <c r="G131" s="38">
        <v>58.131666700584098</v>
      </c>
      <c r="H131" s="38">
        <v>44.196622965431011</v>
      </c>
      <c r="I131" s="38">
        <v>74.058094685456993</v>
      </c>
      <c r="J131" s="9">
        <v>68</v>
      </c>
      <c r="K131" s="9">
        <v>0.85474860335195535</v>
      </c>
      <c r="L131" s="9"/>
      <c r="M131" s="9"/>
      <c r="N131" s="9"/>
      <c r="O131" s="9"/>
    </row>
    <row r="132" spans="1:15" x14ac:dyDescent="0.25">
      <c r="A132" s="9" t="s">
        <v>22</v>
      </c>
      <c r="B132" s="9" t="s">
        <v>27</v>
      </c>
      <c r="C132" s="9" t="s">
        <v>31</v>
      </c>
      <c r="D132" s="9" t="s">
        <v>11</v>
      </c>
      <c r="E132" s="9">
        <v>2013</v>
      </c>
      <c r="F132" s="44">
        <f t="shared" si="1"/>
        <v>9.8243678160919536</v>
      </c>
      <c r="G132" s="38">
        <v>9.7810826063947278</v>
      </c>
      <c r="H132" s="38">
        <v>4.6166553564021173</v>
      </c>
      <c r="I132" s="38">
        <v>16.737908261069791</v>
      </c>
      <c r="J132" s="11">
        <v>12</v>
      </c>
      <c r="K132" s="9">
        <v>0.81869731800766288</v>
      </c>
      <c r="L132" s="9"/>
      <c r="M132" s="9"/>
      <c r="N132" s="9"/>
      <c r="O132" s="9"/>
    </row>
    <row r="133" spans="1:15" x14ac:dyDescent="0.25">
      <c r="A133" s="9" t="s">
        <v>22</v>
      </c>
      <c r="B133" s="9" t="s">
        <v>27</v>
      </c>
      <c r="C133" s="9" t="s">
        <v>19</v>
      </c>
      <c r="D133" s="9" t="s">
        <v>11</v>
      </c>
      <c r="E133" s="9">
        <v>2013</v>
      </c>
      <c r="F133" s="44">
        <f t="shared" si="1"/>
        <v>20.700348432055748</v>
      </c>
      <c r="G133" s="38">
        <v>20.708432769639142</v>
      </c>
      <c r="H133" s="38">
        <v>12.776825182865005</v>
      </c>
      <c r="I133" s="38">
        <v>30.469206833853317</v>
      </c>
      <c r="J133" s="9">
        <v>26</v>
      </c>
      <c r="K133" s="9">
        <v>0.79616724738675959</v>
      </c>
      <c r="L133" s="9"/>
      <c r="M133" s="9"/>
      <c r="N133" s="9"/>
      <c r="O133" s="9"/>
    </row>
    <row r="134" spans="1:15" x14ac:dyDescent="0.25">
      <c r="A134" s="9" t="s">
        <v>22</v>
      </c>
      <c r="B134" s="9" t="s">
        <v>27</v>
      </c>
      <c r="C134" s="9" t="s">
        <v>20</v>
      </c>
      <c r="D134" s="9" t="s">
        <v>11</v>
      </c>
      <c r="E134" s="9">
        <v>2013</v>
      </c>
      <c r="F134" s="44">
        <f t="shared" si="1"/>
        <v>26.828108108108108</v>
      </c>
      <c r="G134" s="38">
        <v>26.835465960361947</v>
      </c>
      <c r="H134" s="38">
        <v>17.629919136805988</v>
      </c>
      <c r="I134" s="38">
        <v>37.784405147405124</v>
      </c>
      <c r="J134" s="9">
        <v>32</v>
      </c>
      <c r="K134" s="9">
        <v>0.83837837837837836</v>
      </c>
      <c r="L134" s="9"/>
      <c r="M134" s="9"/>
      <c r="N134" s="9"/>
      <c r="O134" s="9"/>
    </row>
    <row r="135" spans="1:15" x14ac:dyDescent="0.25">
      <c r="A135" s="9" t="s">
        <v>22</v>
      </c>
      <c r="B135" s="9" t="s">
        <v>28</v>
      </c>
      <c r="C135" s="9" t="s">
        <v>31</v>
      </c>
      <c r="D135" s="9" t="s">
        <v>12</v>
      </c>
      <c r="E135" s="9">
        <v>2013</v>
      </c>
      <c r="F135" s="44">
        <f t="shared" si="1"/>
        <v>53.215325670498089</v>
      </c>
      <c r="G135" s="38">
        <v>53.329231628035764</v>
      </c>
      <c r="H135" s="38">
        <v>40.192851522947031</v>
      </c>
      <c r="I135" s="38">
        <v>68.225332410120771</v>
      </c>
      <c r="J135" s="11">
        <v>65</v>
      </c>
      <c r="K135" s="9">
        <v>0.81869731800766288</v>
      </c>
      <c r="L135" s="9"/>
      <c r="M135" s="9"/>
      <c r="N135" s="9"/>
      <c r="O135" s="9"/>
    </row>
    <row r="136" spans="1:15" x14ac:dyDescent="0.25">
      <c r="A136" s="9" t="s">
        <v>22</v>
      </c>
      <c r="B136" s="9" t="s">
        <v>28</v>
      </c>
      <c r="C136" s="9" t="s">
        <v>19</v>
      </c>
      <c r="D136" s="9" t="s">
        <v>12</v>
      </c>
      <c r="E136" s="9">
        <v>2013</v>
      </c>
      <c r="F136" s="44">
        <f t="shared" si="1"/>
        <v>197.44947735191639</v>
      </c>
      <c r="G136" s="38">
        <v>197.5073269347732</v>
      </c>
      <c r="H136" s="38">
        <v>171.18990645523408</v>
      </c>
      <c r="I136" s="38">
        <v>226.19650068025135</v>
      </c>
      <c r="J136" s="9">
        <v>248</v>
      </c>
      <c r="K136" s="9">
        <v>0.79616724738675959</v>
      </c>
      <c r="L136" s="9"/>
      <c r="M136" s="9"/>
      <c r="N136" s="9"/>
      <c r="O136" s="9"/>
    </row>
    <row r="137" spans="1:15" x14ac:dyDescent="0.25">
      <c r="A137" s="9" t="s">
        <v>22</v>
      </c>
      <c r="B137" s="9" t="s">
        <v>28</v>
      </c>
      <c r="C137" s="9" t="s">
        <v>20</v>
      </c>
      <c r="D137" s="9" t="s">
        <v>12</v>
      </c>
      <c r="E137" s="9">
        <v>2013</v>
      </c>
      <c r="F137" s="44">
        <f t="shared" si="1"/>
        <v>120.72648648648648</v>
      </c>
      <c r="G137" s="38">
        <v>120.67691461285862</v>
      </c>
      <c r="H137" s="38">
        <v>100.29328561773289</v>
      </c>
      <c r="I137" s="38">
        <v>142.80295424300604</v>
      </c>
      <c r="J137" s="11">
        <v>144</v>
      </c>
      <c r="K137" s="9">
        <v>0.83837837837837836</v>
      </c>
      <c r="L137" s="9"/>
      <c r="M137" s="9"/>
      <c r="N137" s="9"/>
      <c r="O137" s="9"/>
    </row>
    <row r="138" spans="1:15" x14ac:dyDescent="0.25">
      <c r="A138" s="9" t="s">
        <v>22</v>
      </c>
      <c r="B138" s="9" t="s">
        <v>28</v>
      </c>
      <c r="C138" s="9" t="s">
        <v>31</v>
      </c>
      <c r="D138" s="9" t="s">
        <v>15</v>
      </c>
      <c r="E138" s="9">
        <v>2013</v>
      </c>
      <c r="F138" s="44">
        <f t="shared" si="1"/>
        <v>37.631999999999998</v>
      </c>
      <c r="G138" s="38">
        <v>37.594301774521369</v>
      </c>
      <c r="H138" s="38">
        <v>26.61025700484911</v>
      </c>
      <c r="I138" s="38">
        <v>50.494926371112932</v>
      </c>
      <c r="J138" s="11">
        <v>42</v>
      </c>
      <c r="K138" s="9">
        <v>0.89600000000000002</v>
      </c>
      <c r="L138" s="9"/>
      <c r="M138" s="9"/>
      <c r="N138" s="9"/>
      <c r="O138" s="9"/>
    </row>
    <row r="139" spans="1:15" x14ac:dyDescent="0.25">
      <c r="A139" s="9" t="s">
        <v>22</v>
      </c>
      <c r="B139" s="9" t="s">
        <v>28</v>
      </c>
      <c r="C139" s="9" t="s">
        <v>19</v>
      </c>
      <c r="D139" s="9" t="s">
        <v>15</v>
      </c>
      <c r="E139" s="9">
        <v>2013</v>
      </c>
      <c r="F139" s="44">
        <f t="shared" si="1"/>
        <v>190.18366559485528</v>
      </c>
      <c r="G139" s="38">
        <v>190.19898093422259</v>
      </c>
      <c r="H139" s="38">
        <v>164.43940912636458</v>
      </c>
      <c r="I139" s="38">
        <v>218.27633076369224</v>
      </c>
      <c r="J139" s="9">
        <v>227</v>
      </c>
      <c r="K139" s="9">
        <v>0.83781350482315109</v>
      </c>
      <c r="L139" s="9"/>
      <c r="M139" s="9"/>
      <c r="N139" s="9"/>
      <c r="O139" s="9"/>
    </row>
    <row r="140" spans="1:15" ht="15.75" thickBot="1" x14ac:dyDescent="0.3">
      <c r="A140" s="6" t="s">
        <v>22</v>
      </c>
      <c r="B140" s="6" t="s">
        <v>28</v>
      </c>
      <c r="C140" s="6" t="s">
        <v>20</v>
      </c>
      <c r="D140" s="6" t="s">
        <v>15</v>
      </c>
      <c r="E140" s="6">
        <v>2013</v>
      </c>
      <c r="F140" s="45">
        <f t="shared" si="1"/>
        <v>94.877094972067042</v>
      </c>
      <c r="G140" s="65">
        <v>94.809494284298268</v>
      </c>
      <c r="H140" s="65">
        <v>76.737273441080035</v>
      </c>
      <c r="I140" s="65">
        <v>114.71762160142023</v>
      </c>
      <c r="J140" s="6">
        <v>111</v>
      </c>
      <c r="K140" s="6">
        <v>0.85474860335195535</v>
      </c>
      <c r="L140" s="6"/>
      <c r="M140" s="6"/>
      <c r="N140" s="6"/>
      <c r="O140" s="9"/>
    </row>
    <row r="141" spans="1:15" x14ac:dyDescent="0.25">
      <c r="A141" s="9" t="s">
        <v>10</v>
      </c>
      <c r="B141" s="9" t="s">
        <v>11</v>
      </c>
      <c r="C141" s="9" t="s">
        <v>11</v>
      </c>
      <c r="D141" s="9" t="s">
        <v>11</v>
      </c>
      <c r="E141" s="9">
        <v>2014</v>
      </c>
      <c r="F141" s="44">
        <f>SUM(F143:F160)</f>
        <v>110399.41785723649</v>
      </c>
      <c r="G141" s="38">
        <v>110400.9412</v>
      </c>
      <c r="H141" s="38">
        <v>109746</v>
      </c>
      <c r="I141" s="38">
        <v>111050</v>
      </c>
      <c r="J141" s="24"/>
      <c r="K141" s="11"/>
      <c r="L141" s="9"/>
      <c r="M141" s="9"/>
      <c r="N141" s="9"/>
      <c r="O141" s="9"/>
    </row>
    <row r="142" spans="1:15" x14ac:dyDescent="0.25">
      <c r="A142" s="9" t="s">
        <v>10</v>
      </c>
      <c r="B142" s="9" t="s">
        <v>24</v>
      </c>
      <c r="C142" s="9" t="s">
        <v>11</v>
      </c>
      <c r="D142" s="9" t="s">
        <v>11</v>
      </c>
      <c r="E142" s="9">
        <v>2014</v>
      </c>
      <c r="F142" s="44">
        <f>SUM(F143:F145)</f>
        <v>42300.968502067815</v>
      </c>
      <c r="G142" s="38"/>
      <c r="H142" s="38"/>
      <c r="I142" s="38"/>
      <c r="J142" s="24"/>
      <c r="K142" s="11"/>
      <c r="L142" s="9"/>
      <c r="M142" s="9"/>
      <c r="N142" s="9"/>
      <c r="O142" s="9"/>
    </row>
    <row r="143" spans="1:15" x14ac:dyDescent="0.25">
      <c r="A143" s="9" t="s">
        <v>10</v>
      </c>
      <c r="B143" s="9" t="s">
        <v>24</v>
      </c>
      <c r="C143" s="9" t="s">
        <v>31</v>
      </c>
      <c r="D143" s="9" t="s">
        <v>11</v>
      </c>
      <c r="E143" s="9">
        <v>2014</v>
      </c>
      <c r="F143" s="44">
        <f t="shared" si="1"/>
        <v>16830.499989631935</v>
      </c>
      <c r="G143" s="38">
        <v>16830.007790257238</v>
      </c>
      <c r="H143" s="38">
        <v>16576.373655596304</v>
      </c>
      <c r="I143" s="38">
        <v>17084.239034398164</v>
      </c>
      <c r="J143" s="24">
        <v>18442</v>
      </c>
      <c r="K143" s="11">
        <v>0.9126179367547953</v>
      </c>
      <c r="L143" s="9"/>
      <c r="M143" s="9"/>
      <c r="O143" s="9"/>
    </row>
    <row r="144" spans="1:15" x14ac:dyDescent="0.25">
      <c r="A144" s="9" t="s">
        <v>10</v>
      </c>
      <c r="B144" s="9" t="s">
        <v>24</v>
      </c>
      <c r="C144" s="9" t="s">
        <v>19</v>
      </c>
      <c r="D144" s="9" t="s">
        <v>11</v>
      </c>
      <c r="E144" s="9">
        <v>2014</v>
      </c>
      <c r="F144" s="44">
        <f t="shared" si="1"/>
        <v>12890.416514434595</v>
      </c>
      <c r="G144" s="38">
        <v>12891.894752475337</v>
      </c>
      <c r="H144" s="38">
        <v>12669.016924042679</v>
      </c>
      <c r="I144" s="38">
        <v>13115.916445073768</v>
      </c>
      <c r="J144" s="24">
        <v>14063</v>
      </c>
      <c r="K144" s="11">
        <v>0.91661925011978918</v>
      </c>
      <c r="L144" s="9"/>
      <c r="M144" s="9"/>
      <c r="O144" s="9"/>
    </row>
    <row r="145" spans="1:15" x14ac:dyDescent="0.25">
      <c r="A145" s="9" t="s">
        <v>10</v>
      </c>
      <c r="B145" s="9" t="s">
        <v>24</v>
      </c>
      <c r="C145" s="9" t="s">
        <v>20</v>
      </c>
      <c r="D145" s="9" t="s">
        <v>11</v>
      </c>
      <c r="E145" s="9">
        <v>2014</v>
      </c>
      <c r="F145" s="44">
        <f t="shared" si="1"/>
        <v>12580.051998001285</v>
      </c>
      <c r="G145" s="38">
        <v>12578.928094836214</v>
      </c>
      <c r="H145" s="38">
        <v>12360.843058768332</v>
      </c>
      <c r="I145" s="38">
        <v>12797.848959265424</v>
      </c>
      <c r="J145" s="24">
        <v>13541</v>
      </c>
      <c r="K145" s="11">
        <v>0.92903419230494688</v>
      </c>
      <c r="L145" s="9"/>
      <c r="M145" s="9"/>
      <c r="O145" s="9"/>
    </row>
    <row r="146" spans="1:15" x14ac:dyDescent="0.25">
      <c r="A146" s="9" t="s">
        <v>10</v>
      </c>
      <c r="B146" s="9" t="s">
        <v>26</v>
      </c>
      <c r="C146" s="9" t="s">
        <v>31</v>
      </c>
      <c r="D146" s="9" t="s">
        <v>12</v>
      </c>
      <c r="E146" s="9">
        <v>2014</v>
      </c>
      <c r="F146" s="44">
        <f t="shared" si="1"/>
        <v>1190.9664074650079</v>
      </c>
      <c r="G146" s="38">
        <v>1190.8315898363935</v>
      </c>
      <c r="H146" s="38">
        <v>1125.5240428821808</v>
      </c>
      <c r="I146" s="38">
        <v>1259.5894930429722</v>
      </c>
      <c r="J146" s="24">
        <v>1305</v>
      </c>
      <c r="K146" s="11">
        <v>0.9126179367547953</v>
      </c>
      <c r="L146" s="9"/>
      <c r="M146" s="9"/>
      <c r="O146" s="9"/>
    </row>
    <row r="147" spans="1:15" x14ac:dyDescent="0.25">
      <c r="A147" s="9" t="s">
        <v>10</v>
      </c>
      <c r="B147" s="9" t="s">
        <v>26</v>
      </c>
      <c r="C147" s="9" t="s">
        <v>19</v>
      </c>
      <c r="D147" s="9" t="s">
        <v>12</v>
      </c>
      <c r="E147" s="9">
        <v>2014</v>
      </c>
      <c r="F147" s="44">
        <f t="shared" si="1"/>
        <v>4014.7923155246767</v>
      </c>
      <c r="G147" s="38">
        <v>4015.1380876245853</v>
      </c>
      <c r="H147" s="38">
        <v>3891.1749363492718</v>
      </c>
      <c r="I147" s="38">
        <v>4138.142219726471</v>
      </c>
      <c r="J147" s="24">
        <v>4380</v>
      </c>
      <c r="K147" s="11">
        <v>0.91661925011978918</v>
      </c>
      <c r="L147" s="9"/>
      <c r="M147" s="9"/>
      <c r="O147" s="9"/>
    </row>
    <row r="148" spans="1:15" x14ac:dyDescent="0.25">
      <c r="A148" s="9" t="s">
        <v>10</v>
      </c>
      <c r="B148" s="9" t="s">
        <v>26</v>
      </c>
      <c r="C148" s="9" t="s">
        <v>20</v>
      </c>
      <c r="D148" s="9" t="s">
        <v>12</v>
      </c>
      <c r="E148" s="9">
        <v>2014</v>
      </c>
      <c r="F148" s="44">
        <f t="shared" si="1"/>
        <v>4696.2678421015062</v>
      </c>
      <c r="G148" s="38">
        <v>4695.4545403537704</v>
      </c>
      <c r="H148" s="38">
        <v>4564.5432038986419</v>
      </c>
      <c r="I148" s="38">
        <v>4833.0717058214859</v>
      </c>
      <c r="J148" s="24">
        <v>5055</v>
      </c>
      <c r="K148" s="11">
        <v>0.92903419230494688</v>
      </c>
      <c r="L148" s="9"/>
      <c r="M148" s="9"/>
      <c r="O148" s="9"/>
    </row>
    <row r="149" spans="1:15" x14ac:dyDescent="0.25">
      <c r="A149" s="9" t="s">
        <v>10</v>
      </c>
      <c r="B149" s="9" t="s">
        <v>26</v>
      </c>
      <c r="C149" s="9" t="s">
        <v>31</v>
      </c>
      <c r="D149" s="9" t="s">
        <v>15</v>
      </c>
      <c r="E149" s="9">
        <v>2014</v>
      </c>
      <c r="F149" s="44">
        <f t="shared" si="1"/>
        <v>602.00662020905929</v>
      </c>
      <c r="G149" s="38">
        <v>602.55469206436635</v>
      </c>
      <c r="H149" s="38">
        <v>554.39648095364623</v>
      </c>
      <c r="I149" s="38">
        <v>652.02384331424184</v>
      </c>
      <c r="J149" s="24">
        <v>655</v>
      </c>
      <c r="K149" s="11">
        <v>0.91909407665505227</v>
      </c>
      <c r="L149" s="9"/>
      <c r="M149" s="9"/>
      <c r="O149" s="9"/>
    </row>
    <row r="150" spans="1:15" x14ac:dyDescent="0.25">
      <c r="A150" s="9" t="s">
        <v>10</v>
      </c>
      <c r="B150" s="9" t="s">
        <v>26</v>
      </c>
      <c r="C150" s="9" t="s">
        <v>19</v>
      </c>
      <c r="D150" s="9" t="s">
        <v>15</v>
      </c>
      <c r="E150" s="9">
        <v>2014</v>
      </c>
      <c r="F150" s="44">
        <f t="shared" si="1"/>
        <v>2460.2138695652175</v>
      </c>
      <c r="G150" s="38">
        <v>2460.0199766967467</v>
      </c>
      <c r="H150" s="38">
        <v>2362.5653674588284</v>
      </c>
      <c r="I150" s="38">
        <v>2556.7886213787128</v>
      </c>
      <c r="J150" s="24">
        <v>2647</v>
      </c>
      <c r="K150" s="11">
        <v>0.92943478260869572</v>
      </c>
      <c r="L150" s="9"/>
      <c r="M150" s="9"/>
      <c r="O150" s="9"/>
    </row>
    <row r="151" spans="1:15" x14ac:dyDescent="0.25">
      <c r="A151" s="9" t="s">
        <v>10</v>
      </c>
      <c r="B151" s="9" t="s">
        <v>26</v>
      </c>
      <c r="C151" s="9" t="s">
        <v>20</v>
      </c>
      <c r="D151" s="9" t="s">
        <v>15</v>
      </c>
      <c r="E151" s="9">
        <v>2014</v>
      </c>
      <c r="F151" s="44">
        <f t="shared" si="1"/>
        <v>2081.8841526566575</v>
      </c>
      <c r="G151" s="38">
        <v>2081.7622293919994</v>
      </c>
      <c r="H151" s="38">
        <v>1994.4857202840933</v>
      </c>
      <c r="I151" s="38">
        <v>2171.7866586768077</v>
      </c>
      <c r="J151" s="24">
        <v>2257</v>
      </c>
      <c r="K151" s="11">
        <v>0.92241211903263509</v>
      </c>
      <c r="L151" s="9"/>
      <c r="M151" s="9"/>
      <c r="O151" s="9"/>
    </row>
    <row r="152" spans="1:15" x14ac:dyDescent="0.25">
      <c r="A152" s="9" t="s">
        <v>10</v>
      </c>
      <c r="B152" s="9" t="s">
        <v>27</v>
      </c>
      <c r="C152" s="9" t="s">
        <v>31</v>
      </c>
      <c r="D152" s="9" t="s">
        <v>11</v>
      </c>
      <c r="E152" s="9">
        <v>2014</v>
      </c>
      <c r="F152" s="44">
        <f t="shared" si="1"/>
        <v>595.93951270088132</v>
      </c>
      <c r="G152" s="38">
        <v>596.27955839857032</v>
      </c>
      <c r="H152" s="38">
        <v>549.86531468865064</v>
      </c>
      <c r="I152" s="38">
        <v>645.28005658424843</v>
      </c>
      <c r="J152" s="24">
        <v>653</v>
      </c>
      <c r="K152" s="11">
        <v>0.9126179367547953</v>
      </c>
      <c r="L152" s="9"/>
      <c r="M152" s="9"/>
      <c r="O152" s="9"/>
    </row>
    <row r="153" spans="1:15" x14ac:dyDescent="0.25">
      <c r="A153" s="9" t="s">
        <v>10</v>
      </c>
      <c r="B153" s="9" t="s">
        <v>27</v>
      </c>
      <c r="C153" s="9" t="s">
        <v>19</v>
      </c>
      <c r="D153" s="9" t="s">
        <v>11</v>
      </c>
      <c r="E153" s="9">
        <v>2014</v>
      </c>
      <c r="F153" s="44">
        <f t="shared" si="1"/>
        <v>879.03786086487787</v>
      </c>
      <c r="G153" s="38">
        <v>878.54090662041824</v>
      </c>
      <c r="H153" s="38">
        <v>822.73271901904684</v>
      </c>
      <c r="I153" s="38">
        <v>937.12530645760057</v>
      </c>
      <c r="J153" s="24">
        <v>959</v>
      </c>
      <c r="K153" s="11">
        <v>0.91661925011978918</v>
      </c>
      <c r="L153" s="9"/>
      <c r="M153" s="9"/>
      <c r="O153" s="9"/>
    </row>
    <row r="154" spans="1:15" x14ac:dyDescent="0.25">
      <c r="A154" s="9" t="s">
        <v>10</v>
      </c>
      <c r="B154" s="9" t="s">
        <v>27</v>
      </c>
      <c r="C154" s="9" t="s">
        <v>20</v>
      </c>
      <c r="D154" s="9" t="s">
        <v>11</v>
      </c>
      <c r="E154" s="9">
        <v>2014</v>
      </c>
      <c r="F154" s="44">
        <f t="shared" si="1"/>
        <v>993.13755157398816</v>
      </c>
      <c r="G154" s="38">
        <v>993.29436802034502</v>
      </c>
      <c r="H154" s="38">
        <v>932.54452909421877</v>
      </c>
      <c r="I154" s="38">
        <v>1056.7117001437744</v>
      </c>
      <c r="J154" s="24">
        <v>1069</v>
      </c>
      <c r="K154" s="11">
        <v>0.92903419230494688</v>
      </c>
      <c r="L154" s="9"/>
      <c r="M154" s="9"/>
      <c r="O154" s="9"/>
    </row>
    <row r="155" spans="1:15" x14ac:dyDescent="0.25">
      <c r="A155" s="9" t="s">
        <v>10</v>
      </c>
      <c r="B155" s="9" t="s">
        <v>28</v>
      </c>
      <c r="C155" s="9" t="s">
        <v>31</v>
      </c>
      <c r="D155" s="9" t="s">
        <v>12</v>
      </c>
      <c r="E155" s="9">
        <v>2014</v>
      </c>
      <c r="F155" s="44">
        <f t="shared" si="1"/>
        <v>3849.4224572317266</v>
      </c>
      <c r="G155" s="38">
        <v>3849.4360373533123</v>
      </c>
      <c r="H155" s="38">
        <v>3726.0782941357484</v>
      </c>
      <c r="I155" s="38">
        <v>3971.4201748324276</v>
      </c>
      <c r="J155" s="24">
        <v>4218</v>
      </c>
      <c r="K155" s="11">
        <v>0.9126179367547953</v>
      </c>
      <c r="L155" s="9"/>
      <c r="M155" s="9"/>
      <c r="O155" s="9"/>
    </row>
    <row r="156" spans="1:15" x14ac:dyDescent="0.25">
      <c r="A156" s="9" t="s">
        <v>10</v>
      </c>
      <c r="B156" s="9" t="s">
        <v>28</v>
      </c>
      <c r="C156" s="9" t="s">
        <v>19</v>
      </c>
      <c r="D156" s="9" t="s">
        <v>12</v>
      </c>
      <c r="E156" s="9">
        <v>2014</v>
      </c>
      <c r="F156" s="44">
        <f t="shared" si="1"/>
        <v>12785.005300670819</v>
      </c>
      <c r="G156" s="38">
        <v>12786.407654151843</v>
      </c>
      <c r="H156" s="38">
        <v>12566.220866809399</v>
      </c>
      <c r="I156" s="38">
        <v>13008.891039332884</v>
      </c>
      <c r="J156" s="24">
        <v>13948</v>
      </c>
      <c r="K156" s="11">
        <v>0.91661925011978918</v>
      </c>
      <c r="L156" s="9"/>
      <c r="M156" s="9"/>
      <c r="O156" s="9"/>
    </row>
    <row r="157" spans="1:15" x14ac:dyDescent="0.25">
      <c r="A157" s="9" t="s">
        <v>10</v>
      </c>
      <c r="B157" s="9" t="s">
        <v>28</v>
      </c>
      <c r="C157" s="9" t="s">
        <v>20</v>
      </c>
      <c r="D157" s="9" t="s">
        <v>12</v>
      </c>
      <c r="E157" s="9">
        <v>2014</v>
      </c>
      <c r="F157" s="44">
        <f t="shared" si="1"/>
        <v>7743.4999928617326</v>
      </c>
      <c r="G157" s="38">
        <v>7742.3059511002557</v>
      </c>
      <c r="H157" s="38">
        <v>7572.8016247942924</v>
      </c>
      <c r="I157" s="38">
        <v>7911.8249025577379</v>
      </c>
      <c r="J157" s="24">
        <v>8335</v>
      </c>
      <c r="K157" s="11">
        <v>0.92903419230494688</v>
      </c>
      <c r="L157" s="9"/>
      <c r="M157" s="9"/>
      <c r="O157" s="9"/>
    </row>
    <row r="158" spans="1:15" x14ac:dyDescent="0.25">
      <c r="A158" s="9" t="s">
        <v>10</v>
      </c>
      <c r="B158" s="9" t="s">
        <v>28</v>
      </c>
      <c r="C158" s="9" t="s">
        <v>31</v>
      </c>
      <c r="D158" s="9" t="s">
        <v>15</v>
      </c>
      <c r="E158" s="9">
        <v>2014</v>
      </c>
      <c r="F158" s="44">
        <f>J158*K158</f>
        <v>2170.9002090592335</v>
      </c>
      <c r="G158" s="38">
        <v>2171.4912016763178</v>
      </c>
      <c r="H158" s="38">
        <v>2081.4579717233128</v>
      </c>
      <c r="I158" s="38">
        <v>2263.4676082820879</v>
      </c>
      <c r="J158" s="24">
        <v>2362</v>
      </c>
      <c r="K158" s="11">
        <v>0.91909407665505227</v>
      </c>
      <c r="L158" s="9"/>
      <c r="M158" s="9"/>
      <c r="O158" s="9"/>
    </row>
    <row r="159" spans="1:15" x14ac:dyDescent="0.25">
      <c r="A159" s="9" t="s">
        <v>10</v>
      </c>
      <c r="B159" s="9" t="s">
        <v>28</v>
      </c>
      <c r="C159" s="9" t="s">
        <v>19</v>
      </c>
      <c r="D159" s="9" t="s">
        <v>15</v>
      </c>
      <c r="E159" s="9">
        <v>2014</v>
      </c>
      <c r="F159" s="44">
        <f>J159*K159</f>
        <v>15881.252130434783</v>
      </c>
      <c r="G159" s="38">
        <v>15882.632028832682</v>
      </c>
      <c r="H159" s="38">
        <v>15642.541142784732</v>
      </c>
      <c r="I159" s="38">
        <v>16134.118552600978</v>
      </c>
      <c r="J159" s="24">
        <v>17087</v>
      </c>
      <c r="K159" s="11">
        <v>0.92943478260869572</v>
      </c>
      <c r="L159" s="9"/>
      <c r="M159" s="9"/>
      <c r="O159" s="9"/>
    </row>
    <row r="160" spans="1:15" x14ac:dyDescent="0.25">
      <c r="A160" s="9" t="s">
        <v>10</v>
      </c>
      <c r="B160" s="9" t="s">
        <v>28</v>
      </c>
      <c r="C160" s="9" t="s">
        <v>20</v>
      </c>
      <c r="D160" s="9" t="s">
        <v>15</v>
      </c>
      <c r="E160" s="9">
        <v>2014</v>
      </c>
      <c r="F160" s="44">
        <f>J160*K160</f>
        <v>8154.1231322484946</v>
      </c>
      <c r="G160" s="38">
        <v>8153.9617403096063</v>
      </c>
      <c r="H160" s="38">
        <v>7973.9260594701791</v>
      </c>
      <c r="I160" s="38">
        <v>8327.0307338136317</v>
      </c>
      <c r="J160" s="24">
        <v>8840</v>
      </c>
      <c r="K160" s="11">
        <v>0.92241211903263509</v>
      </c>
      <c r="L160" s="9"/>
      <c r="M160" s="9"/>
      <c r="O160" s="9"/>
    </row>
    <row r="161" spans="1:15" x14ac:dyDescent="0.25">
      <c r="A161" s="9" t="s">
        <v>21</v>
      </c>
      <c r="B161" s="9" t="s">
        <v>11</v>
      </c>
      <c r="C161" s="9" t="s">
        <v>11</v>
      </c>
      <c r="D161" s="9" t="s">
        <v>11</v>
      </c>
      <c r="E161" s="9">
        <v>2014</v>
      </c>
      <c r="F161" s="44">
        <f>SUM(F164:F181)</f>
        <v>2659.7876459338172</v>
      </c>
      <c r="G161" s="38">
        <v>2661.2638999999999</v>
      </c>
      <c r="H161" s="38">
        <v>2561</v>
      </c>
      <c r="I161" s="38">
        <v>2763.0249999999996</v>
      </c>
      <c r="J161" s="9"/>
      <c r="K161" s="9"/>
      <c r="L161" s="9"/>
      <c r="M161" s="9"/>
      <c r="O161" s="9"/>
    </row>
    <row r="162" spans="1:15" x14ac:dyDescent="0.25">
      <c r="A162" s="9" t="s">
        <v>21</v>
      </c>
      <c r="B162" s="9" t="s">
        <v>11</v>
      </c>
      <c r="C162" s="9" t="s">
        <v>19</v>
      </c>
      <c r="D162" s="9" t="s">
        <v>11</v>
      </c>
      <c r="E162" s="9">
        <v>2014</v>
      </c>
      <c r="F162" s="44">
        <f>SUM(F165,F168,F171,F174,F177,F180)</f>
        <v>1142.2712029161605</v>
      </c>
      <c r="G162" s="38"/>
      <c r="H162" s="38"/>
      <c r="I162" s="38"/>
      <c r="J162" s="24"/>
      <c r="K162" s="9"/>
      <c r="L162" s="9"/>
      <c r="M162" s="9"/>
      <c r="O162" s="9"/>
    </row>
    <row r="163" spans="1:15" x14ac:dyDescent="0.25">
      <c r="A163" s="9" t="s">
        <v>21</v>
      </c>
      <c r="B163" s="9" t="s">
        <v>24</v>
      </c>
      <c r="C163" s="9" t="s">
        <v>11</v>
      </c>
      <c r="D163" s="9" t="s">
        <v>11</v>
      </c>
      <c r="E163" s="9">
        <v>2014</v>
      </c>
      <c r="F163" s="44">
        <f>SUM(F164:F166)</f>
        <v>1569.8635929241627</v>
      </c>
      <c r="G163" s="38"/>
      <c r="H163" s="38"/>
      <c r="I163" s="38"/>
      <c r="J163" s="9"/>
      <c r="K163" s="9"/>
      <c r="L163" s="9"/>
      <c r="M163" s="9"/>
      <c r="O163" s="9"/>
    </row>
    <row r="164" spans="1:15" x14ac:dyDescent="0.25">
      <c r="A164" s="9" t="s">
        <v>21</v>
      </c>
      <c r="B164" s="9" t="s">
        <v>24</v>
      </c>
      <c r="C164" s="9" t="s">
        <v>31</v>
      </c>
      <c r="D164" s="9" t="s">
        <v>11</v>
      </c>
      <c r="E164" s="9">
        <v>2014</v>
      </c>
      <c r="F164" s="44">
        <f t="shared" si="1"/>
        <v>489.20706260032102</v>
      </c>
      <c r="G164" s="38">
        <v>489.33245069581938</v>
      </c>
      <c r="H164" s="38">
        <v>446.75696610464706</v>
      </c>
      <c r="I164" s="38">
        <v>533.74642008944568</v>
      </c>
      <c r="J164" s="24">
        <v>498</v>
      </c>
      <c r="K164" s="9">
        <v>0.9823434991974318</v>
      </c>
      <c r="L164" s="9"/>
      <c r="M164" s="9"/>
      <c r="O164" s="9"/>
    </row>
    <row r="165" spans="1:15" x14ac:dyDescent="0.25">
      <c r="A165" s="9" t="s">
        <v>21</v>
      </c>
      <c r="B165" s="9" t="s">
        <v>24</v>
      </c>
      <c r="C165" s="9" t="s">
        <v>19</v>
      </c>
      <c r="D165" s="9" t="s">
        <v>11</v>
      </c>
      <c r="E165" s="9">
        <v>2014</v>
      </c>
      <c r="F165" s="44">
        <f t="shared" si="1"/>
        <v>504.57142162818951</v>
      </c>
      <c r="G165" s="38">
        <v>505.13113449676882</v>
      </c>
      <c r="H165" s="38">
        <v>462.02527567649838</v>
      </c>
      <c r="I165" s="38">
        <v>549.26805803182481</v>
      </c>
      <c r="J165" s="24">
        <v>519</v>
      </c>
      <c r="K165" s="9">
        <v>0.97219927095990277</v>
      </c>
      <c r="L165" s="9"/>
      <c r="M165" s="9"/>
      <c r="O165" s="9"/>
    </row>
    <row r="166" spans="1:15" x14ac:dyDescent="0.25">
      <c r="A166" s="9" t="s">
        <v>21</v>
      </c>
      <c r="B166" s="9" t="s">
        <v>24</v>
      </c>
      <c r="C166" s="9" t="s">
        <v>20</v>
      </c>
      <c r="D166" s="9" t="s">
        <v>11</v>
      </c>
      <c r="E166" s="9">
        <v>2014</v>
      </c>
      <c r="F166" s="44">
        <f t="shared" si="1"/>
        <v>576.08510869565214</v>
      </c>
      <c r="G166" s="38">
        <v>576.21773653658147</v>
      </c>
      <c r="H166" s="38">
        <v>530.39554835768956</v>
      </c>
      <c r="I166" s="38">
        <v>625.07449163871854</v>
      </c>
      <c r="J166" s="24">
        <v>582</v>
      </c>
      <c r="K166" s="9">
        <v>0.98983695652173909</v>
      </c>
      <c r="L166" s="9"/>
      <c r="M166" s="9"/>
      <c r="O166" s="9"/>
    </row>
    <row r="167" spans="1:15" x14ac:dyDescent="0.25">
      <c r="A167" s="9" t="s">
        <v>21</v>
      </c>
      <c r="B167" s="9" t="s">
        <v>26</v>
      </c>
      <c r="C167" s="9" t="s">
        <v>31</v>
      </c>
      <c r="D167" s="9" t="s">
        <v>12</v>
      </c>
      <c r="E167" s="9">
        <v>2014</v>
      </c>
      <c r="F167" s="44">
        <f t="shared" si="1"/>
        <v>6.8764044943820224</v>
      </c>
      <c r="G167" s="38">
        <v>6.8430538524811482</v>
      </c>
      <c r="H167" s="38">
        <v>2.6782663189626219</v>
      </c>
      <c r="I167" s="38">
        <v>12.914584838351471</v>
      </c>
      <c r="J167" s="24">
        <v>7</v>
      </c>
      <c r="K167" s="9">
        <v>0.9823434991974318</v>
      </c>
      <c r="L167" s="9"/>
      <c r="M167" s="9"/>
      <c r="O167" s="9"/>
    </row>
    <row r="168" spans="1:15" x14ac:dyDescent="0.25">
      <c r="A168" s="9" t="s">
        <v>21</v>
      </c>
      <c r="B168" s="9" t="s">
        <v>26</v>
      </c>
      <c r="C168" s="9" t="s">
        <v>19</v>
      </c>
      <c r="D168" s="9" t="s">
        <v>12</v>
      </c>
      <c r="E168" s="9">
        <v>2014</v>
      </c>
      <c r="F168" s="44">
        <f t="shared" si="1"/>
        <v>10.69419198055893</v>
      </c>
      <c r="G168" s="38">
        <v>10.658843024729167</v>
      </c>
      <c r="H168" s="38">
        <v>5.2276253800951409</v>
      </c>
      <c r="I168" s="38">
        <v>17.858695393332603</v>
      </c>
      <c r="J168" s="24">
        <v>11</v>
      </c>
      <c r="K168" s="9">
        <v>0.97219927095990277</v>
      </c>
      <c r="L168" s="9"/>
      <c r="M168" s="9"/>
      <c r="O168" s="9"/>
    </row>
    <row r="169" spans="1:15" x14ac:dyDescent="0.25">
      <c r="A169" s="9" t="s">
        <v>21</v>
      </c>
      <c r="B169" s="9" t="s">
        <v>26</v>
      </c>
      <c r="C169" s="9" t="s">
        <v>20</v>
      </c>
      <c r="D169" s="9" t="s">
        <v>12</v>
      </c>
      <c r="E169" s="9">
        <v>2014</v>
      </c>
      <c r="F169" s="44">
        <f t="shared" si="1"/>
        <v>8.9085326086956513</v>
      </c>
      <c r="G169" s="38">
        <v>8.9034749793864787</v>
      </c>
      <c r="H169" s="38">
        <v>4.0651914303350667</v>
      </c>
      <c r="I169" s="38">
        <v>15.505968120398148</v>
      </c>
      <c r="J169" s="24">
        <v>9</v>
      </c>
      <c r="K169" s="9">
        <v>0.98983695652173909</v>
      </c>
      <c r="L169" s="9"/>
      <c r="M169" s="9"/>
      <c r="O169" s="9"/>
    </row>
    <row r="170" spans="1:15" x14ac:dyDescent="0.25">
      <c r="A170" s="9" t="s">
        <v>21</v>
      </c>
      <c r="B170" s="9" t="s">
        <v>26</v>
      </c>
      <c r="C170" s="9" t="s">
        <v>31</v>
      </c>
      <c r="D170" s="9" t="s">
        <v>15</v>
      </c>
      <c r="E170" s="9">
        <v>2014</v>
      </c>
      <c r="F170" s="44">
        <f t="shared" si="1"/>
        <v>3.9295999999999998</v>
      </c>
      <c r="G170" s="38">
        <v>3.9426681917453479</v>
      </c>
      <c r="H170" s="38">
        <v>1.0427942289813508</v>
      </c>
      <c r="I170" s="38">
        <v>8.6413007165894946</v>
      </c>
      <c r="J170" s="24">
        <v>4</v>
      </c>
      <c r="K170" s="9">
        <v>0.98239999999999994</v>
      </c>
      <c r="L170" s="9"/>
      <c r="M170" s="9"/>
      <c r="O170" s="9"/>
    </row>
    <row r="171" spans="1:15" x14ac:dyDescent="0.25">
      <c r="A171" s="9" t="s">
        <v>21</v>
      </c>
      <c r="B171" s="9" t="s">
        <v>26</v>
      </c>
      <c r="C171" s="9" t="s">
        <v>19</v>
      </c>
      <c r="D171" s="9" t="s">
        <v>15</v>
      </c>
      <c r="E171" s="9">
        <v>2014</v>
      </c>
      <c r="F171" s="44">
        <f t="shared" si="1"/>
        <v>8.6270360110803335</v>
      </c>
      <c r="G171" s="38">
        <v>8.6286590486527075</v>
      </c>
      <c r="H171" s="38">
        <v>3.9257978983239235</v>
      </c>
      <c r="I171" s="38">
        <v>15.098259129692696</v>
      </c>
      <c r="J171" s="24">
        <v>9</v>
      </c>
      <c r="K171" s="9">
        <v>0.95855955678670368</v>
      </c>
      <c r="L171" s="9"/>
      <c r="M171" s="9"/>
      <c r="O171" s="9"/>
    </row>
    <row r="172" spans="1:15" x14ac:dyDescent="0.25">
      <c r="A172" s="9" t="s">
        <v>21</v>
      </c>
      <c r="B172" s="9" t="s">
        <v>26</v>
      </c>
      <c r="C172" s="9" t="s">
        <v>20</v>
      </c>
      <c r="D172" s="9" t="s">
        <v>15</v>
      </c>
      <c r="E172" s="9">
        <v>2014</v>
      </c>
      <c r="F172" s="44">
        <f t="shared" si="1"/>
        <v>11.508074534161491</v>
      </c>
      <c r="G172" s="38">
        <v>11.451949154252917</v>
      </c>
      <c r="H172" s="38">
        <v>5.8454116118585135</v>
      </c>
      <c r="I172" s="38">
        <v>18.78166495931243</v>
      </c>
      <c r="J172" s="24">
        <v>12</v>
      </c>
      <c r="K172" s="9">
        <v>0.9590062111801243</v>
      </c>
      <c r="L172" s="9"/>
      <c r="M172" s="9"/>
      <c r="O172" s="9"/>
    </row>
    <row r="173" spans="1:15" x14ac:dyDescent="0.25">
      <c r="A173" s="9" t="s">
        <v>21</v>
      </c>
      <c r="B173" s="9" t="s">
        <v>27</v>
      </c>
      <c r="C173" s="9" t="s">
        <v>31</v>
      </c>
      <c r="D173" s="9" t="s">
        <v>11</v>
      </c>
      <c r="E173" s="9">
        <v>2014</v>
      </c>
      <c r="F173" s="44">
        <f t="shared" si="1"/>
        <v>13.752808988764045</v>
      </c>
      <c r="G173" s="38">
        <v>13.766897082241707</v>
      </c>
      <c r="H173" s="38">
        <v>7.4699698524750984</v>
      </c>
      <c r="I173" s="38">
        <v>21.910831198580379</v>
      </c>
      <c r="J173" s="24">
        <v>14</v>
      </c>
      <c r="K173" s="9">
        <v>0.9823434991974318</v>
      </c>
      <c r="L173" s="9"/>
      <c r="M173" s="9"/>
      <c r="O173" s="9"/>
    </row>
    <row r="174" spans="1:15" x14ac:dyDescent="0.25">
      <c r="A174" s="9" t="s">
        <v>21</v>
      </c>
      <c r="B174" s="9" t="s">
        <v>27</v>
      </c>
      <c r="C174" s="9" t="s">
        <v>19</v>
      </c>
      <c r="D174" s="9" t="s">
        <v>11</v>
      </c>
      <c r="E174" s="9">
        <v>2014</v>
      </c>
      <c r="F174" s="44">
        <f t="shared" si="1"/>
        <v>14.582989064398541</v>
      </c>
      <c r="G174" s="38">
        <v>14.614358305375195</v>
      </c>
      <c r="H174" s="38">
        <v>8.0279717180391987</v>
      </c>
      <c r="I174" s="38">
        <v>23.061378679481862</v>
      </c>
      <c r="J174" s="24">
        <v>15</v>
      </c>
      <c r="K174" s="9">
        <v>0.97219927095990277</v>
      </c>
      <c r="L174" s="9"/>
      <c r="M174" s="9"/>
      <c r="O174" s="9"/>
    </row>
    <row r="175" spans="1:15" x14ac:dyDescent="0.25">
      <c r="A175" s="9" t="s">
        <v>21</v>
      </c>
      <c r="B175" s="9" t="s">
        <v>27</v>
      </c>
      <c r="C175" s="9" t="s">
        <v>20</v>
      </c>
      <c r="D175" s="9" t="s">
        <v>11</v>
      </c>
      <c r="E175" s="9">
        <v>2014</v>
      </c>
      <c r="F175" s="44">
        <f t="shared" si="1"/>
        <v>12.867880434782608</v>
      </c>
      <c r="G175" s="38">
        <v>12.866398643760133</v>
      </c>
      <c r="H175" s="38">
        <v>6.8389551958176789</v>
      </c>
      <c r="I175" s="38">
        <v>20.938601806869915</v>
      </c>
      <c r="J175" s="24">
        <v>13</v>
      </c>
      <c r="K175" s="9">
        <v>0.98983695652173909</v>
      </c>
      <c r="L175" s="9"/>
      <c r="M175" s="9"/>
      <c r="O175" s="9"/>
    </row>
    <row r="176" spans="1:15" x14ac:dyDescent="0.25">
      <c r="A176" s="9" t="s">
        <v>21</v>
      </c>
      <c r="B176" s="9" t="s">
        <v>28</v>
      </c>
      <c r="C176" s="9" t="s">
        <v>31</v>
      </c>
      <c r="D176" s="9" t="s">
        <v>12</v>
      </c>
      <c r="E176" s="9">
        <v>2014</v>
      </c>
      <c r="F176" s="44">
        <f t="shared" si="1"/>
        <v>80.552166934189401</v>
      </c>
      <c r="G176" s="38">
        <v>80.504487484230467</v>
      </c>
      <c r="H176" s="38">
        <v>63.829288332562847</v>
      </c>
      <c r="I176" s="38">
        <v>98.775662673564369</v>
      </c>
      <c r="J176" s="24">
        <v>82</v>
      </c>
      <c r="K176" s="9">
        <v>0.9823434991974318</v>
      </c>
      <c r="L176" s="9"/>
      <c r="M176" s="9"/>
      <c r="O176" s="9"/>
    </row>
    <row r="177" spans="1:18" x14ac:dyDescent="0.25">
      <c r="A177" s="9" t="s">
        <v>21</v>
      </c>
      <c r="B177" s="9" t="s">
        <v>28</v>
      </c>
      <c r="C177" s="9" t="s">
        <v>19</v>
      </c>
      <c r="D177" s="9" t="s">
        <v>12</v>
      </c>
      <c r="E177" s="9">
        <v>2014</v>
      </c>
      <c r="F177" s="44">
        <f t="shared" si="1"/>
        <v>266.38260024301337</v>
      </c>
      <c r="G177" s="38">
        <v>266.38413244610217</v>
      </c>
      <c r="H177" s="38">
        <v>235.65620028020803</v>
      </c>
      <c r="I177" s="38">
        <v>299.26569529476473</v>
      </c>
      <c r="J177" s="24">
        <v>274</v>
      </c>
      <c r="K177" s="9">
        <v>0.97219927095990277</v>
      </c>
      <c r="L177" s="9"/>
      <c r="M177" s="9"/>
      <c r="O177" s="9"/>
    </row>
    <row r="178" spans="1:18" x14ac:dyDescent="0.25">
      <c r="A178" s="9" t="s">
        <v>21</v>
      </c>
      <c r="B178" s="9" t="s">
        <v>28</v>
      </c>
      <c r="C178" s="9" t="s">
        <v>20</v>
      </c>
      <c r="D178" s="9" t="s">
        <v>12</v>
      </c>
      <c r="E178" s="9">
        <v>2014</v>
      </c>
      <c r="F178" s="44">
        <f t="shared" si="1"/>
        <v>130.65847826086957</v>
      </c>
      <c r="G178" s="38">
        <v>130.83203488837006</v>
      </c>
      <c r="H178" s="38">
        <v>109.53001152937414</v>
      </c>
      <c r="I178" s="38">
        <v>154.10728686673454</v>
      </c>
      <c r="J178" s="24">
        <v>132</v>
      </c>
      <c r="K178" s="9">
        <v>0.98983695652173909</v>
      </c>
      <c r="L178" s="9"/>
      <c r="M178" s="9"/>
      <c r="N178" s="4"/>
      <c r="O178" s="11"/>
      <c r="P178" s="4"/>
      <c r="Q178" s="4"/>
      <c r="R178" s="4"/>
    </row>
    <row r="179" spans="1:18" x14ac:dyDescent="0.25">
      <c r="A179" s="9" t="s">
        <v>21</v>
      </c>
      <c r="B179" s="9" t="s">
        <v>28</v>
      </c>
      <c r="C179" s="9" t="s">
        <v>31</v>
      </c>
      <c r="D179" s="9" t="s">
        <v>15</v>
      </c>
      <c r="E179" s="9">
        <v>2014</v>
      </c>
      <c r="F179" s="44">
        <f t="shared" si="1"/>
        <v>40.278399999999998</v>
      </c>
      <c r="G179" s="38">
        <v>40.257843801499334</v>
      </c>
      <c r="H179" s="38">
        <v>28.634104827474207</v>
      </c>
      <c r="I179" s="38">
        <v>53.644317648236253</v>
      </c>
      <c r="J179" s="24">
        <v>41</v>
      </c>
      <c r="K179" s="9">
        <v>0.98239999999999994</v>
      </c>
      <c r="L179" s="9"/>
      <c r="M179" s="9"/>
      <c r="N179" s="4"/>
      <c r="O179" s="11"/>
      <c r="P179" s="4"/>
      <c r="Q179" s="4"/>
      <c r="R179" s="4"/>
    </row>
    <row r="180" spans="1:18" x14ac:dyDescent="0.25">
      <c r="A180" s="9" t="s">
        <v>21</v>
      </c>
      <c r="B180" s="9" t="s">
        <v>28</v>
      </c>
      <c r="C180" s="9" t="s">
        <v>19</v>
      </c>
      <c r="D180" s="9" t="s">
        <v>15</v>
      </c>
      <c r="E180" s="9">
        <v>2014</v>
      </c>
      <c r="F180" s="44">
        <f t="shared" si="1"/>
        <v>337.41296398891967</v>
      </c>
      <c r="G180" s="38">
        <v>337.86747495114912</v>
      </c>
      <c r="H180" s="38">
        <v>301.90370744130615</v>
      </c>
      <c r="I180" s="38">
        <v>374.12698209614251</v>
      </c>
      <c r="J180" s="3">
        <v>352</v>
      </c>
      <c r="K180" s="9">
        <v>0.95855955678670368</v>
      </c>
      <c r="L180" s="9"/>
      <c r="M180" s="9"/>
      <c r="N180" s="4"/>
      <c r="O180" s="11"/>
      <c r="P180" s="4"/>
      <c r="Q180" s="4"/>
      <c r="R180" s="4"/>
    </row>
    <row r="181" spans="1:18" x14ac:dyDescent="0.25">
      <c r="A181" s="9" t="s">
        <v>21</v>
      </c>
      <c r="B181" s="9" t="s">
        <v>28</v>
      </c>
      <c r="C181" s="9" t="s">
        <v>20</v>
      </c>
      <c r="D181" s="9" t="s">
        <v>15</v>
      </c>
      <c r="E181" s="9">
        <v>2014</v>
      </c>
      <c r="F181" s="44">
        <f t="shared" si="1"/>
        <v>142.89192546583851</v>
      </c>
      <c r="G181" s="38">
        <v>143.06030241685434</v>
      </c>
      <c r="H181" s="38">
        <v>120.64173337221142</v>
      </c>
      <c r="I181" s="38">
        <v>167.42342718449407</v>
      </c>
      <c r="J181" s="3">
        <v>149</v>
      </c>
      <c r="K181" s="9">
        <v>0.9590062111801243</v>
      </c>
      <c r="L181" s="9"/>
      <c r="M181" s="9"/>
      <c r="N181" s="4"/>
      <c r="O181" s="11"/>
      <c r="P181" s="4"/>
      <c r="Q181" s="4"/>
      <c r="R181" s="4"/>
    </row>
    <row r="182" spans="1:18" x14ac:dyDescent="0.25">
      <c r="A182" s="9" t="s">
        <v>22</v>
      </c>
      <c r="B182" s="9" t="s">
        <v>11</v>
      </c>
      <c r="C182" s="9" t="s">
        <v>11</v>
      </c>
      <c r="D182" s="9" t="s">
        <v>11</v>
      </c>
      <c r="E182" s="9">
        <v>2014</v>
      </c>
      <c r="F182" s="44">
        <f>SUM(F185:F202)</f>
        <v>1422.5566533864539</v>
      </c>
      <c r="G182" s="38">
        <v>1422.6886</v>
      </c>
      <c r="H182" s="38">
        <v>1347</v>
      </c>
      <c r="I182" s="38">
        <v>1496</v>
      </c>
      <c r="J182" s="11"/>
      <c r="K182" s="9"/>
      <c r="L182" s="9"/>
      <c r="M182" s="9"/>
      <c r="N182" s="4"/>
      <c r="O182" s="11"/>
      <c r="P182" s="4"/>
      <c r="Q182" s="4"/>
      <c r="R182" s="4"/>
    </row>
    <row r="183" spans="1:18" x14ac:dyDescent="0.25">
      <c r="A183" s="9" t="s">
        <v>22</v>
      </c>
      <c r="B183" s="9" t="s">
        <v>11</v>
      </c>
      <c r="C183" s="9" t="s">
        <v>19</v>
      </c>
      <c r="D183" s="9" t="s">
        <v>11</v>
      </c>
      <c r="E183" s="9">
        <v>2014</v>
      </c>
      <c r="F183" s="44">
        <f>SUM(F186,F189,F192,F195,F198,F201)</f>
        <v>702.96</v>
      </c>
      <c r="G183" s="38"/>
      <c r="H183" s="38"/>
      <c r="I183" s="38"/>
      <c r="J183" s="11"/>
      <c r="K183" s="9"/>
      <c r="L183" s="9"/>
      <c r="M183" s="9"/>
      <c r="N183" s="4"/>
      <c r="O183" s="11"/>
      <c r="P183" s="4"/>
      <c r="Q183" s="4"/>
      <c r="R183" s="4"/>
    </row>
    <row r="184" spans="1:18" x14ac:dyDescent="0.25">
      <c r="A184" s="9" t="s">
        <v>22</v>
      </c>
      <c r="B184" s="9" t="s">
        <v>24</v>
      </c>
      <c r="C184" s="9" t="s">
        <v>11</v>
      </c>
      <c r="D184" s="9" t="s">
        <v>11</v>
      </c>
      <c r="E184" s="9">
        <v>2014</v>
      </c>
      <c r="F184" s="44">
        <f>SUM(F185:F187)</f>
        <v>295.74676276585029</v>
      </c>
      <c r="G184" s="38"/>
      <c r="H184" s="38"/>
      <c r="I184" s="38"/>
      <c r="J184" s="11"/>
      <c r="K184" s="9"/>
      <c r="L184" s="9"/>
      <c r="M184" s="9"/>
      <c r="N184" s="11"/>
      <c r="O184" s="11"/>
      <c r="P184" s="4"/>
      <c r="Q184" s="4"/>
      <c r="R184" s="4"/>
    </row>
    <row r="185" spans="1:18" x14ac:dyDescent="0.25">
      <c r="A185" s="9" t="s">
        <v>22</v>
      </c>
      <c r="B185" s="9" t="s">
        <v>24</v>
      </c>
      <c r="C185" s="9" t="s">
        <v>31</v>
      </c>
      <c r="D185" s="9" t="s">
        <v>11</v>
      </c>
      <c r="E185" s="9">
        <v>2014</v>
      </c>
      <c r="F185" s="44">
        <f t="shared" si="1"/>
        <v>105.74725099601594</v>
      </c>
      <c r="G185" s="38">
        <v>105.71489715154007</v>
      </c>
      <c r="H185" s="38">
        <v>86.431715045436874</v>
      </c>
      <c r="I185" s="38">
        <v>127.11958611622006</v>
      </c>
      <c r="J185" s="11">
        <v>132</v>
      </c>
      <c r="K185" s="9">
        <v>0.80111553784860556</v>
      </c>
      <c r="L185" s="9"/>
      <c r="M185" s="9"/>
      <c r="N185" s="11"/>
      <c r="O185" s="11"/>
      <c r="P185" s="4"/>
      <c r="Q185" s="4"/>
      <c r="R185" s="4"/>
    </row>
    <row r="186" spans="1:18" x14ac:dyDescent="0.25">
      <c r="A186" s="9" t="s">
        <v>22</v>
      </c>
      <c r="B186" s="9" t="s">
        <v>24</v>
      </c>
      <c r="C186" s="9" t="s">
        <v>19</v>
      </c>
      <c r="D186" s="9" t="s">
        <v>11</v>
      </c>
      <c r="E186" s="9">
        <v>2014</v>
      </c>
      <c r="F186" s="44">
        <f t="shared" si="1"/>
        <v>117.29032258064517</v>
      </c>
      <c r="G186" s="38">
        <v>117.19077523198176</v>
      </c>
      <c r="H186" s="38">
        <v>97.2659762244392</v>
      </c>
      <c r="I186" s="38">
        <v>139.09416037425177</v>
      </c>
      <c r="J186" s="11">
        <v>150</v>
      </c>
      <c r="K186" s="9">
        <v>0.78193548387096778</v>
      </c>
      <c r="L186" s="9"/>
      <c r="M186" s="9"/>
      <c r="N186" s="11"/>
      <c r="O186" s="11"/>
      <c r="P186" s="4"/>
      <c r="Q186" s="4"/>
      <c r="R186" s="4"/>
    </row>
    <row r="187" spans="1:18" x14ac:dyDescent="0.25">
      <c r="A187" s="9" t="s">
        <v>22</v>
      </c>
      <c r="B187" s="9" t="s">
        <v>24</v>
      </c>
      <c r="C187" s="9" t="s">
        <v>20</v>
      </c>
      <c r="D187" s="9" t="s">
        <v>11</v>
      </c>
      <c r="E187" s="9">
        <v>2014</v>
      </c>
      <c r="F187" s="44">
        <f t="shared" si="1"/>
        <v>72.709189189189189</v>
      </c>
      <c r="G187" s="38">
        <v>72.83570489268314</v>
      </c>
      <c r="H187" s="38">
        <v>56.991391401908515</v>
      </c>
      <c r="I187" s="38">
        <v>90.109470761401994</v>
      </c>
      <c r="J187" s="11">
        <v>88</v>
      </c>
      <c r="K187" s="9">
        <v>0.82624078624078623</v>
      </c>
      <c r="L187" s="9"/>
      <c r="M187" s="9"/>
      <c r="N187" s="9"/>
      <c r="O187" s="9"/>
    </row>
    <row r="188" spans="1:18" x14ac:dyDescent="0.25">
      <c r="A188" s="9" t="s">
        <v>22</v>
      </c>
      <c r="B188" s="9" t="s">
        <v>26</v>
      </c>
      <c r="C188" s="9" t="s">
        <v>31</v>
      </c>
      <c r="D188" s="9" t="s">
        <v>12</v>
      </c>
      <c r="E188" s="9">
        <v>2014</v>
      </c>
      <c r="F188" s="44">
        <f t="shared" si="1"/>
        <v>36.050199203187248</v>
      </c>
      <c r="G188" s="38">
        <v>36.121435272848387</v>
      </c>
      <c r="H188" s="38">
        <v>25.278031068461708</v>
      </c>
      <c r="I188" s="38">
        <v>48.892468466393716</v>
      </c>
      <c r="J188" s="11">
        <v>45</v>
      </c>
      <c r="K188" s="9">
        <v>0.80111553784860556</v>
      </c>
      <c r="L188" s="9"/>
      <c r="M188" s="9"/>
      <c r="N188" s="9"/>
      <c r="O188" s="9"/>
    </row>
    <row r="189" spans="1:18" x14ac:dyDescent="0.25">
      <c r="A189" s="9" t="s">
        <v>22</v>
      </c>
      <c r="B189" s="9" t="s">
        <v>26</v>
      </c>
      <c r="C189" s="9" t="s">
        <v>19</v>
      </c>
      <c r="D189" s="9" t="s">
        <v>12</v>
      </c>
      <c r="E189" s="9">
        <v>2014</v>
      </c>
      <c r="F189" s="44">
        <f t="shared" si="1"/>
        <v>118.07225806451613</v>
      </c>
      <c r="G189" s="38">
        <v>118.14254719880837</v>
      </c>
      <c r="H189" s="38">
        <v>97.667511410352247</v>
      </c>
      <c r="I189" s="38">
        <v>140.60925902320926</v>
      </c>
      <c r="J189" s="11">
        <v>151</v>
      </c>
      <c r="K189" s="9">
        <v>0.78193548387096778</v>
      </c>
      <c r="L189" s="9"/>
      <c r="M189" s="9"/>
      <c r="N189" s="9"/>
      <c r="O189" s="9"/>
    </row>
    <row r="190" spans="1:18" x14ac:dyDescent="0.25">
      <c r="A190" s="9" t="s">
        <v>22</v>
      </c>
      <c r="B190" s="9" t="s">
        <v>26</v>
      </c>
      <c r="C190" s="9" t="s">
        <v>20</v>
      </c>
      <c r="D190" s="9" t="s">
        <v>12</v>
      </c>
      <c r="E190" s="9">
        <v>2014</v>
      </c>
      <c r="F190" s="44">
        <f t="shared" si="1"/>
        <v>121.45739557739557</v>
      </c>
      <c r="G190" s="38">
        <v>121.46464478138087</v>
      </c>
      <c r="H190" s="38">
        <v>100.74019381189729</v>
      </c>
      <c r="I190" s="38">
        <v>143.90513995434634</v>
      </c>
      <c r="J190" s="11">
        <v>147</v>
      </c>
      <c r="K190" s="9">
        <v>0.82624078624078623</v>
      </c>
      <c r="L190" s="9"/>
      <c r="M190" s="9"/>
      <c r="N190" s="9"/>
      <c r="O190" s="9"/>
    </row>
    <row r="191" spans="1:18" x14ac:dyDescent="0.25">
      <c r="A191" s="9" t="s">
        <v>22</v>
      </c>
      <c r="B191" s="9" t="s">
        <v>26</v>
      </c>
      <c r="C191" s="9" t="s">
        <v>31</v>
      </c>
      <c r="D191" s="9" t="s">
        <v>15</v>
      </c>
      <c r="E191" s="9">
        <v>2014</v>
      </c>
      <c r="F191" s="44">
        <f t="shared" si="1"/>
        <v>13.988571428571429</v>
      </c>
      <c r="G191" s="38">
        <v>14.0070735093911</v>
      </c>
      <c r="H191" s="38">
        <v>7.6968354184217844</v>
      </c>
      <c r="I191" s="38">
        <v>22.361514674385504</v>
      </c>
      <c r="J191" s="11">
        <v>18</v>
      </c>
      <c r="K191" s="9">
        <v>0.77714285714285714</v>
      </c>
      <c r="L191" s="9"/>
      <c r="M191" s="9"/>
      <c r="N191" s="9"/>
      <c r="O191" s="9"/>
    </row>
    <row r="192" spans="1:18" x14ac:dyDescent="0.25">
      <c r="A192" s="9" t="s">
        <v>22</v>
      </c>
      <c r="B192" s="9" t="s">
        <v>26</v>
      </c>
      <c r="C192" s="9" t="s">
        <v>19</v>
      </c>
      <c r="D192" s="9" t="s">
        <v>15</v>
      </c>
      <c r="E192" s="9">
        <v>2014</v>
      </c>
      <c r="F192" s="44">
        <f t="shared" si="1"/>
        <v>63.48571428571428</v>
      </c>
      <c r="G192" s="38">
        <v>63.464385938643133</v>
      </c>
      <c r="H192" s="38">
        <v>48.746930364368595</v>
      </c>
      <c r="I192" s="38">
        <v>79.788217330147944</v>
      </c>
      <c r="J192" s="11">
        <v>75</v>
      </c>
      <c r="K192" s="9">
        <v>0.84647619047619038</v>
      </c>
      <c r="L192" s="9"/>
      <c r="M192" s="9"/>
      <c r="N192" s="9"/>
      <c r="O192" s="9"/>
    </row>
    <row r="193" spans="1:15" x14ac:dyDescent="0.25">
      <c r="A193" s="9" t="s">
        <v>22</v>
      </c>
      <c r="B193" s="9" t="s">
        <v>26</v>
      </c>
      <c r="C193" s="9" t="s">
        <v>20</v>
      </c>
      <c r="D193" s="9" t="s">
        <v>15</v>
      </c>
      <c r="E193" s="9">
        <v>2014</v>
      </c>
      <c r="F193" s="44">
        <f t="shared" si="1"/>
        <v>58.067415730337075</v>
      </c>
      <c r="G193" s="38">
        <v>58.023174174942234</v>
      </c>
      <c r="H193" s="38">
        <v>44.334722385605652</v>
      </c>
      <c r="I193" s="38">
        <v>73.602820515732958</v>
      </c>
      <c r="J193" s="11">
        <v>68</v>
      </c>
      <c r="K193" s="9">
        <v>0.8539325842696629</v>
      </c>
      <c r="L193" s="9"/>
      <c r="M193" s="9"/>
      <c r="N193" s="9"/>
      <c r="O193" s="9"/>
    </row>
    <row r="194" spans="1:15" x14ac:dyDescent="0.25">
      <c r="A194" s="9" t="s">
        <v>22</v>
      </c>
      <c r="B194" s="9" t="s">
        <v>27</v>
      </c>
      <c r="C194" s="9" t="s">
        <v>31</v>
      </c>
      <c r="D194" s="9" t="s">
        <v>11</v>
      </c>
      <c r="E194" s="9">
        <v>2014</v>
      </c>
      <c r="F194" s="44">
        <f t="shared" si="1"/>
        <v>7.2100398406374504</v>
      </c>
      <c r="G194" s="38">
        <v>7.252350139314883</v>
      </c>
      <c r="H194" s="38">
        <v>2.9605518176757086</v>
      </c>
      <c r="I194" s="38">
        <v>13.371601731318252</v>
      </c>
      <c r="J194" s="11">
        <v>9</v>
      </c>
      <c r="K194" s="9">
        <v>0.80111553784860556</v>
      </c>
      <c r="L194" s="9"/>
      <c r="M194" s="9"/>
      <c r="N194" s="9"/>
      <c r="O194" s="9"/>
    </row>
    <row r="195" spans="1:15" x14ac:dyDescent="0.25">
      <c r="A195" s="9" t="s">
        <v>22</v>
      </c>
      <c r="B195" s="9" t="s">
        <v>27</v>
      </c>
      <c r="C195" s="9" t="s">
        <v>19</v>
      </c>
      <c r="D195" s="9" t="s">
        <v>11</v>
      </c>
      <c r="E195" s="9">
        <v>2014</v>
      </c>
      <c r="F195" s="44">
        <f t="shared" si="1"/>
        <v>16.420645161290324</v>
      </c>
      <c r="G195" s="38">
        <v>16.422805550085595</v>
      </c>
      <c r="H195" s="38">
        <v>9.3844843891760412</v>
      </c>
      <c r="I195" s="38">
        <v>25.244640063029614</v>
      </c>
      <c r="J195" s="11">
        <v>21</v>
      </c>
      <c r="K195" s="9">
        <v>0.78193548387096778</v>
      </c>
      <c r="L195" s="9"/>
      <c r="M195" s="9"/>
      <c r="N195" s="9"/>
      <c r="O195" s="9"/>
    </row>
    <row r="196" spans="1:15" x14ac:dyDescent="0.25">
      <c r="A196" s="9" t="s">
        <v>22</v>
      </c>
      <c r="B196" s="9" t="s">
        <v>27</v>
      </c>
      <c r="C196" s="9" t="s">
        <v>20</v>
      </c>
      <c r="D196" s="9" t="s">
        <v>11</v>
      </c>
      <c r="E196" s="9">
        <v>2014</v>
      </c>
      <c r="F196" s="44">
        <f t="shared" si="1"/>
        <v>23.134742014742013</v>
      </c>
      <c r="G196" s="38">
        <v>23.091104167024024</v>
      </c>
      <c r="H196" s="38">
        <v>14.834919433542034</v>
      </c>
      <c r="I196" s="38">
        <v>33.312204677680704</v>
      </c>
      <c r="J196" s="11">
        <v>28</v>
      </c>
      <c r="K196" s="9">
        <v>0.82624078624078623</v>
      </c>
      <c r="L196" s="9"/>
      <c r="M196" s="9"/>
      <c r="N196" s="9"/>
      <c r="O196" s="9"/>
    </row>
    <row r="197" spans="1:15" x14ac:dyDescent="0.25">
      <c r="A197" s="9" t="s">
        <v>22</v>
      </c>
      <c r="B197" s="9" t="s">
        <v>28</v>
      </c>
      <c r="C197" s="9" t="s">
        <v>31</v>
      </c>
      <c r="D197" s="9" t="s">
        <v>12</v>
      </c>
      <c r="E197" s="9">
        <v>2014</v>
      </c>
      <c r="F197" s="44">
        <f t="shared" si="1"/>
        <v>49.669163346613544</v>
      </c>
      <c r="G197" s="38">
        <v>49.692065231127195</v>
      </c>
      <c r="H197" s="38">
        <v>36.885655969960737</v>
      </c>
      <c r="I197" s="38">
        <v>64.447958479927948</v>
      </c>
      <c r="J197" s="11">
        <v>62</v>
      </c>
      <c r="K197" s="9">
        <v>0.80111553784860556</v>
      </c>
      <c r="L197" s="9"/>
      <c r="M197" s="9"/>
      <c r="N197" s="9"/>
      <c r="O197" s="9"/>
    </row>
    <row r="198" spans="1:15" x14ac:dyDescent="0.25">
      <c r="A198" s="9" t="s">
        <v>22</v>
      </c>
      <c r="B198" s="9" t="s">
        <v>28</v>
      </c>
      <c r="C198" s="9" t="s">
        <v>19</v>
      </c>
      <c r="D198" s="9" t="s">
        <v>12</v>
      </c>
      <c r="E198" s="9">
        <v>2014</v>
      </c>
      <c r="F198" s="44">
        <f t="shared" si="1"/>
        <v>184.53677419354841</v>
      </c>
      <c r="G198" s="38">
        <v>184.48821972093089</v>
      </c>
      <c r="H198" s="38">
        <v>158.92332583465821</v>
      </c>
      <c r="I198" s="38">
        <v>212.07003002467189</v>
      </c>
      <c r="J198" s="11">
        <v>236</v>
      </c>
      <c r="K198" s="9">
        <v>0.78193548387096778</v>
      </c>
      <c r="L198" s="9"/>
      <c r="M198" s="9"/>
      <c r="N198" s="9"/>
      <c r="O198" s="9"/>
    </row>
    <row r="199" spans="1:15" x14ac:dyDescent="0.25">
      <c r="A199" s="9" t="s">
        <v>22</v>
      </c>
      <c r="B199" s="9" t="s">
        <v>28</v>
      </c>
      <c r="C199" s="9" t="s">
        <v>20</v>
      </c>
      <c r="D199" s="9" t="s">
        <v>12</v>
      </c>
      <c r="E199" s="9">
        <v>2014</v>
      </c>
      <c r="F199" s="44">
        <f t="shared" si="1"/>
        <v>118.97867321867322</v>
      </c>
      <c r="G199" s="38">
        <v>119.01328675091825</v>
      </c>
      <c r="H199" s="38">
        <v>98.711721517257104</v>
      </c>
      <c r="I199" s="38">
        <v>141.49960171848426</v>
      </c>
      <c r="J199" s="11">
        <v>144</v>
      </c>
      <c r="K199" s="9">
        <v>0.82624078624078623</v>
      </c>
      <c r="L199" s="9"/>
      <c r="M199" s="9"/>
      <c r="N199" s="9"/>
      <c r="O199" s="9"/>
    </row>
    <row r="200" spans="1:15" x14ac:dyDescent="0.25">
      <c r="A200" s="9" t="s">
        <v>22</v>
      </c>
      <c r="B200" s="9" t="s">
        <v>28</v>
      </c>
      <c r="C200" s="9" t="s">
        <v>31</v>
      </c>
      <c r="D200" s="9" t="s">
        <v>15</v>
      </c>
      <c r="E200" s="9">
        <v>2014</v>
      </c>
      <c r="F200" s="44">
        <f t="shared" si="1"/>
        <v>18.651428571428571</v>
      </c>
      <c r="G200" s="38">
        <v>18.646183384436409</v>
      </c>
      <c r="H200" s="38">
        <v>11.053175785709394</v>
      </c>
      <c r="I200" s="38">
        <v>27.734060563047212</v>
      </c>
      <c r="J200" s="11">
        <v>24</v>
      </c>
      <c r="K200" s="9">
        <v>0.77714285714285714</v>
      </c>
      <c r="L200" s="9"/>
      <c r="M200" s="9"/>
      <c r="N200" s="9"/>
      <c r="O200" s="9"/>
    </row>
    <row r="201" spans="1:15" x14ac:dyDescent="0.25">
      <c r="A201" s="9" t="s">
        <v>22</v>
      </c>
      <c r="B201" s="9" t="s">
        <v>28</v>
      </c>
      <c r="C201" s="9" t="s">
        <v>19</v>
      </c>
      <c r="D201" s="9" t="s">
        <v>15</v>
      </c>
      <c r="E201" s="9">
        <v>2014</v>
      </c>
      <c r="F201" s="44">
        <f t="shared" si="1"/>
        <v>203.15428571428569</v>
      </c>
      <c r="G201" s="38">
        <v>203.11867583585737</v>
      </c>
      <c r="H201" s="38">
        <v>176.11861827058394</v>
      </c>
      <c r="I201" s="38">
        <v>232.15878949005685</v>
      </c>
      <c r="J201" s="11">
        <v>240</v>
      </c>
      <c r="K201" s="9">
        <v>0.84647619047619038</v>
      </c>
      <c r="L201" s="9"/>
      <c r="M201" s="9"/>
      <c r="N201" s="9"/>
      <c r="O201" s="9"/>
    </row>
    <row r="202" spans="1:15" ht="15.75" thickBot="1" x14ac:dyDescent="0.3">
      <c r="A202" s="6" t="s">
        <v>22</v>
      </c>
      <c r="B202" s="6" t="s">
        <v>28</v>
      </c>
      <c r="C202" s="6" t="s">
        <v>20</v>
      </c>
      <c r="D202" s="6" t="s">
        <v>15</v>
      </c>
      <c r="E202" s="6">
        <v>2014</v>
      </c>
      <c r="F202" s="45">
        <f t="shared" si="1"/>
        <v>93.932584269662925</v>
      </c>
      <c r="G202" s="65">
        <v>93.999271068086301</v>
      </c>
      <c r="H202" s="65">
        <v>75.875894613382471</v>
      </c>
      <c r="I202" s="65">
        <v>113.7152068428374</v>
      </c>
      <c r="J202" s="34">
        <v>110</v>
      </c>
      <c r="K202" s="6">
        <v>0.8539325842696629</v>
      </c>
      <c r="L202" s="6"/>
      <c r="M202" s="6"/>
      <c r="N202" s="6"/>
      <c r="O202" s="9"/>
    </row>
    <row r="203" spans="1:15" x14ac:dyDescent="0.25">
      <c r="A203" s="9" t="s">
        <v>10</v>
      </c>
      <c r="B203" s="9" t="s">
        <v>11</v>
      </c>
      <c r="C203" s="9" t="s">
        <v>11</v>
      </c>
      <c r="D203" s="9" t="s">
        <v>11</v>
      </c>
      <c r="E203" s="9">
        <v>2015</v>
      </c>
      <c r="F203" s="44">
        <f>SUM(F205:F222)</f>
        <v>110419.07270483719</v>
      </c>
      <c r="G203" s="38">
        <v>110418.99890000001</v>
      </c>
      <c r="H203" s="38">
        <v>109759.97500000001</v>
      </c>
      <c r="I203" s="38">
        <v>111078</v>
      </c>
      <c r="J203" s="3"/>
      <c r="K203" s="11"/>
      <c r="L203" s="9"/>
      <c r="M203" s="9"/>
      <c r="N203" s="9"/>
      <c r="O203" s="9"/>
    </row>
    <row r="204" spans="1:15" x14ac:dyDescent="0.25">
      <c r="A204" s="9" t="s">
        <v>10</v>
      </c>
      <c r="B204" s="9" t="s">
        <v>24</v>
      </c>
      <c r="C204" s="9" t="s">
        <v>11</v>
      </c>
      <c r="D204" s="9" t="s">
        <v>11</v>
      </c>
      <c r="E204" s="9">
        <v>2015</v>
      </c>
      <c r="F204" s="44">
        <f>SUM(F205:F207)</f>
        <v>43057.120830929271</v>
      </c>
      <c r="G204" s="38"/>
      <c r="H204" s="38"/>
      <c r="I204" s="38"/>
      <c r="J204" s="3"/>
      <c r="K204" s="11"/>
      <c r="L204" s="9"/>
      <c r="M204" s="9"/>
      <c r="N204" s="9"/>
      <c r="O204" s="9"/>
    </row>
    <row r="205" spans="1:15" x14ac:dyDescent="0.25">
      <c r="A205" s="9" t="s">
        <v>10</v>
      </c>
      <c r="B205" s="9" t="s">
        <v>24</v>
      </c>
      <c r="C205" s="9" t="s">
        <v>31</v>
      </c>
      <c r="D205" s="9" t="s">
        <v>11</v>
      </c>
      <c r="E205" s="9">
        <v>2015</v>
      </c>
      <c r="F205" s="44">
        <f t="shared" si="1"/>
        <v>16982.818153192158</v>
      </c>
      <c r="G205" s="38">
        <v>16983.570686075174</v>
      </c>
      <c r="H205" s="38">
        <v>16725.974207262811</v>
      </c>
      <c r="I205" s="38">
        <v>17238.61519938341</v>
      </c>
      <c r="J205" s="3">
        <v>18761</v>
      </c>
      <c r="K205" s="11">
        <v>0.90521923954971262</v>
      </c>
      <c r="L205" s="9"/>
      <c r="M205" s="9"/>
      <c r="O205" s="9"/>
    </row>
    <row r="206" spans="1:15" x14ac:dyDescent="0.25">
      <c r="A206" s="9" t="s">
        <v>10</v>
      </c>
      <c r="B206" s="9" t="s">
        <v>24</v>
      </c>
      <c r="C206" s="9" t="s">
        <v>19</v>
      </c>
      <c r="D206" s="9" t="s">
        <v>11</v>
      </c>
      <c r="E206" s="9">
        <v>2015</v>
      </c>
      <c r="F206" s="44">
        <f t="shared" si="1"/>
        <v>13102.057874111735</v>
      </c>
      <c r="G206" s="38">
        <v>13102.063560394141</v>
      </c>
      <c r="H206" s="38">
        <v>12880.486934682582</v>
      </c>
      <c r="I206" s="38">
        <v>13329.219445500257</v>
      </c>
      <c r="J206" s="3">
        <v>14416</v>
      </c>
      <c r="K206" s="11">
        <v>0.90885529093449879</v>
      </c>
      <c r="L206" s="9"/>
      <c r="M206" s="9"/>
      <c r="O206" s="9"/>
    </row>
    <row r="207" spans="1:15" x14ac:dyDescent="0.25">
      <c r="A207" s="9" t="s">
        <v>10</v>
      </c>
      <c r="B207" s="9" t="s">
        <v>24</v>
      </c>
      <c r="C207" s="9" t="s">
        <v>20</v>
      </c>
      <c r="D207" s="9" t="s">
        <v>11</v>
      </c>
      <c r="E207" s="9">
        <v>2015</v>
      </c>
      <c r="F207" s="44">
        <f t="shared" si="1"/>
        <v>12972.244803625377</v>
      </c>
      <c r="G207" s="38">
        <v>12970.62399036601</v>
      </c>
      <c r="H207" s="38">
        <v>12747.63564250144</v>
      </c>
      <c r="I207" s="38">
        <v>13195.037830216352</v>
      </c>
      <c r="J207" s="24">
        <v>14073</v>
      </c>
      <c r="K207" s="11">
        <v>0.92178247734138974</v>
      </c>
      <c r="L207" s="9"/>
      <c r="M207" s="9"/>
      <c r="O207" s="9"/>
    </row>
    <row r="208" spans="1:15" x14ac:dyDescent="0.25">
      <c r="A208" s="9" t="s">
        <v>10</v>
      </c>
      <c r="B208" s="9" t="s">
        <v>26</v>
      </c>
      <c r="C208" s="9" t="s">
        <v>31</v>
      </c>
      <c r="D208" s="9" t="s">
        <v>12</v>
      </c>
      <c r="E208" s="9">
        <v>2015</v>
      </c>
      <c r="F208" s="44">
        <f t="shared" si="1"/>
        <v>1158.6806266236322</v>
      </c>
      <c r="G208" s="38">
        <v>1158.577996419011</v>
      </c>
      <c r="H208" s="38">
        <v>1091.7357080168699</v>
      </c>
      <c r="I208" s="38">
        <v>1227.5729154268502</v>
      </c>
      <c r="J208" s="24">
        <v>1280</v>
      </c>
      <c r="K208" s="11">
        <v>0.90521923954971262</v>
      </c>
      <c r="L208" s="9"/>
      <c r="M208" s="9"/>
      <c r="O208" s="9"/>
    </row>
    <row r="209" spans="1:15" x14ac:dyDescent="0.25">
      <c r="A209" s="9" t="s">
        <v>10</v>
      </c>
      <c r="B209" s="9" t="s">
        <v>26</v>
      </c>
      <c r="C209" s="9" t="s">
        <v>19</v>
      </c>
      <c r="D209" s="9" t="s">
        <v>12</v>
      </c>
      <c r="E209" s="9">
        <v>2015</v>
      </c>
      <c r="F209" s="44">
        <f t="shared" si="1"/>
        <v>3841.7313147801265</v>
      </c>
      <c r="G209" s="38">
        <v>3841.6158072889612</v>
      </c>
      <c r="H209" s="38">
        <v>3721.2065103185</v>
      </c>
      <c r="I209" s="38">
        <v>3963.8672991308076</v>
      </c>
      <c r="J209" s="3">
        <v>4227</v>
      </c>
      <c r="K209" s="11">
        <v>0.90885529093449879</v>
      </c>
      <c r="L209" s="9"/>
      <c r="M209" s="9"/>
      <c r="O209" s="9"/>
    </row>
    <row r="210" spans="1:15" x14ac:dyDescent="0.25">
      <c r="A210" s="9" t="s">
        <v>10</v>
      </c>
      <c r="B210" s="9" t="s">
        <v>26</v>
      </c>
      <c r="C210" s="9" t="s">
        <v>20</v>
      </c>
      <c r="D210" s="9" t="s">
        <v>12</v>
      </c>
      <c r="E210" s="9">
        <v>2015</v>
      </c>
      <c r="F210" s="44">
        <f t="shared" si="1"/>
        <v>4561.9014803625378</v>
      </c>
      <c r="G210" s="38">
        <v>4561.7709950103599</v>
      </c>
      <c r="H210" s="38">
        <v>4429.8861754696863</v>
      </c>
      <c r="I210" s="38">
        <v>4694.5701658591242</v>
      </c>
      <c r="J210" s="3">
        <v>4949</v>
      </c>
      <c r="K210" s="11">
        <v>0.92178247734138974</v>
      </c>
      <c r="L210" s="9"/>
      <c r="M210" s="9"/>
      <c r="O210" s="9"/>
    </row>
    <row r="211" spans="1:15" x14ac:dyDescent="0.25">
      <c r="A211" s="9" t="s">
        <v>10</v>
      </c>
      <c r="B211" s="9" t="s">
        <v>26</v>
      </c>
      <c r="C211" s="9" t="s">
        <v>31</v>
      </c>
      <c r="D211" s="9" t="s">
        <v>15</v>
      </c>
      <c r="E211" s="9">
        <v>2015</v>
      </c>
      <c r="F211" s="44">
        <f t="shared" si="1"/>
        <v>578.45368904369855</v>
      </c>
      <c r="G211" s="38">
        <v>578.79225850855403</v>
      </c>
      <c r="H211" s="38">
        <v>533.43516902422857</v>
      </c>
      <c r="I211" s="38">
        <v>625.96823966423881</v>
      </c>
      <c r="J211" s="24">
        <v>637</v>
      </c>
      <c r="K211" s="11">
        <v>0.90809056364787843</v>
      </c>
      <c r="L211" s="9"/>
      <c r="M211" s="9"/>
      <c r="O211" s="9"/>
    </row>
    <row r="212" spans="1:15" x14ac:dyDescent="0.25">
      <c r="A212" s="9" t="s">
        <v>10</v>
      </c>
      <c r="B212" s="9" t="s">
        <v>26</v>
      </c>
      <c r="C212" s="9" t="s">
        <v>19</v>
      </c>
      <c r="D212" s="9" t="s">
        <v>15</v>
      </c>
      <c r="E212" s="9">
        <v>2015</v>
      </c>
      <c r="F212" s="44">
        <f t="shared" si="1"/>
        <v>2387.4990761006611</v>
      </c>
      <c r="G212" s="38">
        <v>2387.7231406748224</v>
      </c>
      <c r="H212" s="38">
        <v>2291.4324706696311</v>
      </c>
      <c r="I212" s="38">
        <v>2483.9730241387597</v>
      </c>
      <c r="J212" s="3">
        <v>2594</v>
      </c>
      <c r="K212" s="11">
        <v>0.92039285894397105</v>
      </c>
      <c r="L212" s="9"/>
      <c r="M212" s="9"/>
      <c r="O212" s="9"/>
    </row>
    <row r="213" spans="1:15" x14ac:dyDescent="0.25">
      <c r="A213" s="9" t="s">
        <v>10</v>
      </c>
      <c r="B213" s="9" t="s">
        <v>26</v>
      </c>
      <c r="C213" s="9" t="s">
        <v>20</v>
      </c>
      <c r="D213" s="9" t="s">
        <v>15</v>
      </c>
      <c r="E213" s="9">
        <v>2015</v>
      </c>
      <c r="F213" s="44">
        <f t="shared" si="1"/>
        <v>2014.1097078389068</v>
      </c>
      <c r="G213" s="38">
        <v>2014.5273543794231</v>
      </c>
      <c r="H213" s="38">
        <v>1925.6910730361458</v>
      </c>
      <c r="I213" s="38">
        <v>2101.6536245070192</v>
      </c>
      <c r="J213" s="3">
        <v>2207</v>
      </c>
      <c r="K213" s="11">
        <v>0.91260068320747934</v>
      </c>
      <c r="L213" s="9"/>
      <c r="M213" s="9"/>
      <c r="O213" s="9"/>
    </row>
    <row r="214" spans="1:15" x14ac:dyDescent="0.25">
      <c r="A214" s="9" t="s">
        <v>10</v>
      </c>
      <c r="B214" s="9" t="s">
        <v>27</v>
      </c>
      <c r="C214" s="9" t="s">
        <v>31</v>
      </c>
      <c r="D214" s="9" t="s">
        <v>11</v>
      </c>
      <c r="E214" s="9">
        <v>2015</v>
      </c>
      <c r="F214" s="44">
        <f t="shared" si="1"/>
        <v>589.2977249468629</v>
      </c>
      <c r="G214" s="38">
        <v>589.23663944421696</v>
      </c>
      <c r="H214" s="38">
        <v>542.58754114966086</v>
      </c>
      <c r="I214" s="38">
        <v>638.03264199932789</v>
      </c>
      <c r="J214" s="24">
        <v>651</v>
      </c>
      <c r="K214" s="11">
        <v>0.90521923954971262</v>
      </c>
      <c r="L214" s="9"/>
      <c r="M214" s="9"/>
      <c r="O214" s="9"/>
    </row>
    <row r="215" spans="1:15" x14ac:dyDescent="0.25">
      <c r="A215" s="9" t="s">
        <v>10</v>
      </c>
      <c r="B215" s="9" t="s">
        <v>27</v>
      </c>
      <c r="C215" s="9" t="s">
        <v>19</v>
      </c>
      <c r="D215" s="9" t="s">
        <v>11</v>
      </c>
      <c r="E215" s="9">
        <v>2015</v>
      </c>
      <c r="F215" s="44">
        <f t="shared" si="1"/>
        <v>857.9593946421669</v>
      </c>
      <c r="G215" s="38">
        <v>858.26546186505186</v>
      </c>
      <c r="H215" s="38">
        <v>801.91931515696456</v>
      </c>
      <c r="I215" s="38">
        <v>918.46354014788096</v>
      </c>
      <c r="J215" s="24">
        <v>944</v>
      </c>
      <c r="K215" s="11">
        <v>0.90885529093449879</v>
      </c>
      <c r="L215" s="9"/>
      <c r="M215" s="9"/>
      <c r="O215" s="9"/>
    </row>
    <row r="216" spans="1:15" x14ac:dyDescent="0.25">
      <c r="A216" s="9" t="s">
        <v>10</v>
      </c>
      <c r="B216" s="9" t="s">
        <v>27</v>
      </c>
      <c r="C216" s="9" t="s">
        <v>20</v>
      </c>
      <c r="D216" s="9" t="s">
        <v>11</v>
      </c>
      <c r="E216" s="9">
        <v>2015</v>
      </c>
      <c r="F216" s="44">
        <f t="shared" si="1"/>
        <v>967.8716012084592</v>
      </c>
      <c r="G216" s="38">
        <v>967.72875641032363</v>
      </c>
      <c r="H216" s="38">
        <v>906.1560540480599</v>
      </c>
      <c r="I216" s="38">
        <v>1029.5649016616567</v>
      </c>
      <c r="J216" s="3">
        <v>1050</v>
      </c>
      <c r="K216" s="11">
        <v>0.92178247734138974</v>
      </c>
      <c r="L216" s="9"/>
      <c r="M216" s="9"/>
      <c r="O216" s="9"/>
    </row>
    <row r="217" spans="1:15" x14ac:dyDescent="0.25">
      <c r="A217" s="9" t="s">
        <v>10</v>
      </c>
      <c r="B217" s="9" t="s">
        <v>28</v>
      </c>
      <c r="C217" s="9" t="s">
        <v>31</v>
      </c>
      <c r="D217" s="9" t="s">
        <v>12</v>
      </c>
      <c r="E217" s="9">
        <v>2015</v>
      </c>
      <c r="F217" s="44">
        <f t="shared" si="1"/>
        <v>3837.2243564512319</v>
      </c>
      <c r="G217" s="38">
        <v>3837.3835755739242</v>
      </c>
      <c r="H217" s="38">
        <v>3718.0892504265776</v>
      </c>
      <c r="I217" s="38">
        <v>3958.929559345243</v>
      </c>
      <c r="J217" s="24">
        <v>4239</v>
      </c>
      <c r="K217" s="11">
        <v>0.90521923954971262</v>
      </c>
      <c r="L217" s="9"/>
      <c r="M217" s="9"/>
      <c r="O217" s="9"/>
    </row>
    <row r="218" spans="1:15" x14ac:dyDescent="0.25">
      <c r="A218" s="9" t="s">
        <v>10</v>
      </c>
      <c r="B218" s="9" t="s">
        <v>28</v>
      </c>
      <c r="C218" s="9" t="s">
        <v>19</v>
      </c>
      <c r="D218" s="9" t="s">
        <v>12</v>
      </c>
      <c r="E218" s="9">
        <v>2015</v>
      </c>
      <c r="F218" s="44">
        <f t="shared" si="1"/>
        <v>12730.336060119525</v>
      </c>
      <c r="G218" s="38">
        <v>12732.338632733825</v>
      </c>
      <c r="H218" s="38">
        <v>12511.514743484471</v>
      </c>
      <c r="I218" s="38">
        <v>12955.448089570018</v>
      </c>
      <c r="J218" s="24">
        <v>14007</v>
      </c>
      <c r="K218" s="11">
        <v>0.90885529093449879</v>
      </c>
      <c r="L218" s="9"/>
      <c r="M218" s="9"/>
      <c r="O218" s="9"/>
    </row>
    <row r="219" spans="1:15" x14ac:dyDescent="0.25">
      <c r="A219" s="9" t="s">
        <v>10</v>
      </c>
      <c r="B219" s="9" t="s">
        <v>28</v>
      </c>
      <c r="C219" s="9" t="s">
        <v>20</v>
      </c>
      <c r="D219" s="9" t="s">
        <v>12</v>
      </c>
      <c r="E219" s="9">
        <v>2015</v>
      </c>
      <c r="F219" s="44">
        <f t="shared" si="1"/>
        <v>7722.6935951661635</v>
      </c>
      <c r="G219" s="38">
        <v>7721.8258627766854</v>
      </c>
      <c r="H219" s="38">
        <v>7547.7829444194222</v>
      </c>
      <c r="I219" s="38">
        <v>7895.9985454889511</v>
      </c>
      <c r="J219" s="24">
        <v>8378</v>
      </c>
      <c r="K219" s="11">
        <v>0.92178247734138974</v>
      </c>
      <c r="L219" s="9"/>
      <c r="M219" s="9"/>
      <c r="O219" s="9"/>
    </row>
    <row r="220" spans="1:15" x14ac:dyDescent="0.25">
      <c r="A220" s="9" t="s">
        <v>10</v>
      </c>
      <c r="B220" s="9" t="s">
        <v>28</v>
      </c>
      <c r="C220" s="9" t="s">
        <v>31</v>
      </c>
      <c r="D220" s="9" t="s">
        <v>15</v>
      </c>
      <c r="E220" s="9">
        <v>2015</v>
      </c>
      <c r="F220" s="44">
        <f t="shared" si="1"/>
        <v>2162.1636320455987</v>
      </c>
      <c r="G220" s="38">
        <v>2162.2028144618666</v>
      </c>
      <c r="H220" s="38">
        <v>2072.7647078654045</v>
      </c>
      <c r="I220" s="38">
        <v>2254.2172081683657</v>
      </c>
      <c r="J220" s="24">
        <v>2381</v>
      </c>
      <c r="K220" s="11">
        <v>0.90809056364787843</v>
      </c>
      <c r="L220" s="9"/>
      <c r="M220" s="9"/>
      <c r="O220" s="9"/>
    </row>
    <row r="221" spans="1:15" x14ac:dyDescent="0.25">
      <c r="A221" s="9" t="s">
        <v>10</v>
      </c>
      <c r="B221" s="9" t="s">
        <v>28</v>
      </c>
      <c r="C221" s="9" t="s">
        <v>19</v>
      </c>
      <c r="D221" s="9" t="s">
        <v>15</v>
      </c>
      <c r="E221" s="9">
        <v>2015</v>
      </c>
      <c r="F221" s="44">
        <f t="shared" si="1"/>
        <v>15835.359138131022</v>
      </c>
      <c r="G221" s="38">
        <v>15833.856318894776</v>
      </c>
      <c r="H221" s="38">
        <v>15585.45680272412</v>
      </c>
      <c r="I221" s="38">
        <v>16084.238522274143</v>
      </c>
      <c r="J221" s="24">
        <v>17205</v>
      </c>
      <c r="K221" s="11">
        <v>0.92039285894397105</v>
      </c>
      <c r="L221" s="9"/>
      <c r="M221" s="9"/>
      <c r="O221" s="9"/>
    </row>
    <row r="222" spans="1:15" x14ac:dyDescent="0.25">
      <c r="A222" s="9" t="s">
        <v>10</v>
      </c>
      <c r="B222" s="9" t="s">
        <v>28</v>
      </c>
      <c r="C222" s="9" t="s">
        <v>20</v>
      </c>
      <c r="D222" s="9" t="s">
        <v>15</v>
      </c>
      <c r="E222" s="9">
        <v>2015</v>
      </c>
      <c r="F222" s="44">
        <f t="shared" si="1"/>
        <v>8116.6704764473216</v>
      </c>
      <c r="G222" s="38">
        <v>8116.895048722874</v>
      </c>
      <c r="H222" s="38">
        <v>7943.802636078125</v>
      </c>
      <c r="I222" s="38">
        <v>8295.4923518847118</v>
      </c>
      <c r="J222" s="24">
        <v>8894</v>
      </c>
      <c r="K222" s="11">
        <v>0.91260068320747934</v>
      </c>
      <c r="L222" s="9"/>
      <c r="M222" s="9"/>
      <c r="O222" s="9"/>
    </row>
    <row r="223" spans="1:15" x14ac:dyDescent="0.25">
      <c r="A223" s="9" t="s">
        <v>21</v>
      </c>
      <c r="B223" s="9" t="s">
        <v>11</v>
      </c>
      <c r="C223" s="9" t="s">
        <v>11</v>
      </c>
      <c r="D223" s="9" t="s">
        <v>11</v>
      </c>
      <c r="E223" s="9">
        <v>2015</v>
      </c>
      <c r="F223" s="44">
        <f>SUM(F226:F243)</f>
        <v>2407.2258078848267</v>
      </c>
      <c r="G223" s="38">
        <v>2407.7559999999999</v>
      </c>
      <c r="H223" s="38">
        <v>2314</v>
      </c>
      <c r="I223" s="38">
        <v>2505</v>
      </c>
      <c r="J223" s="9"/>
      <c r="K223" s="9"/>
      <c r="L223" s="9"/>
      <c r="M223" s="9"/>
      <c r="O223" s="9"/>
    </row>
    <row r="224" spans="1:15" x14ac:dyDescent="0.25">
      <c r="A224" s="9" t="s">
        <v>21</v>
      </c>
      <c r="B224" s="9" t="s">
        <v>11</v>
      </c>
      <c r="C224" s="9" t="s">
        <v>19</v>
      </c>
      <c r="D224" s="9" t="s">
        <v>11</v>
      </c>
      <c r="E224" s="9">
        <v>2015</v>
      </c>
      <c r="F224" s="44">
        <f>SUM(F227,F230,F233,F236,F239,F242)</f>
        <v>1002.510711409396</v>
      </c>
      <c r="G224" s="38"/>
      <c r="H224" s="38"/>
      <c r="I224" s="38"/>
      <c r="J224" s="24"/>
      <c r="K224" s="9"/>
      <c r="L224" s="9"/>
      <c r="M224" s="9"/>
      <c r="O224" s="9"/>
    </row>
    <row r="225" spans="1:15" x14ac:dyDescent="0.25">
      <c r="A225" s="9" t="s">
        <v>21</v>
      </c>
      <c r="B225" s="9" t="s">
        <v>24</v>
      </c>
      <c r="C225" s="9" t="s">
        <v>11</v>
      </c>
      <c r="D225" s="9" t="s">
        <v>11</v>
      </c>
      <c r="E225" s="9">
        <v>2015</v>
      </c>
      <c r="F225" s="44">
        <f>SUM(F226:F228)</f>
        <v>1408.8298737453877</v>
      </c>
      <c r="G225" s="38"/>
      <c r="H225" s="38"/>
      <c r="I225" s="38"/>
      <c r="J225" s="24"/>
      <c r="K225" s="9"/>
      <c r="L225" s="9"/>
      <c r="M225" s="9"/>
      <c r="O225" s="9"/>
    </row>
    <row r="226" spans="1:15" x14ac:dyDescent="0.25">
      <c r="A226" s="9" t="s">
        <v>21</v>
      </c>
      <c r="B226" s="9" t="s">
        <v>24</v>
      </c>
      <c r="C226" s="9" t="s">
        <v>31</v>
      </c>
      <c r="D226" s="9" t="s">
        <v>11</v>
      </c>
      <c r="E226" s="9">
        <v>2015</v>
      </c>
      <c r="F226" s="44">
        <f t="shared" si="1"/>
        <v>394.73585798816566</v>
      </c>
      <c r="G226" s="38">
        <v>394.97878306809059</v>
      </c>
      <c r="H226" s="38">
        <v>356.74552319040316</v>
      </c>
      <c r="I226" s="38">
        <v>434.06994934255698</v>
      </c>
      <c r="J226" s="24">
        <v>401</v>
      </c>
      <c r="K226" s="9">
        <v>0.98437869822485202</v>
      </c>
      <c r="L226" s="9"/>
      <c r="M226" s="9"/>
      <c r="O226" s="9"/>
    </row>
    <row r="227" spans="1:15" x14ac:dyDescent="0.25">
      <c r="A227" s="9" t="s">
        <v>21</v>
      </c>
      <c r="B227" s="9" t="s">
        <v>24</v>
      </c>
      <c r="C227" s="9" t="s">
        <v>19</v>
      </c>
      <c r="D227" s="9" t="s">
        <v>11</v>
      </c>
      <c r="E227" s="9">
        <v>2015</v>
      </c>
      <c r="F227" s="44">
        <f t="shared" si="1"/>
        <v>432.30271140939595</v>
      </c>
      <c r="G227" s="38">
        <v>432.20509038634265</v>
      </c>
      <c r="H227" s="38">
        <v>392.5650316524663</v>
      </c>
      <c r="I227" s="38">
        <v>473.8249533017775</v>
      </c>
      <c r="J227" s="24">
        <v>446</v>
      </c>
      <c r="K227" s="9">
        <v>0.96928859060402683</v>
      </c>
      <c r="L227" s="9"/>
      <c r="M227" s="9"/>
      <c r="O227" s="9"/>
    </row>
    <row r="228" spans="1:15" x14ac:dyDescent="0.25">
      <c r="A228" s="9" t="s">
        <v>21</v>
      </c>
      <c r="B228" s="9" t="s">
        <v>24</v>
      </c>
      <c r="C228" s="9" t="s">
        <v>20</v>
      </c>
      <c r="D228" s="9" t="s">
        <v>11</v>
      </c>
      <c r="E228" s="9">
        <v>2015</v>
      </c>
      <c r="F228" s="44">
        <f t="shared" si="1"/>
        <v>581.7913043478261</v>
      </c>
      <c r="G228" s="38">
        <v>582.39500721169327</v>
      </c>
      <c r="H228" s="38">
        <v>536.59808801664315</v>
      </c>
      <c r="I228" s="38">
        <v>630.89359377471476</v>
      </c>
      <c r="J228" s="24">
        <v>590</v>
      </c>
      <c r="K228" s="9">
        <v>0.98608695652173917</v>
      </c>
      <c r="L228" s="9"/>
      <c r="M228" s="9"/>
      <c r="O228" s="9"/>
    </row>
    <row r="229" spans="1:15" x14ac:dyDescent="0.25">
      <c r="A229" s="9" t="s">
        <v>21</v>
      </c>
      <c r="B229" s="9" t="s">
        <v>26</v>
      </c>
      <c r="C229" s="9" t="s">
        <v>31</v>
      </c>
      <c r="D229" s="9" t="s">
        <v>12</v>
      </c>
      <c r="E229" s="9">
        <v>2015</v>
      </c>
      <c r="F229" s="44">
        <f t="shared" si="1"/>
        <v>5.9062721893491119</v>
      </c>
      <c r="G229" s="38">
        <v>5.8951365119920851</v>
      </c>
      <c r="H229" s="38">
        <v>2.1469906398142857</v>
      </c>
      <c r="I229" s="38">
        <v>11.479593865303274</v>
      </c>
      <c r="J229" s="24">
        <v>6</v>
      </c>
      <c r="K229" s="9">
        <v>0.98437869822485202</v>
      </c>
      <c r="L229" s="9"/>
      <c r="M229" s="9"/>
      <c r="O229" s="9"/>
    </row>
    <row r="230" spans="1:15" x14ac:dyDescent="0.25">
      <c r="A230" s="9" t="s">
        <v>21</v>
      </c>
      <c r="B230" s="9" t="s">
        <v>26</v>
      </c>
      <c r="C230" s="9" t="s">
        <v>19</v>
      </c>
      <c r="D230" s="9" t="s">
        <v>12</v>
      </c>
      <c r="E230" s="9">
        <v>2015</v>
      </c>
      <c r="F230" s="44">
        <f t="shared" si="1"/>
        <v>4.8464429530201345</v>
      </c>
      <c r="G230" s="38">
        <v>4.8555326954394733</v>
      </c>
      <c r="H230" s="38">
        <v>1.5573732808567766</v>
      </c>
      <c r="I230" s="38">
        <v>10.020726859189571</v>
      </c>
      <c r="J230" s="24">
        <v>5</v>
      </c>
      <c r="K230" s="9">
        <v>0.96928859060402683</v>
      </c>
      <c r="L230" s="9"/>
      <c r="M230" s="9"/>
      <c r="O230" s="9"/>
    </row>
    <row r="231" spans="1:15" x14ac:dyDescent="0.25">
      <c r="A231" s="9" t="s">
        <v>21</v>
      </c>
      <c r="B231" s="9" t="s">
        <v>26</v>
      </c>
      <c r="C231" s="9" t="s">
        <v>20</v>
      </c>
      <c r="D231" s="9" t="s">
        <v>12</v>
      </c>
      <c r="E231" s="9">
        <v>2015</v>
      </c>
      <c r="F231" s="44">
        <f t="shared" si="1"/>
        <v>15.777391304347827</v>
      </c>
      <c r="G231" s="38">
        <v>15.842644078466963</v>
      </c>
      <c r="H231" s="38">
        <v>9.0182821682453849</v>
      </c>
      <c r="I231" s="38">
        <v>24.556093794416018</v>
      </c>
      <c r="J231" s="24">
        <v>16</v>
      </c>
      <c r="K231" s="9">
        <v>0.98608695652173917</v>
      </c>
      <c r="L231" s="9"/>
      <c r="M231" s="9"/>
      <c r="O231" s="9"/>
    </row>
    <row r="232" spans="1:15" x14ac:dyDescent="0.25">
      <c r="A232" s="9" t="s">
        <v>21</v>
      </c>
      <c r="B232" s="9" t="s">
        <v>26</v>
      </c>
      <c r="C232" s="9" t="s">
        <v>31</v>
      </c>
      <c r="D232" s="9" t="s">
        <v>15</v>
      </c>
      <c r="E232" s="9">
        <v>2015</v>
      </c>
      <c r="F232" s="44">
        <f t="shared" si="1"/>
        <v>2.79</v>
      </c>
      <c r="G232" s="38">
        <v>2.8195196839393351</v>
      </c>
      <c r="H232" s="38">
        <v>0.54899407577643156</v>
      </c>
      <c r="I232" s="38">
        <v>6.9951960958829105</v>
      </c>
      <c r="J232" s="24">
        <v>3</v>
      </c>
      <c r="K232" s="9">
        <v>0.93</v>
      </c>
      <c r="L232" s="9"/>
      <c r="M232" s="9"/>
      <c r="O232" s="9"/>
    </row>
    <row r="233" spans="1:15" x14ac:dyDescent="0.25">
      <c r="A233" s="9" t="s">
        <v>21</v>
      </c>
      <c r="B233" s="9" t="s">
        <v>26</v>
      </c>
      <c r="C233" s="9" t="s">
        <v>19</v>
      </c>
      <c r="D233" s="9" t="s">
        <v>15</v>
      </c>
      <c r="E233" s="9">
        <v>2015</v>
      </c>
      <c r="F233" s="44">
        <f t="shared" si="1"/>
        <v>6.6763389830508482</v>
      </c>
      <c r="G233" s="38">
        <v>6.6719238919302173</v>
      </c>
      <c r="H233" s="38">
        <v>2.6441242114955212</v>
      </c>
      <c r="I233" s="38">
        <v>12.426874981036516</v>
      </c>
      <c r="J233" s="24">
        <v>7</v>
      </c>
      <c r="K233" s="9">
        <v>0.95376271186440686</v>
      </c>
      <c r="L233" s="9"/>
      <c r="M233" s="9"/>
      <c r="O233" s="9"/>
    </row>
    <row r="234" spans="1:15" x14ac:dyDescent="0.25">
      <c r="A234" s="9" t="s">
        <v>21</v>
      </c>
      <c r="B234" s="9" t="s">
        <v>26</v>
      </c>
      <c r="C234" s="9" t="s">
        <v>20</v>
      </c>
      <c r="D234" s="9" t="s">
        <v>15</v>
      </c>
      <c r="E234" s="9">
        <v>2015</v>
      </c>
      <c r="F234" s="44">
        <f t="shared" si="1"/>
        <v>5.7415384615384619</v>
      </c>
      <c r="G234" s="38">
        <v>5.7185416014379706</v>
      </c>
      <c r="H234" s="38">
        <v>2.0310293859062853</v>
      </c>
      <c r="I234" s="38">
        <v>11.571314277345152</v>
      </c>
      <c r="J234" s="24">
        <v>6</v>
      </c>
      <c r="K234" s="9">
        <v>0.95692307692307699</v>
      </c>
      <c r="L234" s="9"/>
      <c r="M234" s="9"/>
      <c r="O234" s="9"/>
    </row>
    <row r="235" spans="1:15" x14ac:dyDescent="0.25">
      <c r="A235" s="9" t="s">
        <v>21</v>
      </c>
      <c r="B235" s="9" t="s">
        <v>27</v>
      </c>
      <c r="C235" s="9" t="s">
        <v>31</v>
      </c>
      <c r="D235" s="9" t="s">
        <v>11</v>
      </c>
      <c r="E235" s="9">
        <v>2015</v>
      </c>
      <c r="F235" s="44">
        <f t="shared" si="1"/>
        <v>10.828165680473372</v>
      </c>
      <c r="G235" s="38">
        <v>10.822619751326462</v>
      </c>
      <c r="H235" s="38">
        <v>5.4425220142055784</v>
      </c>
      <c r="I235" s="38">
        <v>18.072245757507122</v>
      </c>
      <c r="J235" s="24">
        <v>11</v>
      </c>
      <c r="K235" s="9">
        <v>0.98437869822485202</v>
      </c>
      <c r="L235" s="9"/>
      <c r="M235" s="9"/>
      <c r="O235" s="9"/>
    </row>
    <row r="236" spans="1:15" x14ac:dyDescent="0.25">
      <c r="A236" s="9" t="s">
        <v>21</v>
      </c>
      <c r="B236" s="9" t="s">
        <v>27</v>
      </c>
      <c r="C236" s="9" t="s">
        <v>19</v>
      </c>
      <c r="D236" s="9" t="s">
        <v>11</v>
      </c>
      <c r="E236" s="9">
        <v>2015</v>
      </c>
      <c r="F236" s="44">
        <f t="shared" si="1"/>
        <v>8.7235973154362423</v>
      </c>
      <c r="G236" s="38">
        <v>8.6625978334798219</v>
      </c>
      <c r="H236" s="38">
        <v>3.9366900137787297</v>
      </c>
      <c r="I236" s="38">
        <v>15.201380239921754</v>
      </c>
      <c r="J236" s="24">
        <v>9</v>
      </c>
      <c r="K236" s="9">
        <v>0.96928859060402683</v>
      </c>
      <c r="L236" s="9"/>
      <c r="M236" s="9"/>
      <c r="O236" s="9"/>
    </row>
    <row r="237" spans="1:15" x14ac:dyDescent="0.25">
      <c r="A237" s="9" t="s">
        <v>21</v>
      </c>
      <c r="B237" s="9" t="s">
        <v>27</v>
      </c>
      <c r="C237" s="9" t="s">
        <v>20</v>
      </c>
      <c r="D237" s="9" t="s">
        <v>11</v>
      </c>
      <c r="E237" s="9">
        <v>2015</v>
      </c>
      <c r="F237" s="44">
        <f t="shared" si="1"/>
        <v>11.833043478260869</v>
      </c>
      <c r="G237" s="38">
        <v>11.83932082474262</v>
      </c>
      <c r="H237" s="38">
        <v>6.0848457534509572</v>
      </c>
      <c r="I237" s="38">
        <v>19.380073751112324</v>
      </c>
      <c r="J237" s="24">
        <v>12</v>
      </c>
      <c r="K237" s="9">
        <v>0.98608695652173917</v>
      </c>
      <c r="L237" s="9"/>
      <c r="M237" s="9"/>
      <c r="O237" s="9"/>
    </row>
    <row r="238" spans="1:15" x14ac:dyDescent="0.25">
      <c r="A238" s="9" t="s">
        <v>21</v>
      </c>
      <c r="B238" s="9" t="s">
        <v>28</v>
      </c>
      <c r="C238" s="9" t="s">
        <v>31</v>
      </c>
      <c r="D238" s="9" t="s">
        <v>12</v>
      </c>
      <c r="E238" s="9">
        <v>2015</v>
      </c>
      <c r="F238" s="44">
        <f t="shared" si="1"/>
        <v>69.890887573964491</v>
      </c>
      <c r="G238" s="38">
        <v>70.057789881836001</v>
      </c>
      <c r="H238" s="38">
        <v>54.586053248361338</v>
      </c>
      <c r="I238" s="38">
        <v>87.711135666638057</v>
      </c>
      <c r="J238" s="24">
        <v>71</v>
      </c>
      <c r="K238" s="9">
        <v>0.98437869822485202</v>
      </c>
      <c r="L238" s="9"/>
      <c r="M238" s="9"/>
      <c r="O238" s="9"/>
    </row>
    <row r="239" spans="1:15" x14ac:dyDescent="0.25">
      <c r="A239" s="9" t="s">
        <v>21</v>
      </c>
      <c r="B239" s="9" t="s">
        <v>28</v>
      </c>
      <c r="C239" s="9" t="s">
        <v>19</v>
      </c>
      <c r="D239" s="9" t="s">
        <v>12</v>
      </c>
      <c r="E239" s="9">
        <v>2015</v>
      </c>
      <c r="F239" s="44">
        <f t="shared" si="1"/>
        <v>275.2779597315436</v>
      </c>
      <c r="G239" s="38">
        <v>275.21186839309087</v>
      </c>
      <c r="H239" s="38">
        <v>242.93960797643931</v>
      </c>
      <c r="I239" s="38">
        <v>308.20565470813744</v>
      </c>
      <c r="J239" s="24">
        <v>284</v>
      </c>
      <c r="K239" s="9">
        <v>0.96928859060402683</v>
      </c>
      <c r="L239" s="9"/>
      <c r="M239" s="9"/>
      <c r="O239" s="9"/>
    </row>
    <row r="240" spans="1:15" x14ac:dyDescent="0.25">
      <c r="A240" s="9" t="s">
        <v>21</v>
      </c>
      <c r="B240" s="9" t="s">
        <v>28</v>
      </c>
      <c r="C240" s="9" t="s">
        <v>20</v>
      </c>
      <c r="D240" s="9" t="s">
        <v>12</v>
      </c>
      <c r="E240" s="9">
        <v>2015</v>
      </c>
      <c r="F240" s="44">
        <f t="shared" si="1"/>
        <v>138.05217391304348</v>
      </c>
      <c r="G240" s="38">
        <v>137.96326499374823</v>
      </c>
      <c r="H240" s="38">
        <v>115.41479595706295</v>
      </c>
      <c r="I240" s="38">
        <v>161.89633703368784</v>
      </c>
      <c r="J240" s="24">
        <v>140</v>
      </c>
      <c r="K240" s="9">
        <v>0.98608695652173917</v>
      </c>
      <c r="L240" s="9"/>
      <c r="M240" s="9"/>
      <c r="O240" s="9"/>
    </row>
    <row r="241" spans="1:15" x14ac:dyDescent="0.25">
      <c r="A241" s="9" t="s">
        <v>21</v>
      </c>
      <c r="B241" s="9" t="s">
        <v>28</v>
      </c>
      <c r="C241" s="9" t="s">
        <v>31</v>
      </c>
      <c r="D241" s="9" t="s">
        <v>15</v>
      </c>
      <c r="E241" s="9">
        <v>2015</v>
      </c>
      <c r="F241" s="44">
        <f t="shared" si="1"/>
        <v>36.270000000000003</v>
      </c>
      <c r="G241" s="38">
        <v>36.281747930534387</v>
      </c>
      <c r="H241" s="38">
        <v>25.304786256668699</v>
      </c>
      <c r="I241" s="38">
        <v>48.722315154799126</v>
      </c>
      <c r="J241" s="24">
        <v>39</v>
      </c>
      <c r="K241" s="9">
        <v>0.93</v>
      </c>
      <c r="L241" s="9"/>
      <c r="M241" s="9"/>
      <c r="O241" s="9"/>
    </row>
    <row r="242" spans="1:15" x14ac:dyDescent="0.25">
      <c r="A242" s="9" t="s">
        <v>21</v>
      </c>
      <c r="B242" s="9" t="s">
        <v>28</v>
      </c>
      <c r="C242" s="9" t="s">
        <v>19</v>
      </c>
      <c r="D242" s="9" t="s">
        <v>15</v>
      </c>
      <c r="E242" s="9">
        <v>2015</v>
      </c>
      <c r="F242" s="44">
        <f t="shared" si="1"/>
        <v>274.6836610169492</v>
      </c>
      <c r="G242" s="38">
        <v>274.52007008092505</v>
      </c>
      <c r="H242" s="38">
        <v>242.98789369167304</v>
      </c>
      <c r="I242" s="38">
        <v>307.62731060199121</v>
      </c>
      <c r="J242" s="24">
        <v>288</v>
      </c>
      <c r="K242" s="9">
        <v>0.95376271186440686</v>
      </c>
      <c r="L242" s="9"/>
      <c r="M242" s="9"/>
      <c r="O242" s="9"/>
    </row>
    <row r="243" spans="1:15" x14ac:dyDescent="0.25">
      <c r="A243" s="9" t="s">
        <v>21</v>
      </c>
      <c r="B243" s="9" t="s">
        <v>28</v>
      </c>
      <c r="C243" s="9" t="s">
        <v>20</v>
      </c>
      <c r="D243" s="9" t="s">
        <v>15</v>
      </c>
      <c r="E243" s="9">
        <v>2015</v>
      </c>
      <c r="F243" s="44">
        <f t="shared" si="1"/>
        <v>131.09846153846155</v>
      </c>
      <c r="G243" s="38">
        <v>131.01454118098391</v>
      </c>
      <c r="H243" s="38">
        <v>109.30062899488628</v>
      </c>
      <c r="I243" s="38">
        <v>154.84294171385244</v>
      </c>
      <c r="J243" s="24">
        <v>137</v>
      </c>
      <c r="K243" s="9">
        <v>0.95692307692307699</v>
      </c>
      <c r="L243" s="9"/>
      <c r="M243" s="9"/>
      <c r="O243" s="9"/>
    </row>
    <row r="244" spans="1:15" x14ac:dyDescent="0.25">
      <c r="A244" s="9" t="s">
        <v>22</v>
      </c>
      <c r="B244" s="9" t="s">
        <v>11</v>
      </c>
      <c r="C244" s="9" t="s">
        <v>11</v>
      </c>
      <c r="D244" s="9" t="s">
        <v>11</v>
      </c>
      <c r="E244" s="9">
        <v>2015</v>
      </c>
      <c r="F244" s="44">
        <f>SUM(F247:F264)</f>
        <v>1328.9038666666665</v>
      </c>
      <c r="G244" s="38">
        <v>1328.4249</v>
      </c>
      <c r="H244" s="38">
        <v>1256</v>
      </c>
      <c r="I244" s="38">
        <v>1401</v>
      </c>
      <c r="J244" s="9"/>
      <c r="K244" s="9"/>
      <c r="L244" s="9"/>
      <c r="M244" s="9"/>
      <c r="O244" s="9"/>
    </row>
    <row r="245" spans="1:15" x14ac:dyDescent="0.25">
      <c r="A245" s="9" t="s">
        <v>22</v>
      </c>
      <c r="B245" s="9" t="s">
        <v>11</v>
      </c>
      <c r="C245" s="9" t="s">
        <v>19</v>
      </c>
      <c r="D245" s="9" t="s">
        <v>11</v>
      </c>
      <c r="E245" s="9">
        <v>2015</v>
      </c>
      <c r="F245" s="44">
        <f>SUM(F248,F251,F254,F257,F260,F263)</f>
        <v>681.3599999999999</v>
      </c>
      <c r="G245" s="38"/>
      <c r="H245" s="38"/>
      <c r="I245" s="38"/>
      <c r="J245" s="9"/>
      <c r="K245" s="9"/>
      <c r="L245" s="9"/>
      <c r="M245" s="9"/>
      <c r="O245" s="9"/>
    </row>
    <row r="246" spans="1:15" x14ac:dyDescent="0.25">
      <c r="A246" s="9" t="s">
        <v>22</v>
      </c>
      <c r="B246" s="9" t="s">
        <v>24</v>
      </c>
      <c r="C246" s="9" t="s">
        <v>11</v>
      </c>
      <c r="D246" s="9" t="s">
        <v>11</v>
      </c>
      <c r="E246" s="9">
        <v>2015</v>
      </c>
      <c r="F246" s="44">
        <f>SUM(F247:F249)</f>
        <v>281.68974952250852</v>
      </c>
      <c r="G246" s="38"/>
      <c r="H246" s="38"/>
      <c r="I246" s="38"/>
      <c r="J246" s="9"/>
      <c r="K246" s="9"/>
      <c r="L246" s="9"/>
      <c r="M246" s="9"/>
      <c r="O246" s="9"/>
    </row>
    <row r="247" spans="1:15" x14ac:dyDescent="0.25">
      <c r="A247" s="9" t="s">
        <v>22</v>
      </c>
      <c r="B247" s="9" t="s">
        <v>24</v>
      </c>
      <c r="C247" s="9" t="s">
        <v>31</v>
      </c>
      <c r="D247" s="9" t="s">
        <v>11</v>
      </c>
      <c r="E247" s="9">
        <v>2015</v>
      </c>
      <c r="F247" s="44">
        <f t="shared" si="1"/>
        <v>93.854166666666657</v>
      </c>
      <c r="G247" s="38">
        <v>93.781489731802338</v>
      </c>
      <c r="H247" s="38">
        <v>76.286862016848886</v>
      </c>
      <c r="I247" s="38">
        <v>112.95970453233612</v>
      </c>
      <c r="J247" s="9">
        <v>125</v>
      </c>
      <c r="K247" s="9">
        <v>0.75083333333333324</v>
      </c>
      <c r="L247" s="9"/>
      <c r="M247" s="9"/>
      <c r="O247" s="9"/>
    </row>
    <row r="248" spans="1:15" x14ac:dyDescent="0.25">
      <c r="A248" s="9" t="s">
        <v>22</v>
      </c>
      <c r="B248" s="9" t="s">
        <v>24</v>
      </c>
      <c r="C248" s="9" t="s">
        <v>19</v>
      </c>
      <c r="D248" s="9" t="s">
        <v>11</v>
      </c>
      <c r="E248" s="9">
        <v>2015</v>
      </c>
      <c r="F248" s="44">
        <f t="shared" ref="F248:F264" si="2">J248*K248</f>
        <v>111.30239726027396</v>
      </c>
      <c r="G248" s="38">
        <v>111.2059320159993</v>
      </c>
      <c r="H248" s="38">
        <v>91.756091307568568</v>
      </c>
      <c r="I248" s="38">
        <v>132.86055030346958</v>
      </c>
      <c r="J248" s="9">
        <v>145</v>
      </c>
      <c r="K248" s="9">
        <v>0.76760273972602733</v>
      </c>
      <c r="L248" s="9"/>
      <c r="M248" s="9"/>
      <c r="O248" s="9"/>
    </row>
    <row r="249" spans="1:15" x14ac:dyDescent="0.25">
      <c r="A249" s="9" t="s">
        <v>22</v>
      </c>
      <c r="B249" s="9" t="s">
        <v>24</v>
      </c>
      <c r="C249" s="9" t="s">
        <v>20</v>
      </c>
      <c r="D249" s="9" t="s">
        <v>11</v>
      </c>
      <c r="E249" s="9">
        <v>2015</v>
      </c>
      <c r="F249" s="44">
        <f t="shared" si="2"/>
        <v>76.533185595567872</v>
      </c>
      <c r="G249" s="38">
        <v>76.542414954659932</v>
      </c>
      <c r="H249" s="38">
        <v>60.174462328351694</v>
      </c>
      <c r="I249" s="38">
        <v>94.371532156403092</v>
      </c>
      <c r="J249" s="9">
        <v>94</v>
      </c>
      <c r="K249" s="9">
        <v>0.81418282548476462</v>
      </c>
      <c r="L249" s="9"/>
      <c r="M249" s="9"/>
      <c r="O249" s="9"/>
    </row>
    <row r="250" spans="1:15" x14ac:dyDescent="0.25">
      <c r="A250" s="9" t="s">
        <v>22</v>
      </c>
      <c r="B250" s="9" t="s">
        <v>26</v>
      </c>
      <c r="C250" s="9" t="s">
        <v>31</v>
      </c>
      <c r="D250" s="9" t="s">
        <v>12</v>
      </c>
      <c r="E250" s="9">
        <v>2015</v>
      </c>
      <c r="F250" s="44">
        <f t="shared" si="2"/>
        <v>24.026666666666664</v>
      </c>
      <c r="G250" s="38">
        <v>24.001788979434824</v>
      </c>
      <c r="H250" s="38">
        <v>15.404872406455707</v>
      </c>
      <c r="I250" s="38">
        <v>34.39122406502122</v>
      </c>
      <c r="J250" s="11">
        <v>32</v>
      </c>
      <c r="K250" s="9">
        <v>0.75083333333333324</v>
      </c>
      <c r="L250" s="9"/>
      <c r="M250" s="9"/>
      <c r="O250" s="9"/>
    </row>
    <row r="251" spans="1:15" x14ac:dyDescent="0.25">
      <c r="A251" s="9" t="s">
        <v>22</v>
      </c>
      <c r="B251" s="9" t="s">
        <v>26</v>
      </c>
      <c r="C251" s="9" t="s">
        <v>19</v>
      </c>
      <c r="D251" s="9" t="s">
        <v>12</v>
      </c>
      <c r="E251" s="9">
        <v>2015</v>
      </c>
      <c r="F251" s="44">
        <f t="shared" si="2"/>
        <v>121.28123287671232</v>
      </c>
      <c r="G251" s="38">
        <v>121.19710036014534</v>
      </c>
      <c r="H251" s="38">
        <v>100.49641001989603</v>
      </c>
      <c r="I251" s="38">
        <v>143.91006837302314</v>
      </c>
      <c r="J251" s="9">
        <v>158</v>
      </c>
      <c r="K251" s="9">
        <v>0.76760273972602733</v>
      </c>
      <c r="L251" s="9"/>
      <c r="M251" s="9"/>
      <c r="O251" s="9"/>
    </row>
    <row r="252" spans="1:15" x14ac:dyDescent="0.25">
      <c r="A252" s="9" t="s">
        <v>22</v>
      </c>
      <c r="B252" s="9" t="s">
        <v>26</v>
      </c>
      <c r="C252" s="9" t="s">
        <v>20</v>
      </c>
      <c r="D252" s="9" t="s">
        <v>12</v>
      </c>
      <c r="E252" s="9">
        <v>2015</v>
      </c>
      <c r="F252" s="44">
        <f t="shared" si="2"/>
        <v>100.14448753462605</v>
      </c>
      <c r="G252" s="38">
        <v>100.1778986780019</v>
      </c>
      <c r="H252" s="38">
        <v>81.757714149591934</v>
      </c>
      <c r="I252" s="38">
        <v>121.1036683088104</v>
      </c>
      <c r="J252" s="9">
        <v>123</v>
      </c>
      <c r="K252" s="9">
        <v>0.81418282548476462</v>
      </c>
      <c r="L252" s="9"/>
      <c r="M252" s="9"/>
      <c r="O252" s="9"/>
    </row>
    <row r="253" spans="1:15" x14ac:dyDescent="0.25">
      <c r="A253" s="9" t="s">
        <v>22</v>
      </c>
      <c r="B253" s="37" t="s">
        <v>26</v>
      </c>
      <c r="C253" s="37" t="s">
        <v>31</v>
      </c>
      <c r="D253" s="37" t="s">
        <v>15</v>
      </c>
      <c r="E253" s="37">
        <v>2015</v>
      </c>
      <c r="F253" s="44">
        <f t="shared" si="2"/>
        <v>17.0688</v>
      </c>
      <c r="G253" s="38">
        <v>17.095544281211886</v>
      </c>
      <c r="H253" s="38">
        <v>9.9160453077183064</v>
      </c>
      <c r="I253" s="38">
        <v>26.182963987514373</v>
      </c>
      <c r="J253" s="11">
        <v>21</v>
      </c>
      <c r="K253" s="37">
        <v>0.81279999999999997</v>
      </c>
      <c r="O253" s="9"/>
    </row>
    <row r="254" spans="1:15" x14ac:dyDescent="0.25">
      <c r="A254" s="9" t="s">
        <v>22</v>
      </c>
      <c r="B254" s="37" t="s">
        <v>26</v>
      </c>
      <c r="C254" s="37" t="s">
        <v>19</v>
      </c>
      <c r="D254" s="37" t="s">
        <v>15</v>
      </c>
      <c r="E254" s="37">
        <v>2015</v>
      </c>
      <c r="F254" s="44">
        <f t="shared" si="2"/>
        <v>49.416254416961124</v>
      </c>
      <c r="G254" s="38">
        <v>49.314086953359691</v>
      </c>
      <c r="H254" s="38">
        <v>36.515439923537464</v>
      </c>
      <c r="I254" s="38">
        <v>63.952369679121929</v>
      </c>
      <c r="J254" s="37">
        <v>60</v>
      </c>
      <c r="K254" s="37">
        <v>0.82360424028268542</v>
      </c>
      <c r="O254" s="9"/>
    </row>
    <row r="255" spans="1:15" x14ac:dyDescent="0.25">
      <c r="A255" s="9" t="s">
        <v>22</v>
      </c>
      <c r="B255" s="37" t="s">
        <v>26</v>
      </c>
      <c r="C255" s="37" t="s">
        <v>20</v>
      </c>
      <c r="D255" s="37" t="s">
        <v>15</v>
      </c>
      <c r="E255" s="37">
        <v>2015</v>
      </c>
      <c r="F255" s="44">
        <f t="shared" si="2"/>
        <v>48.66375</v>
      </c>
      <c r="G255" s="38">
        <v>48.659720553421671</v>
      </c>
      <c r="H255" s="38">
        <v>35.967754812299063</v>
      </c>
      <c r="I255" s="38">
        <v>63.190851208596818</v>
      </c>
      <c r="J255" s="37">
        <v>57</v>
      </c>
      <c r="K255" s="37">
        <v>0.85375000000000001</v>
      </c>
      <c r="O255" s="9"/>
    </row>
    <row r="256" spans="1:15" x14ac:dyDescent="0.25">
      <c r="A256" s="9" t="s">
        <v>22</v>
      </c>
      <c r="B256" s="9" t="s">
        <v>27</v>
      </c>
      <c r="C256" s="9" t="s">
        <v>31</v>
      </c>
      <c r="D256" s="9" t="s">
        <v>11</v>
      </c>
      <c r="E256" s="9">
        <v>2015</v>
      </c>
      <c r="F256" s="44">
        <f t="shared" si="2"/>
        <v>9.7608333333333324</v>
      </c>
      <c r="G256" s="38">
        <v>9.7596292735554169</v>
      </c>
      <c r="H256" s="38">
        <v>4.6324651849086811</v>
      </c>
      <c r="I256" s="38">
        <v>16.683037652329965</v>
      </c>
      <c r="J256" s="37">
        <v>13</v>
      </c>
      <c r="K256" s="37">
        <v>0.75083333333333324</v>
      </c>
      <c r="O256" s="9"/>
    </row>
    <row r="257" spans="1:15" x14ac:dyDescent="0.25">
      <c r="A257" s="9" t="s">
        <v>22</v>
      </c>
      <c r="B257" s="9" t="s">
        <v>27</v>
      </c>
      <c r="C257" s="9" t="s">
        <v>19</v>
      </c>
      <c r="D257" s="9" t="s">
        <v>11</v>
      </c>
      <c r="E257" s="9">
        <v>2015</v>
      </c>
      <c r="F257" s="44">
        <f t="shared" si="2"/>
        <v>19.957671232876709</v>
      </c>
      <c r="G257" s="38">
        <v>19.962142910996572</v>
      </c>
      <c r="H257" s="38">
        <v>12.093064820222262</v>
      </c>
      <c r="I257" s="38">
        <v>29.782008972716124</v>
      </c>
      <c r="J257" s="37">
        <v>26</v>
      </c>
      <c r="K257" s="37">
        <v>0.76760273972602733</v>
      </c>
      <c r="O257" s="9"/>
    </row>
    <row r="258" spans="1:15" x14ac:dyDescent="0.25">
      <c r="A258" s="9" t="s">
        <v>22</v>
      </c>
      <c r="B258" s="9" t="s">
        <v>27</v>
      </c>
      <c r="C258" s="9" t="s">
        <v>20</v>
      </c>
      <c r="D258" s="9" t="s">
        <v>11</v>
      </c>
      <c r="E258" s="9">
        <v>2015</v>
      </c>
      <c r="F258" s="44">
        <f t="shared" si="2"/>
        <v>25.239667590027704</v>
      </c>
      <c r="G258" s="38">
        <v>25.214574119569036</v>
      </c>
      <c r="H258" s="38">
        <v>16.500019583523443</v>
      </c>
      <c r="I258" s="38">
        <v>36.145600602270825</v>
      </c>
      <c r="J258" s="37">
        <v>31</v>
      </c>
      <c r="K258" s="37">
        <v>0.81418282548476462</v>
      </c>
      <c r="O258" s="9"/>
    </row>
    <row r="259" spans="1:15" x14ac:dyDescent="0.25">
      <c r="A259" s="9" t="s">
        <v>22</v>
      </c>
      <c r="B259" s="9" t="s">
        <v>28</v>
      </c>
      <c r="C259" s="9" t="s">
        <v>31</v>
      </c>
      <c r="D259" s="9" t="s">
        <v>12</v>
      </c>
      <c r="E259" s="9">
        <v>2015</v>
      </c>
      <c r="F259" s="44">
        <f t="shared" si="2"/>
        <v>49.554999999999993</v>
      </c>
      <c r="G259" s="38">
        <v>49.620833498188759</v>
      </c>
      <c r="H259" s="38">
        <v>36.911565830062912</v>
      </c>
      <c r="I259" s="38">
        <v>64.36950461336707</v>
      </c>
      <c r="J259" s="37">
        <v>66</v>
      </c>
      <c r="K259" s="37">
        <v>0.75083333333333324</v>
      </c>
      <c r="O259" s="9"/>
    </row>
    <row r="260" spans="1:15" x14ac:dyDescent="0.25">
      <c r="A260" s="9" t="s">
        <v>22</v>
      </c>
      <c r="B260" s="9" t="s">
        <v>28</v>
      </c>
      <c r="C260" s="9" t="s">
        <v>19</v>
      </c>
      <c r="D260" s="9" t="s">
        <v>12</v>
      </c>
      <c r="E260" s="9">
        <v>2015</v>
      </c>
      <c r="F260" s="44">
        <f t="shared" si="2"/>
        <v>195.73869863013698</v>
      </c>
      <c r="G260" s="38">
        <v>195.77127443275359</v>
      </c>
      <c r="H260" s="38">
        <v>169.36497144568258</v>
      </c>
      <c r="I260" s="38">
        <v>223.67078991478732</v>
      </c>
      <c r="J260" s="37">
        <v>255</v>
      </c>
      <c r="K260" s="37">
        <v>0.76760273972602733</v>
      </c>
      <c r="O260" s="9"/>
    </row>
    <row r="261" spans="1:15" x14ac:dyDescent="0.25">
      <c r="A261" s="9" t="s">
        <v>22</v>
      </c>
      <c r="B261" s="9" t="s">
        <v>28</v>
      </c>
      <c r="C261" s="9" t="s">
        <v>20</v>
      </c>
      <c r="D261" s="9" t="s">
        <v>12</v>
      </c>
      <c r="E261" s="9">
        <v>2015</v>
      </c>
      <c r="F261" s="44">
        <f t="shared" si="2"/>
        <v>92.002659279778399</v>
      </c>
      <c r="G261" s="38">
        <v>91.920512651338029</v>
      </c>
      <c r="H261" s="38">
        <v>74.081443536478204</v>
      </c>
      <c r="I261" s="38">
        <v>111.14905648597467</v>
      </c>
      <c r="J261" s="37">
        <v>113</v>
      </c>
      <c r="K261" s="37">
        <v>0.81418282548476462</v>
      </c>
      <c r="O261" s="9"/>
    </row>
    <row r="262" spans="1:15" x14ac:dyDescent="0.25">
      <c r="A262" s="9" t="s">
        <v>22</v>
      </c>
      <c r="B262" s="37" t="s">
        <v>28</v>
      </c>
      <c r="C262" s="37" t="s">
        <v>31</v>
      </c>
      <c r="D262" s="37" t="s">
        <v>15</v>
      </c>
      <c r="E262" s="37">
        <v>2015</v>
      </c>
      <c r="F262" s="44">
        <f t="shared" si="2"/>
        <v>22.758399999999998</v>
      </c>
      <c r="G262" s="38">
        <v>22.728721373627668</v>
      </c>
      <c r="H262" s="38">
        <v>14.314583996340923</v>
      </c>
      <c r="I262" s="38">
        <v>33.043660216244298</v>
      </c>
      <c r="J262" s="37">
        <v>28</v>
      </c>
      <c r="K262" s="37">
        <v>0.81279999999999997</v>
      </c>
      <c r="O262" s="9"/>
    </row>
    <row r="263" spans="1:15" x14ac:dyDescent="0.25">
      <c r="A263" s="9" t="s">
        <v>22</v>
      </c>
      <c r="B263" s="37" t="s">
        <v>28</v>
      </c>
      <c r="C263" s="37" t="s">
        <v>19</v>
      </c>
      <c r="D263" s="37" t="s">
        <v>15</v>
      </c>
      <c r="E263" s="37">
        <v>2015</v>
      </c>
      <c r="F263" s="44">
        <f t="shared" si="2"/>
        <v>183.66374558303886</v>
      </c>
      <c r="G263" s="38">
        <v>183.52216294764258</v>
      </c>
      <c r="H263" s="38">
        <v>157.6626584333379</v>
      </c>
      <c r="I263" s="38">
        <v>210.43493046885371</v>
      </c>
      <c r="J263" s="37">
        <v>223</v>
      </c>
      <c r="K263" s="37">
        <v>0.82360424028268542</v>
      </c>
      <c r="O263" s="9"/>
    </row>
    <row r="264" spans="1:15" ht="15.75" thickBot="1" x14ac:dyDescent="0.3">
      <c r="A264" s="6" t="s">
        <v>22</v>
      </c>
      <c r="B264" s="6" t="s">
        <v>28</v>
      </c>
      <c r="C264" s="6" t="s">
        <v>20</v>
      </c>
      <c r="D264" s="6" t="s">
        <v>15</v>
      </c>
      <c r="E264" s="6">
        <v>2015</v>
      </c>
      <c r="F264" s="45">
        <f t="shared" si="2"/>
        <v>87.936250000000001</v>
      </c>
      <c r="G264" s="65">
        <v>87.949072284291447</v>
      </c>
      <c r="H264" s="65">
        <v>70.435494820444731</v>
      </c>
      <c r="I264" s="65">
        <v>107.41328591404429</v>
      </c>
      <c r="J264" s="6">
        <v>103</v>
      </c>
      <c r="K264" s="6">
        <v>0.85375000000000001</v>
      </c>
      <c r="L264" s="6"/>
      <c r="M264" s="6"/>
      <c r="N264" s="6"/>
      <c r="O264" s="9"/>
    </row>
    <row r="265" spans="1:15" x14ac:dyDescent="0.25">
      <c r="A265" s="9"/>
      <c r="B265" s="9"/>
      <c r="C265" s="9"/>
      <c r="D265" s="9"/>
      <c r="E265" s="9"/>
      <c r="F265" s="3" t="s">
        <v>62</v>
      </c>
      <c r="G265" s="38"/>
      <c r="H265" s="38"/>
      <c r="I265" s="38"/>
      <c r="J265" s="9" t="s">
        <v>63</v>
      </c>
      <c r="K265" s="9" t="s">
        <v>64</v>
      </c>
      <c r="L265" s="9"/>
      <c r="M265" s="9"/>
      <c r="N265" s="9"/>
      <c r="O265" s="9"/>
    </row>
    <row r="266" spans="1:15" x14ac:dyDescent="0.25">
      <c r="A266" s="11" t="s">
        <v>61</v>
      </c>
      <c r="B266" s="11" t="s">
        <v>11</v>
      </c>
      <c r="C266" s="37" t="s">
        <v>11</v>
      </c>
      <c r="D266" s="11" t="s">
        <v>12</v>
      </c>
      <c r="E266" s="11">
        <v>2012</v>
      </c>
      <c r="F266" s="43"/>
      <c r="G266" s="64"/>
      <c r="H266" s="64"/>
      <c r="I266" s="64"/>
      <c r="J266" s="11"/>
      <c r="K266" s="11"/>
      <c r="O266" s="9"/>
    </row>
    <row r="267" spans="1:15" x14ac:dyDescent="0.25">
      <c r="A267" s="11" t="s">
        <v>61</v>
      </c>
      <c r="B267" s="37" t="s">
        <v>11</v>
      </c>
      <c r="C267" s="37" t="s">
        <v>11</v>
      </c>
      <c r="D267" s="11" t="s">
        <v>15</v>
      </c>
      <c r="E267" s="11">
        <v>2012</v>
      </c>
      <c r="F267" s="43"/>
      <c r="G267" s="64"/>
      <c r="H267" s="64"/>
      <c r="I267" s="64"/>
      <c r="J267" s="11"/>
      <c r="K267" s="11"/>
      <c r="O267" s="9"/>
    </row>
    <row r="268" spans="1:15" x14ac:dyDescent="0.25">
      <c r="A268" s="11" t="s">
        <v>61</v>
      </c>
      <c r="B268" s="37" t="s">
        <v>11</v>
      </c>
      <c r="C268" s="37" t="s">
        <v>31</v>
      </c>
      <c r="D268" s="37" t="s">
        <v>11</v>
      </c>
      <c r="E268" s="11">
        <v>2012</v>
      </c>
      <c r="F268" s="43"/>
      <c r="G268" s="64"/>
      <c r="H268" s="64"/>
      <c r="I268" s="64"/>
      <c r="J268" s="11"/>
      <c r="K268" s="11"/>
      <c r="O268" s="9"/>
    </row>
    <row r="269" spans="1:15" x14ac:dyDescent="0.25">
      <c r="A269" s="11" t="s">
        <v>61</v>
      </c>
      <c r="B269" s="37" t="s">
        <v>11</v>
      </c>
      <c r="C269" s="37" t="s">
        <v>19</v>
      </c>
      <c r="D269" s="37" t="s">
        <v>11</v>
      </c>
      <c r="E269" s="11">
        <v>2012</v>
      </c>
      <c r="F269" s="43"/>
      <c r="G269" s="64"/>
      <c r="H269" s="64"/>
      <c r="I269" s="64"/>
      <c r="J269" s="11"/>
      <c r="K269" s="11"/>
      <c r="O269" s="9"/>
    </row>
    <row r="270" spans="1:15" x14ac:dyDescent="0.25">
      <c r="A270" s="11" t="s">
        <v>61</v>
      </c>
      <c r="B270" s="37" t="s">
        <v>11</v>
      </c>
      <c r="C270" s="37" t="s">
        <v>20</v>
      </c>
      <c r="D270" s="37" t="s">
        <v>11</v>
      </c>
      <c r="E270" s="11">
        <v>2012</v>
      </c>
      <c r="F270" s="43"/>
      <c r="G270" s="64"/>
      <c r="H270" s="64"/>
      <c r="I270" s="64"/>
      <c r="J270" s="11"/>
      <c r="K270" s="11"/>
      <c r="O270" s="9"/>
    </row>
    <row r="271" spans="1:15" x14ac:dyDescent="0.25">
      <c r="A271" s="11" t="s">
        <v>61</v>
      </c>
      <c r="B271" s="37" t="s">
        <v>24</v>
      </c>
      <c r="C271" s="37" t="s">
        <v>11</v>
      </c>
      <c r="D271" s="37" t="s">
        <v>11</v>
      </c>
      <c r="E271" s="11">
        <v>2012</v>
      </c>
      <c r="F271" s="46"/>
      <c r="G271" s="69"/>
      <c r="H271" s="69"/>
      <c r="I271" s="69"/>
      <c r="J271" s="11"/>
      <c r="K271" s="11"/>
      <c r="M271" s="21"/>
      <c r="O271" s="9"/>
    </row>
    <row r="272" spans="1:15" x14ac:dyDescent="0.25">
      <c r="A272" s="11" t="s">
        <v>61</v>
      </c>
      <c r="B272" s="11" t="s">
        <v>11</v>
      </c>
      <c r="C272" s="37" t="s">
        <v>11</v>
      </c>
      <c r="D272" s="11" t="s">
        <v>12</v>
      </c>
      <c r="E272" s="11">
        <v>2013</v>
      </c>
      <c r="F272" s="46"/>
      <c r="G272" s="69"/>
      <c r="H272" s="69"/>
      <c r="I272" s="69"/>
      <c r="J272" s="11"/>
      <c r="K272" s="11"/>
      <c r="M272" s="1"/>
      <c r="O272" s="9"/>
    </row>
    <row r="273" spans="1:15" x14ac:dyDescent="0.25">
      <c r="A273" s="11" t="s">
        <v>61</v>
      </c>
      <c r="B273" s="37" t="s">
        <v>11</v>
      </c>
      <c r="C273" s="37" t="s">
        <v>11</v>
      </c>
      <c r="D273" s="11" t="s">
        <v>15</v>
      </c>
      <c r="E273" s="11">
        <v>2013</v>
      </c>
      <c r="F273" s="46"/>
      <c r="G273" s="69"/>
      <c r="H273" s="69"/>
      <c r="I273" s="69"/>
      <c r="J273" s="11"/>
      <c r="K273" s="11"/>
      <c r="M273" s="1"/>
      <c r="O273" s="9"/>
    </row>
    <row r="274" spans="1:15" x14ac:dyDescent="0.25">
      <c r="A274" s="11" t="s">
        <v>61</v>
      </c>
      <c r="B274" s="37" t="s">
        <v>11</v>
      </c>
      <c r="C274" s="37" t="s">
        <v>31</v>
      </c>
      <c r="D274" s="37" t="s">
        <v>11</v>
      </c>
      <c r="E274" s="11">
        <v>2013</v>
      </c>
      <c r="F274" s="46"/>
      <c r="G274" s="69"/>
      <c r="H274" s="69"/>
      <c r="I274" s="69"/>
      <c r="J274" s="11"/>
      <c r="K274" s="11"/>
      <c r="M274" s="1"/>
      <c r="O274" s="9"/>
    </row>
    <row r="275" spans="1:15" x14ac:dyDescent="0.25">
      <c r="A275" s="11" t="s">
        <v>61</v>
      </c>
      <c r="B275" s="37" t="s">
        <v>11</v>
      </c>
      <c r="C275" s="37" t="s">
        <v>19</v>
      </c>
      <c r="D275" s="37" t="s">
        <v>11</v>
      </c>
      <c r="E275" s="11">
        <v>2013</v>
      </c>
      <c r="F275" s="46"/>
      <c r="G275" s="69"/>
      <c r="H275" s="69"/>
      <c r="I275" s="69"/>
      <c r="J275" s="11"/>
      <c r="K275" s="11"/>
      <c r="M275" s="1"/>
      <c r="O275" s="9"/>
    </row>
    <row r="276" spans="1:15" x14ac:dyDescent="0.25">
      <c r="A276" s="11" t="s">
        <v>61</v>
      </c>
      <c r="B276" s="37" t="s">
        <v>11</v>
      </c>
      <c r="C276" s="37" t="s">
        <v>20</v>
      </c>
      <c r="D276" s="37" t="s">
        <v>11</v>
      </c>
      <c r="E276" s="11">
        <v>2013</v>
      </c>
      <c r="F276" s="46"/>
      <c r="G276" s="69"/>
      <c r="H276" s="69"/>
      <c r="I276" s="69"/>
      <c r="J276" s="11"/>
      <c r="K276" s="11"/>
      <c r="M276" s="1"/>
      <c r="O276" s="9"/>
    </row>
    <row r="277" spans="1:15" x14ac:dyDescent="0.25">
      <c r="A277" s="11" t="s">
        <v>61</v>
      </c>
      <c r="B277" s="37" t="s">
        <v>24</v>
      </c>
      <c r="C277" s="37" t="s">
        <v>11</v>
      </c>
      <c r="D277" s="37" t="s">
        <v>11</v>
      </c>
      <c r="E277" s="11">
        <v>2013</v>
      </c>
      <c r="F277" s="46"/>
      <c r="G277" s="69"/>
      <c r="H277" s="69"/>
      <c r="I277" s="69"/>
      <c r="J277" s="11"/>
      <c r="K277" s="11"/>
      <c r="M277" s="1"/>
    </row>
    <row r="278" spans="1:15" x14ac:dyDescent="0.25">
      <c r="M278" s="1"/>
    </row>
    <row r="279" spans="1:15" x14ac:dyDescent="0.25">
      <c r="M279" s="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1"/>
  <sheetViews>
    <sheetView tabSelected="1" zoomScale="80" zoomScaleNormal="80" workbookViewId="0">
      <pane ySplit="1" topLeftCell="A242" activePane="bottomLeft" state="frozen"/>
      <selection activeCell="E872" sqref="E872"/>
      <selection pane="bottomLeft" activeCell="F277" activeCellId="1" sqref="F268:F273 F277:F282"/>
    </sheetView>
  </sheetViews>
  <sheetFormatPr defaultRowHeight="15" x14ac:dyDescent="0.25"/>
  <cols>
    <col min="1" max="1" width="31.85546875" style="37" customWidth="1"/>
    <col min="2" max="2" width="15.140625" style="37" customWidth="1"/>
    <col min="3" max="3" width="18.28515625" style="37" customWidth="1"/>
    <col min="4" max="4" width="13.85546875" style="37" customWidth="1"/>
    <col min="5" max="5" width="9.140625" style="37"/>
    <col min="6" max="6" width="13.28515625" style="37" customWidth="1"/>
    <col min="7" max="9" width="13.28515625" style="4" hidden="1" customWidth="1"/>
    <col min="10" max="10" width="10.7109375" style="37" customWidth="1"/>
    <col min="11" max="11" width="17.7109375" style="37" customWidth="1"/>
    <col min="12" max="13" width="9.140625" style="37"/>
    <col min="14" max="14" width="97.5703125" style="37" customWidth="1"/>
    <col min="15" max="15" width="9.85546875" style="37" customWidth="1"/>
    <col min="16" max="16" width="10.5703125" style="37" customWidth="1"/>
    <col min="17" max="16384" width="9.140625" style="37"/>
  </cols>
  <sheetData>
    <row r="1" spans="1:14" x14ac:dyDescent="0.25">
      <c r="A1" s="37" t="s">
        <v>0</v>
      </c>
      <c r="B1" s="37" t="s">
        <v>1</v>
      </c>
      <c r="C1" s="37" t="s">
        <v>2</v>
      </c>
      <c r="D1" s="37" t="s">
        <v>3</v>
      </c>
      <c r="E1" s="37" t="s">
        <v>4</v>
      </c>
      <c r="F1" s="37" t="s">
        <v>55</v>
      </c>
      <c r="G1" s="4" t="s">
        <v>72</v>
      </c>
      <c r="H1" s="4" t="s">
        <v>73</v>
      </c>
      <c r="I1" s="4" t="s">
        <v>74</v>
      </c>
      <c r="J1" s="37" t="s">
        <v>65</v>
      </c>
      <c r="K1" s="37" t="s">
        <v>58</v>
      </c>
      <c r="N1" s="37" t="s">
        <v>9</v>
      </c>
    </row>
    <row r="2" spans="1:14" x14ac:dyDescent="0.25">
      <c r="A2" s="9" t="s">
        <v>10</v>
      </c>
      <c r="B2" s="9" t="s">
        <v>11</v>
      </c>
      <c r="C2" s="9" t="s">
        <v>11</v>
      </c>
      <c r="D2" s="9" t="s">
        <v>11</v>
      </c>
      <c r="E2" s="9">
        <v>2011</v>
      </c>
      <c r="F2" s="44">
        <v>6610.666666666667</v>
      </c>
      <c r="G2" s="3">
        <v>6609.4560000000001</v>
      </c>
      <c r="H2" s="3">
        <v>6452</v>
      </c>
      <c r="I2" s="3">
        <v>6771</v>
      </c>
      <c r="J2" s="9">
        <v>6814</v>
      </c>
      <c r="K2" s="9">
        <v>0.97015947558947269</v>
      </c>
      <c r="L2" s="9"/>
      <c r="M2" s="9"/>
    </row>
    <row r="3" spans="1:14" x14ac:dyDescent="0.25">
      <c r="A3" s="37" t="s">
        <v>10</v>
      </c>
      <c r="B3" s="37" t="s">
        <v>24</v>
      </c>
      <c r="C3" s="9" t="s">
        <v>31</v>
      </c>
      <c r="D3" s="11" t="s">
        <v>11</v>
      </c>
      <c r="E3" s="37">
        <v>2011</v>
      </c>
      <c r="F3" s="44">
        <v>3729.2930241659328</v>
      </c>
      <c r="G3" s="3">
        <v>3728.2538856445326</v>
      </c>
      <c r="H3" s="3">
        <v>3610.4285002124311</v>
      </c>
      <c r="I3" s="3">
        <v>3848.8390690119913</v>
      </c>
      <c r="J3" s="37">
        <f>4711-J4-J5</f>
        <v>3844</v>
      </c>
      <c r="K3" s="37">
        <v>0.97015947558947269</v>
      </c>
      <c r="N3" s="37" t="s">
        <v>47</v>
      </c>
    </row>
    <row r="4" spans="1:14" x14ac:dyDescent="0.25">
      <c r="A4" s="37" t="s">
        <v>10</v>
      </c>
      <c r="B4" s="37" t="s">
        <v>24</v>
      </c>
      <c r="C4" s="9" t="s">
        <v>19</v>
      </c>
      <c r="D4" s="11" t="s">
        <v>11</v>
      </c>
      <c r="E4" s="37">
        <v>2011</v>
      </c>
      <c r="F4" s="44">
        <v>381.27267390666276</v>
      </c>
      <c r="G4" s="3">
        <v>380.93993361326852</v>
      </c>
      <c r="H4" s="3">
        <v>343.57346673135623</v>
      </c>
      <c r="I4" s="3">
        <v>420.38026936191704</v>
      </c>
      <c r="J4" s="37">
        <v>393</v>
      </c>
      <c r="K4" s="37">
        <v>0.97015947558947269</v>
      </c>
      <c r="N4" s="37" t="s">
        <v>48</v>
      </c>
    </row>
    <row r="5" spans="1:14" x14ac:dyDescent="0.25">
      <c r="A5" s="37" t="s">
        <v>10</v>
      </c>
      <c r="B5" s="37" t="s">
        <v>24</v>
      </c>
      <c r="C5" s="9" t="s">
        <v>20</v>
      </c>
      <c r="D5" s="11" t="s">
        <v>11</v>
      </c>
      <c r="E5" s="37">
        <v>2011</v>
      </c>
      <c r="F5" s="44">
        <v>459.85559142941003</v>
      </c>
      <c r="G5" s="3">
        <v>460.06087472111983</v>
      </c>
      <c r="H5" s="3">
        <v>419.11503570632772</v>
      </c>
      <c r="I5" s="3">
        <v>502.87155138312198</v>
      </c>
      <c r="J5" s="37">
        <v>474</v>
      </c>
      <c r="K5" s="37">
        <v>0.97015947558947269</v>
      </c>
    </row>
    <row r="6" spans="1:14" x14ac:dyDescent="0.25">
      <c r="A6" s="37" t="s">
        <v>10</v>
      </c>
      <c r="B6" s="37" t="s">
        <v>26</v>
      </c>
      <c r="C6" s="9" t="s">
        <v>31</v>
      </c>
      <c r="D6" s="11" t="s">
        <v>12</v>
      </c>
      <c r="E6" s="37">
        <v>2011</v>
      </c>
      <c r="F6" s="44">
        <v>119.32961549750515</v>
      </c>
      <c r="G6" s="3">
        <v>119.27082980620526</v>
      </c>
      <c r="H6" s="3">
        <v>98.554716912257064</v>
      </c>
      <c r="I6" s="3">
        <v>141.56631647101256</v>
      </c>
      <c r="J6" s="37">
        <f>216-J7-J8</f>
        <v>123</v>
      </c>
      <c r="K6" s="37">
        <v>0.97015947558947269</v>
      </c>
    </row>
    <row r="7" spans="1:14" x14ac:dyDescent="0.25">
      <c r="A7" s="37" t="s">
        <v>10</v>
      </c>
      <c r="B7" s="37" t="s">
        <v>26</v>
      </c>
      <c r="C7" s="9" t="s">
        <v>19</v>
      </c>
      <c r="D7" s="11" t="s">
        <v>12</v>
      </c>
      <c r="E7" s="37">
        <v>2011</v>
      </c>
      <c r="F7" s="44">
        <v>58.209568535368362</v>
      </c>
      <c r="G7" s="3">
        <v>58.231654717063726</v>
      </c>
      <c r="H7" s="3">
        <v>44.199932349703381</v>
      </c>
      <c r="I7" s="3">
        <v>74.158486498644805</v>
      </c>
      <c r="J7" s="37">
        <v>60</v>
      </c>
      <c r="K7" s="37">
        <v>0.97015947558947269</v>
      </c>
    </row>
    <row r="8" spans="1:14" x14ac:dyDescent="0.25">
      <c r="A8" s="37" t="s">
        <v>10</v>
      </c>
      <c r="B8" s="37" t="s">
        <v>26</v>
      </c>
      <c r="C8" s="9" t="s">
        <v>20</v>
      </c>
      <c r="D8" s="11" t="s">
        <v>12</v>
      </c>
      <c r="E8" s="37">
        <v>2011</v>
      </c>
      <c r="F8" s="44">
        <v>32.015262694452602</v>
      </c>
      <c r="G8" s="3">
        <v>32.024016073180803</v>
      </c>
      <c r="H8" s="3">
        <v>21.83578096381002</v>
      </c>
      <c r="I8" s="3">
        <v>44.025026075171809</v>
      </c>
      <c r="J8" s="37">
        <v>33</v>
      </c>
      <c r="K8" s="37">
        <v>0.97015947558947269</v>
      </c>
    </row>
    <row r="9" spans="1:14" x14ac:dyDescent="0.25">
      <c r="A9" s="37" t="s">
        <v>10</v>
      </c>
      <c r="B9" s="37" t="s">
        <v>26</v>
      </c>
      <c r="C9" s="9" t="s">
        <v>31</v>
      </c>
      <c r="D9" s="37" t="s">
        <v>15</v>
      </c>
      <c r="E9" s="37">
        <v>2011</v>
      </c>
      <c r="F9" s="44">
        <v>75.672439095978874</v>
      </c>
      <c r="G9" s="3">
        <v>75.716108858702285</v>
      </c>
      <c r="H9" s="3">
        <v>59.672133630668974</v>
      </c>
      <c r="I9" s="3">
        <v>93.830622375817171</v>
      </c>
      <c r="J9" s="37">
        <f>114-J10-J11</f>
        <v>78</v>
      </c>
      <c r="K9" s="37">
        <v>0.97015947558947269</v>
      </c>
    </row>
    <row r="10" spans="1:14" x14ac:dyDescent="0.25">
      <c r="A10" s="37" t="s">
        <v>10</v>
      </c>
      <c r="B10" s="37" t="s">
        <v>26</v>
      </c>
      <c r="C10" s="9" t="s">
        <v>19</v>
      </c>
      <c r="D10" s="37" t="s">
        <v>15</v>
      </c>
      <c r="E10" s="37">
        <v>2011</v>
      </c>
      <c r="F10" s="44">
        <v>32.015262694452602</v>
      </c>
      <c r="G10" s="3">
        <v>31.957833489113845</v>
      </c>
      <c r="H10" s="3">
        <v>22.024013236072179</v>
      </c>
      <c r="I10" s="3">
        <v>44.076087711769148</v>
      </c>
      <c r="J10" s="37">
        <f>33</f>
        <v>33</v>
      </c>
      <c r="K10" s="37">
        <v>0.97015947558947269</v>
      </c>
    </row>
    <row r="11" spans="1:14" x14ac:dyDescent="0.25">
      <c r="A11" s="37" t="s">
        <v>10</v>
      </c>
      <c r="B11" s="37" t="s">
        <v>26</v>
      </c>
      <c r="C11" s="9" t="s">
        <v>20</v>
      </c>
      <c r="D11" s="37" t="s">
        <v>15</v>
      </c>
      <c r="E11" s="37">
        <v>2011</v>
      </c>
      <c r="F11" s="44">
        <v>2.9104784267684183</v>
      </c>
      <c r="G11" s="3">
        <v>2.9266088738982567</v>
      </c>
      <c r="H11" s="3">
        <v>0.5714435204719992</v>
      </c>
      <c r="I11" s="3">
        <v>7.1934925809253709</v>
      </c>
      <c r="J11" s="37">
        <v>3</v>
      </c>
      <c r="K11" s="37">
        <v>0.97015947558947269</v>
      </c>
    </row>
    <row r="12" spans="1:14" x14ac:dyDescent="0.25">
      <c r="A12" s="37" t="s">
        <v>10</v>
      </c>
      <c r="B12" s="37" t="s">
        <v>27</v>
      </c>
      <c r="C12" s="9" t="s">
        <v>31</v>
      </c>
      <c r="D12" s="11" t="s">
        <v>11</v>
      </c>
      <c r="E12" s="37">
        <v>2011</v>
      </c>
      <c r="F12" s="44">
        <v>469.55718618530477</v>
      </c>
      <c r="G12" s="3">
        <v>469.55370475763044</v>
      </c>
      <c r="H12" s="3">
        <v>428.33420217096142</v>
      </c>
      <c r="I12" s="3">
        <v>513.20802963257631</v>
      </c>
      <c r="J12" s="37">
        <f>572-J13-J14</f>
        <v>484</v>
      </c>
      <c r="K12" s="37">
        <v>0.97015947558947269</v>
      </c>
    </row>
    <row r="13" spans="1:14" x14ac:dyDescent="0.25">
      <c r="A13" s="37" t="s">
        <v>10</v>
      </c>
      <c r="B13" s="37" t="s">
        <v>27</v>
      </c>
      <c r="C13" s="9" t="s">
        <v>19</v>
      </c>
      <c r="D13" s="11" t="s">
        <v>11</v>
      </c>
      <c r="E13" s="37">
        <v>2011</v>
      </c>
      <c r="F13" s="44">
        <v>39.776538499168382</v>
      </c>
      <c r="G13" s="3">
        <v>39.784279232263259</v>
      </c>
      <c r="H13" s="3">
        <v>28.23682088918445</v>
      </c>
      <c r="I13" s="3">
        <v>53.265876321193588</v>
      </c>
      <c r="J13" s="37">
        <f>41</f>
        <v>41</v>
      </c>
      <c r="K13" s="37">
        <v>0.97015947558947269</v>
      </c>
    </row>
    <row r="14" spans="1:14" x14ac:dyDescent="0.25">
      <c r="A14" s="37" t="s">
        <v>10</v>
      </c>
      <c r="B14" s="37" t="s">
        <v>27</v>
      </c>
      <c r="C14" s="9" t="s">
        <v>20</v>
      </c>
      <c r="D14" s="11" t="s">
        <v>11</v>
      </c>
      <c r="E14" s="37">
        <v>2011</v>
      </c>
      <c r="F14" s="44">
        <v>45.597495352705216</v>
      </c>
      <c r="G14" s="3">
        <v>45.55925385360613</v>
      </c>
      <c r="H14" s="3">
        <v>33.357297355760892</v>
      </c>
      <c r="I14" s="3">
        <v>59.660619751815453</v>
      </c>
      <c r="J14" s="37">
        <v>47</v>
      </c>
      <c r="K14" s="37">
        <v>0.97015947558947269</v>
      </c>
    </row>
    <row r="15" spans="1:14" x14ac:dyDescent="0.25">
      <c r="A15" s="37" t="s">
        <v>10</v>
      </c>
      <c r="B15" s="37" t="s">
        <v>28</v>
      </c>
      <c r="C15" s="37" t="s">
        <v>31</v>
      </c>
      <c r="D15" s="37" t="s">
        <v>12</v>
      </c>
      <c r="E15" s="37">
        <v>2011</v>
      </c>
      <c r="F15" s="44">
        <v>214.40524410527345</v>
      </c>
      <c r="G15" s="3">
        <v>214.30747893532802</v>
      </c>
      <c r="H15" s="3">
        <v>186.43982989866757</v>
      </c>
      <c r="I15" s="3">
        <v>243.74075896352025</v>
      </c>
      <c r="J15" s="37">
        <f>6106-J16-J17-SUM(J12:J14,J6:J8,J3:J5)</f>
        <v>221</v>
      </c>
      <c r="K15" s="37">
        <v>0.97015947558947269</v>
      </c>
    </row>
    <row r="16" spans="1:14" x14ac:dyDescent="0.25">
      <c r="A16" s="37" t="s">
        <v>10</v>
      </c>
      <c r="B16" s="37" t="s">
        <v>28</v>
      </c>
      <c r="C16" s="37" t="s">
        <v>19</v>
      </c>
      <c r="D16" s="37" t="s">
        <v>12</v>
      </c>
      <c r="E16" s="37">
        <v>2011</v>
      </c>
      <c r="F16" s="44">
        <v>279.40592896976813</v>
      </c>
      <c r="G16" s="3">
        <v>279.59252247250123</v>
      </c>
      <c r="H16" s="3">
        <v>247.48473579825418</v>
      </c>
      <c r="I16" s="3">
        <v>313.63352987565275</v>
      </c>
      <c r="J16" s="37">
        <f>782-J13-J7-J4</f>
        <v>288</v>
      </c>
      <c r="K16" s="37">
        <v>0.97015947558947269</v>
      </c>
    </row>
    <row r="17" spans="1:15" x14ac:dyDescent="0.25">
      <c r="A17" s="37" t="s">
        <v>10</v>
      </c>
      <c r="B17" s="37" t="s">
        <v>28</v>
      </c>
      <c r="C17" s="37" t="s">
        <v>20</v>
      </c>
      <c r="D17" s="37" t="s">
        <v>12</v>
      </c>
      <c r="E17" s="37">
        <v>2011</v>
      </c>
      <c r="F17" s="44">
        <v>95.075628607768323</v>
      </c>
      <c r="G17" s="3">
        <v>94.993036501752371</v>
      </c>
      <c r="H17" s="3">
        <v>77.14787604862542</v>
      </c>
      <c r="I17" s="3">
        <v>114.65644484827594</v>
      </c>
      <c r="J17" s="37">
        <f>652-J14-J8-J5</f>
        <v>98</v>
      </c>
      <c r="K17" s="37">
        <v>0.97015947558947269</v>
      </c>
    </row>
    <row r="18" spans="1:15" x14ac:dyDescent="0.25">
      <c r="A18" s="37" t="s">
        <v>10</v>
      </c>
      <c r="B18" s="37" t="s">
        <v>28</v>
      </c>
      <c r="C18" s="37" t="s">
        <v>31</v>
      </c>
      <c r="D18" s="37" t="s">
        <v>15</v>
      </c>
      <c r="E18" s="37">
        <v>2011</v>
      </c>
      <c r="F18" s="44">
        <v>217.31572253204189</v>
      </c>
      <c r="G18" s="3">
        <v>217.3199988011832</v>
      </c>
      <c r="H18" s="3">
        <v>189.36738993765917</v>
      </c>
      <c r="I18" s="3">
        <v>246.84919682133938</v>
      </c>
      <c r="J18" s="37">
        <f>708-J19-J20-SUM(J9:J11)</f>
        <v>224</v>
      </c>
      <c r="K18" s="37">
        <v>0.97015947558947269</v>
      </c>
    </row>
    <row r="19" spans="1:15" x14ac:dyDescent="0.25">
      <c r="A19" s="37" t="s">
        <v>10</v>
      </c>
      <c r="B19" s="37" t="s">
        <v>28</v>
      </c>
      <c r="C19" s="37" t="s">
        <v>19</v>
      </c>
      <c r="D19" s="37" t="s">
        <v>15</v>
      </c>
      <c r="E19" s="37">
        <v>2011</v>
      </c>
      <c r="F19" s="44">
        <v>311.42119166422071</v>
      </c>
      <c r="G19" s="3">
        <v>311.42145604114762</v>
      </c>
      <c r="H19" s="3">
        <v>277.53840738651866</v>
      </c>
      <c r="I19" s="3">
        <v>346.93923208189631</v>
      </c>
      <c r="J19" s="37">
        <f>354-J10</f>
        <v>321</v>
      </c>
      <c r="K19" s="37">
        <v>0.97015947558947269</v>
      </c>
    </row>
    <row r="20" spans="1:15" ht="15.75" thickBot="1" x14ac:dyDescent="0.3">
      <c r="A20" s="6" t="s">
        <v>10</v>
      </c>
      <c r="B20" s="6" t="s">
        <v>28</v>
      </c>
      <c r="C20" s="6" t="s">
        <v>20</v>
      </c>
      <c r="D20" s="6" t="s">
        <v>15</v>
      </c>
      <c r="E20" s="6">
        <v>2011</v>
      </c>
      <c r="F20" s="45">
        <v>47.537814303884161</v>
      </c>
      <c r="G20" s="12">
        <v>47.542523607502631</v>
      </c>
      <c r="H20" s="12">
        <v>35.058546167079882</v>
      </c>
      <c r="I20" s="12">
        <v>62.195138909347257</v>
      </c>
      <c r="J20" s="6">
        <f>52-J11</f>
        <v>49</v>
      </c>
      <c r="K20" s="6">
        <v>0.97015947558947269</v>
      </c>
      <c r="L20" s="6"/>
      <c r="M20" s="6"/>
      <c r="N20" s="6"/>
    </row>
    <row r="21" spans="1:15" x14ac:dyDescent="0.25">
      <c r="A21" s="9" t="s">
        <v>10</v>
      </c>
      <c r="B21" s="9" t="s">
        <v>11</v>
      </c>
      <c r="C21" s="9" t="s">
        <v>11</v>
      </c>
      <c r="D21" s="9" t="s">
        <v>11</v>
      </c>
      <c r="E21" s="9">
        <v>2012</v>
      </c>
      <c r="F21" s="44">
        <v>6762.666666666667</v>
      </c>
      <c r="G21" s="3">
        <v>6762.0820999999996</v>
      </c>
      <c r="H21" s="3">
        <v>6602</v>
      </c>
      <c r="I21" s="3">
        <v>6924</v>
      </c>
      <c r="J21" s="9">
        <f>SUM(J22:J24)+J25+J32+SUM(J36:J41)</f>
        <v>7007</v>
      </c>
      <c r="K21" s="9">
        <v>0.96513010798725085</v>
      </c>
      <c r="L21" s="9"/>
      <c r="M21" s="9"/>
      <c r="N21" s="9"/>
    </row>
    <row r="22" spans="1:15" x14ac:dyDescent="0.25">
      <c r="A22" s="9" t="s">
        <v>10</v>
      </c>
      <c r="B22" s="9" t="s">
        <v>24</v>
      </c>
      <c r="C22" s="9" t="s">
        <v>31</v>
      </c>
      <c r="D22" s="9" t="s">
        <v>11</v>
      </c>
      <c r="E22" s="9">
        <v>2012</v>
      </c>
      <c r="F22" s="44">
        <v>3783.3100233100236</v>
      </c>
      <c r="G22" s="3">
        <v>3783.3408952340542</v>
      </c>
      <c r="H22" s="3">
        <v>3663.4505291883988</v>
      </c>
      <c r="I22" s="3">
        <v>3905.2137584065076</v>
      </c>
      <c r="J22" s="9">
        <f>4834-J23-J24</f>
        <v>3920</v>
      </c>
      <c r="K22" s="9">
        <v>0.96513010798725085</v>
      </c>
      <c r="L22" s="9"/>
      <c r="M22" s="9"/>
      <c r="O22" s="9"/>
    </row>
    <row r="23" spans="1:15" x14ac:dyDescent="0.25">
      <c r="A23" s="9" t="s">
        <v>10</v>
      </c>
      <c r="B23" s="9" t="s">
        <v>24</v>
      </c>
      <c r="C23" s="9" t="s">
        <v>19</v>
      </c>
      <c r="D23" s="9" t="s">
        <v>11</v>
      </c>
      <c r="E23" s="9">
        <v>2012</v>
      </c>
      <c r="F23" s="44">
        <v>387.98230341087486</v>
      </c>
      <c r="G23" s="3">
        <v>387.95246428384206</v>
      </c>
      <c r="H23" s="3">
        <v>350.76723891963144</v>
      </c>
      <c r="I23" s="3">
        <v>427.43790596736164</v>
      </c>
      <c r="J23" s="9">
        <v>402</v>
      </c>
      <c r="K23" s="9">
        <v>0.96513010798725085</v>
      </c>
      <c r="L23" s="9"/>
      <c r="M23" s="9"/>
      <c r="O23" s="9"/>
    </row>
    <row r="24" spans="1:15" x14ac:dyDescent="0.25">
      <c r="A24" s="9" t="s">
        <v>10</v>
      </c>
      <c r="B24" s="9" t="s">
        <v>24</v>
      </c>
      <c r="C24" s="9" t="s">
        <v>20</v>
      </c>
      <c r="D24" s="9" t="s">
        <v>11</v>
      </c>
      <c r="E24" s="9">
        <v>2012</v>
      </c>
      <c r="F24" s="44">
        <v>494.14661528947244</v>
      </c>
      <c r="G24" s="3">
        <v>493.98540652007711</v>
      </c>
      <c r="H24" s="3">
        <v>451.62870193196409</v>
      </c>
      <c r="I24" s="3">
        <v>537.97898102403212</v>
      </c>
      <c r="J24" s="9">
        <v>512</v>
      </c>
      <c r="K24" s="9">
        <v>0.96513010798725085</v>
      </c>
      <c r="L24" s="9"/>
      <c r="M24" s="9"/>
      <c r="O24" s="9"/>
    </row>
    <row r="25" spans="1:15" x14ac:dyDescent="0.25">
      <c r="A25" s="9" t="s">
        <v>10</v>
      </c>
      <c r="B25" s="9" t="s">
        <v>26</v>
      </c>
      <c r="C25" s="9" t="s">
        <v>11</v>
      </c>
      <c r="D25" s="9" t="s">
        <v>11</v>
      </c>
      <c r="E25" s="9">
        <v>2012</v>
      </c>
      <c r="F25" s="44">
        <v>311.73702487988203</v>
      </c>
      <c r="G25" s="3"/>
      <c r="H25" s="3"/>
      <c r="I25" s="3"/>
      <c r="J25" s="9">
        <f>210+113</f>
        <v>323</v>
      </c>
      <c r="K25" s="9">
        <v>0.96513010798725085</v>
      </c>
      <c r="L25" s="9"/>
      <c r="M25" s="9"/>
      <c r="O25" s="9"/>
    </row>
    <row r="26" spans="1:15" x14ac:dyDescent="0.25">
      <c r="A26" s="9" t="s">
        <v>10</v>
      </c>
      <c r="B26" s="9" t="s">
        <v>26</v>
      </c>
      <c r="C26" s="9" t="s">
        <v>31</v>
      </c>
      <c r="D26" s="9" t="s">
        <v>12</v>
      </c>
      <c r="E26" s="9">
        <v>2012</v>
      </c>
      <c r="F26" s="44">
        <v>114.85048285048285</v>
      </c>
      <c r="G26" s="3">
        <v>114.66654301330385</v>
      </c>
      <c r="H26" s="3">
        <v>94.631195430124052</v>
      </c>
      <c r="I26" s="3">
        <v>136.91941608791964</v>
      </c>
      <c r="J26" s="9">
        <f>210-J27-J28</f>
        <v>119</v>
      </c>
      <c r="K26" s="9">
        <v>0.96513010798725085</v>
      </c>
      <c r="L26" s="9"/>
      <c r="M26" s="9"/>
      <c r="O26" s="9"/>
    </row>
    <row r="27" spans="1:15" x14ac:dyDescent="0.25">
      <c r="A27" s="9" t="s">
        <v>10</v>
      </c>
      <c r="B27" s="9" t="s">
        <v>26</v>
      </c>
      <c r="C27" s="9" t="s">
        <v>19</v>
      </c>
      <c r="D27" s="9" t="s">
        <v>12</v>
      </c>
      <c r="E27" s="9">
        <v>2012</v>
      </c>
      <c r="F27" s="44">
        <v>55.97754626326055</v>
      </c>
      <c r="G27" s="3">
        <v>55.94779174547385</v>
      </c>
      <c r="H27" s="3">
        <v>42.199035935464757</v>
      </c>
      <c r="I27" s="3">
        <v>71.437386154677085</v>
      </c>
      <c r="J27" s="9">
        <v>58</v>
      </c>
      <c r="K27" s="9">
        <v>0.96513010798725085</v>
      </c>
      <c r="L27" s="9"/>
      <c r="M27" s="9"/>
      <c r="O27" s="9"/>
    </row>
    <row r="28" spans="1:15" x14ac:dyDescent="0.25">
      <c r="A28" s="9" t="s">
        <v>10</v>
      </c>
      <c r="B28" s="9" t="s">
        <v>26</v>
      </c>
      <c r="C28" s="9" t="s">
        <v>20</v>
      </c>
      <c r="D28" s="9" t="s">
        <v>12</v>
      </c>
      <c r="E28" s="9">
        <v>2012</v>
      </c>
      <c r="F28" s="44">
        <v>31.849293563579277</v>
      </c>
      <c r="G28" s="3">
        <v>31.897336471535443</v>
      </c>
      <c r="H28" s="3">
        <v>21.860183419340686</v>
      </c>
      <c r="I28" s="3">
        <v>43.828681271110369</v>
      </c>
      <c r="J28" s="11">
        <v>33</v>
      </c>
      <c r="K28" s="9">
        <v>0.96513010798725085</v>
      </c>
      <c r="L28" s="9"/>
      <c r="M28" s="9"/>
      <c r="O28" s="9"/>
    </row>
    <row r="29" spans="1:15" x14ac:dyDescent="0.25">
      <c r="A29" s="9" t="s">
        <v>10</v>
      </c>
      <c r="B29" s="9" t="s">
        <v>26</v>
      </c>
      <c r="C29" s="9" t="s">
        <v>31</v>
      </c>
      <c r="D29" s="9" t="s">
        <v>15</v>
      </c>
      <c r="E29" s="9">
        <v>2012</v>
      </c>
      <c r="F29" s="44">
        <v>74.315018315018321</v>
      </c>
      <c r="G29" s="3">
        <v>74.16850894526884</v>
      </c>
      <c r="H29" s="3">
        <v>58.199682011397989</v>
      </c>
      <c r="I29" s="3">
        <v>92.056874382966868</v>
      </c>
      <c r="J29" s="9">
        <f>113-J30-J31</f>
        <v>77</v>
      </c>
      <c r="K29" s="9">
        <v>0.96513010798725085</v>
      </c>
      <c r="L29" s="9"/>
      <c r="M29" s="9"/>
      <c r="O29" s="9"/>
    </row>
    <row r="30" spans="1:15" x14ac:dyDescent="0.25">
      <c r="A30" s="9" t="s">
        <v>10</v>
      </c>
      <c r="B30" s="9" t="s">
        <v>26</v>
      </c>
      <c r="C30" s="9" t="s">
        <v>19</v>
      </c>
      <c r="D30" s="9" t="s">
        <v>15</v>
      </c>
      <c r="E30" s="9">
        <v>2012</v>
      </c>
      <c r="F30" s="44">
        <v>31.849293563579277</v>
      </c>
      <c r="G30" s="3">
        <v>31.844029062942834</v>
      </c>
      <c r="H30" s="3">
        <v>21.786710274025758</v>
      </c>
      <c r="I30" s="3">
        <v>43.523781659769192</v>
      </c>
      <c r="J30" s="9">
        <v>33</v>
      </c>
      <c r="K30" s="9">
        <v>0.96513010798725085</v>
      </c>
      <c r="L30" s="9"/>
      <c r="M30" s="9"/>
      <c r="O30" s="9"/>
    </row>
    <row r="31" spans="1:15" x14ac:dyDescent="0.25">
      <c r="A31" s="9" t="s">
        <v>10</v>
      </c>
      <c r="B31" s="9" t="s">
        <v>26</v>
      </c>
      <c r="C31" s="9" t="s">
        <v>20</v>
      </c>
      <c r="D31" s="9" t="s">
        <v>15</v>
      </c>
      <c r="E31" s="9">
        <v>2012</v>
      </c>
      <c r="F31" s="44">
        <v>2.8953903239617524</v>
      </c>
      <c r="G31" s="3">
        <v>2.9011143356170215</v>
      </c>
      <c r="H31" s="3">
        <v>0.58012634404138619</v>
      </c>
      <c r="I31" s="3">
        <v>6.958369820181125</v>
      </c>
      <c r="J31" s="11">
        <v>3</v>
      </c>
      <c r="K31" s="9">
        <v>0.96513010798725085</v>
      </c>
      <c r="L31" s="9"/>
      <c r="M31" s="9"/>
      <c r="O31" s="9"/>
    </row>
    <row r="32" spans="1:15" x14ac:dyDescent="0.25">
      <c r="A32" s="9" t="s">
        <v>10</v>
      </c>
      <c r="B32" s="9" t="s">
        <v>27</v>
      </c>
      <c r="C32" s="9" t="s">
        <v>11</v>
      </c>
      <c r="D32" s="9" t="s">
        <v>11</v>
      </c>
      <c r="E32" s="9">
        <v>2012</v>
      </c>
      <c r="F32" s="44">
        <v>579.07806479235046</v>
      </c>
      <c r="G32" s="3"/>
      <c r="H32" s="3"/>
      <c r="I32" s="3"/>
      <c r="J32" s="11">
        <v>600</v>
      </c>
      <c r="K32" s="9">
        <v>0.96513010798725085</v>
      </c>
      <c r="L32" s="9"/>
      <c r="M32" s="9"/>
      <c r="O32" s="9"/>
    </row>
    <row r="33" spans="1:15" x14ac:dyDescent="0.25">
      <c r="A33" s="9" t="s">
        <v>10</v>
      </c>
      <c r="B33" s="9" t="s">
        <v>27</v>
      </c>
      <c r="C33" s="9" t="s">
        <v>31</v>
      </c>
      <c r="D33" s="9" t="s">
        <v>11</v>
      </c>
      <c r="E33" s="9">
        <v>2012</v>
      </c>
      <c r="F33" s="44">
        <v>490.28609485752344</v>
      </c>
      <c r="G33" s="3">
        <v>490.10983182024773</v>
      </c>
      <c r="H33" s="3">
        <v>448.13343944842421</v>
      </c>
      <c r="I33" s="3">
        <v>534.14864011210875</v>
      </c>
      <c r="J33" s="9">
        <f>600-J34-J35</f>
        <v>508</v>
      </c>
      <c r="K33" s="9">
        <v>0.96513010798725085</v>
      </c>
      <c r="L33" s="9"/>
      <c r="M33" s="9"/>
      <c r="O33" s="9"/>
    </row>
    <row r="34" spans="1:15" x14ac:dyDescent="0.25">
      <c r="A34" s="9" t="s">
        <v>10</v>
      </c>
      <c r="B34" s="9" t="s">
        <v>27</v>
      </c>
      <c r="C34" s="9" t="s">
        <v>19</v>
      </c>
      <c r="D34" s="9" t="s">
        <v>11</v>
      </c>
      <c r="E34" s="9">
        <v>2012</v>
      </c>
      <c r="F34" s="44">
        <v>40.535464535464534</v>
      </c>
      <c r="G34" s="3">
        <v>40.489934127286098</v>
      </c>
      <c r="H34" s="3">
        <v>29.136885713757696</v>
      </c>
      <c r="I34" s="3">
        <v>53.996051942113837</v>
      </c>
      <c r="J34" s="9">
        <v>42</v>
      </c>
      <c r="K34" s="9">
        <v>0.96513010798725085</v>
      </c>
      <c r="L34" s="9"/>
      <c r="M34" s="9"/>
      <c r="O34" s="9"/>
    </row>
    <row r="35" spans="1:15" x14ac:dyDescent="0.25">
      <c r="A35" s="9" t="s">
        <v>10</v>
      </c>
      <c r="B35" s="9" t="s">
        <v>27</v>
      </c>
      <c r="C35" s="9" t="s">
        <v>20</v>
      </c>
      <c r="D35" s="9" t="s">
        <v>11</v>
      </c>
      <c r="E35" s="9">
        <v>2012</v>
      </c>
      <c r="F35" s="44">
        <v>48.256505399362545</v>
      </c>
      <c r="G35" s="3">
        <v>48.293792735223441</v>
      </c>
      <c r="H35" s="3">
        <v>35.662959167030209</v>
      </c>
      <c r="I35" s="3">
        <v>62.73293472056757</v>
      </c>
      <c r="J35" s="11">
        <v>50</v>
      </c>
      <c r="K35" s="9">
        <v>0.96513010798725085</v>
      </c>
      <c r="L35" s="9"/>
      <c r="M35" s="9"/>
      <c r="O35" s="9"/>
    </row>
    <row r="36" spans="1:15" x14ac:dyDescent="0.25">
      <c r="A36" s="9" t="s">
        <v>10</v>
      </c>
      <c r="B36" s="9" t="s">
        <v>28</v>
      </c>
      <c r="C36" s="9" t="s">
        <v>31</v>
      </c>
      <c r="D36" s="9" t="s">
        <v>12</v>
      </c>
      <c r="E36" s="9">
        <v>2012</v>
      </c>
      <c r="F36" s="44">
        <v>219.08453451310595</v>
      </c>
      <c r="G36" s="3">
        <v>218.9345738693923</v>
      </c>
      <c r="H36" s="3">
        <v>191.28644512562437</v>
      </c>
      <c r="I36" s="3">
        <v>249.5330755138821</v>
      </c>
      <c r="J36" s="9">
        <f>6271-J37-J38-J32-SUM(J26:J28)-SUM(J22:J24)</f>
        <v>227</v>
      </c>
      <c r="K36" s="9">
        <v>0.96513010798725085</v>
      </c>
      <c r="L36" s="9"/>
      <c r="M36" s="9"/>
      <c r="O36" s="9"/>
    </row>
    <row r="37" spans="1:15" x14ac:dyDescent="0.25">
      <c r="A37" s="9" t="s">
        <v>10</v>
      </c>
      <c r="B37" s="9" t="s">
        <v>28</v>
      </c>
      <c r="C37" s="9" t="s">
        <v>19</v>
      </c>
      <c r="D37" s="9" t="s">
        <v>12</v>
      </c>
      <c r="E37" s="9">
        <v>2012</v>
      </c>
      <c r="F37" s="44">
        <v>290.50416250416248</v>
      </c>
      <c r="G37" s="3">
        <v>290.74777684775648</v>
      </c>
      <c r="H37" s="3">
        <v>258.32268456782407</v>
      </c>
      <c r="I37" s="3">
        <v>324.65234412720082</v>
      </c>
      <c r="J37" s="9">
        <f>803-J34-J27-J23</f>
        <v>301</v>
      </c>
      <c r="K37" s="9">
        <v>0.96513010798725085</v>
      </c>
      <c r="L37" s="9"/>
      <c r="M37" s="9"/>
      <c r="O37" s="9"/>
    </row>
    <row r="38" spans="1:15" x14ac:dyDescent="0.25">
      <c r="A38" s="9" t="s">
        <v>10</v>
      </c>
      <c r="B38" s="9" t="s">
        <v>28</v>
      </c>
      <c r="C38" s="9" t="s">
        <v>20</v>
      </c>
      <c r="D38" s="9" t="s">
        <v>12</v>
      </c>
      <c r="E38" s="9">
        <v>2012</v>
      </c>
      <c r="F38" s="44">
        <v>95.547880690737841</v>
      </c>
      <c r="G38" s="3">
        <v>95.586604610738434</v>
      </c>
      <c r="H38" s="3">
        <v>77.465787883721745</v>
      </c>
      <c r="I38" s="3">
        <v>115.68630402411848</v>
      </c>
      <c r="J38" s="9">
        <f>694-J35-J28-J24</f>
        <v>99</v>
      </c>
      <c r="K38" s="9">
        <v>0.96513010798725085</v>
      </c>
      <c r="L38" s="9"/>
      <c r="M38" s="9"/>
      <c r="O38" s="9"/>
    </row>
    <row r="39" spans="1:15" x14ac:dyDescent="0.25">
      <c r="A39" s="9" t="s">
        <v>10</v>
      </c>
      <c r="B39" s="9" t="s">
        <v>28</v>
      </c>
      <c r="C39" s="9" t="s">
        <v>31</v>
      </c>
      <c r="D39" s="9" t="s">
        <v>15</v>
      </c>
      <c r="E39" s="9">
        <v>2012</v>
      </c>
      <c r="F39" s="44">
        <v>221.01479472908045</v>
      </c>
      <c r="G39" s="3">
        <v>220.85468174911688</v>
      </c>
      <c r="H39" s="3">
        <v>192.77047029491075</v>
      </c>
      <c r="I39" s="3">
        <v>250.4000734541649</v>
      </c>
      <c r="J39" s="9">
        <f>736-J40-J41-SUM(J29:J31)</f>
        <v>229</v>
      </c>
      <c r="K39" s="9">
        <v>0.96513010798725085</v>
      </c>
      <c r="L39" s="9"/>
      <c r="M39" s="9"/>
      <c r="O39" s="9"/>
    </row>
    <row r="40" spans="1:15" x14ac:dyDescent="0.25">
      <c r="A40" s="9" t="s">
        <v>10</v>
      </c>
      <c r="B40" s="9" t="s">
        <v>28</v>
      </c>
      <c r="C40" s="9" t="s">
        <v>19</v>
      </c>
      <c r="D40" s="9" t="s">
        <v>15</v>
      </c>
      <c r="E40" s="9">
        <v>2012</v>
      </c>
      <c r="F40" s="44">
        <v>331.03962703962702</v>
      </c>
      <c r="G40" s="3">
        <v>331.01173956252956</v>
      </c>
      <c r="H40" s="3">
        <v>296.20040087661471</v>
      </c>
      <c r="I40" s="3">
        <v>367.89186041965854</v>
      </c>
      <c r="J40" s="9">
        <f>376-J30</f>
        <v>343</v>
      </c>
      <c r="K40" s="9">
        <v>0.96513010798725085</v>
      </c>
      <c r="L40" s="9"/>
      <c r="M40" s="9"/>
      <c r="O40" s="9"/>
    </row>
    <row r="41" spans="1:15" x14ac:dyDescent="0.25">
      <c r="A41" s="9" t="s">
        <v>10</v>
      </c>
      <c r="B41" s="9" t="s">
        <v>28</v>
      </c>
      <c r="C41" s="9" t="s">
        <v>20</v>
      </c>
      <c r="D41" s="9" t="s">
        <v>15</v>
      </c>
      <c r="E41" s="9">
        <v>2012</v>
      </c>
      <c r="F41" s="44">
        <v>49.221635507349795</v>
      </c>
      <c r="G41" s="3">
        <v>49.349075065593837</v>
      </c>
      <c r="H41" s="3">
        <v>36.571340736823061</v>
      </c>
      <c r="I41" s="3">
        <v>64.226584925420724</v>
      </c>
      <c r="J41" s="9">
        <f>54-J31</f>
        <v>51</v>
      </c>
      <c r="K41" s="9">
        <v>0.96513010798725085</v>
      </c>
      <c r="L41" s="9"/>
      <c r="M41" s="9"/>
      <c r="O41" s="9"/>
    </row>
    <row r="42" spans="1:15" x14ac:dyDescent="0.25">
      <c r="A42" s="9" t="s">
        <v>21</v>
      </c>
      <c r="B42" s="9" t="s">
        <v>24</v>
      </c>
      <c r="C42" s="9" t="s">
        <v>11</v>
      </c>
      <c r="D42" s="9" t="s">
        <v>11</v>
      </c>
      <c r="E42" s="9">
        <v>2012</v>
      </c>
      <c r="F42" s="44">
        <v>0</v>
      </c>
      <c r="G42" s="3"/>
      <c r="H42" s="3"/>
      <c r="I42" s="3"/>
      <c r="J42" s="38"/>
      <c r="K42" s="69">
        <v>0.97307692307692306</v>
      </c>
      <c r="L42" s="9"/>
      <c r="M42" s="9"/>
      <c r="O42" s="9"/>
    </row>
    <row r="43" spans="1:15" x14ac:dyDescent="0.25">
      <c r="A43" s="9" t="s">
        <v>21</v>
      </c>
      <c r="B43" s="9" t="s">
        <v>24</v>
      </c>
      <c r="C43" s="9" t="s">
        <v>31</v>
      </c>
      <c r="D43" s="9" t="s">
        <v>11</v>
      </c>
      <c r="E43" s="9">
        <v>2012</v>
      </c>
      <c r="F43" s="44">
        <v>119.29397089397089</v>
      </c>
      <c r="G43" s="3">
        <v>119.47624775974668</v>
      </c>
      <c r="H43" s="3">
        <v>98.833759866882772</v>
      </c>
      <c r="I43" s="3">
        <v>141.62628393643982</v>
      </c>
      <c r="J43" s="38">
        <v>122.5945945945946</v>
      </c>
      <c r="K43" s="69">
        <v>0.97307692307692306</v>
      </c>
      <c r="L43" s="9"/>
      <c r="M43" s="9"/>
      <c r="O43" s="9"/>
    </row>
    <row r="44" spans="1:15" x14ac:dyDescent="0.25">
      <c r="A44" s="9" t="s">
        <v>21</v>
      </c>
      <c r="B44" s="9" t="s">
        <v>24</v>
      </c>
      <c r="C44" s="9" t="s">
        <v>19</v>
      </c>
      <c r="D44" s="9" t="s">
        <v>11</v>
      </c>
      <c r="E44" s="9">
        <v>2012</v>
      </c>
      <c r="F44" s="44">
        <v>19.087035343035343</v>
      </c>
      <c r="G44" s="3">
        <v>19.149374663356266</v>
      </c>
      <c r="H44" s="3">
        <v>11.477812941659471</v>
      </c>
      <c r="I44" s="3">
        <v>28.475264726540868</v>
      </c>
      <c r="J44" s="38">
        <v>19.615135135135134</v>
      </c>
      <c r="K44" s="69">
        <v>0.97307692307692306</v>
      </c>
      <c r="L44" s="9"/>
      <c r="M44" s="9"/>
      <c r="N44" s="8"/>
      <c r="O44" s="9"/>
    </row>
    <row r="45" spans="1:15" x14ac:dyDescent="0.25">
      <c r="A45" s="9" t="s">
        <v>21</v>
      </c>
      <c r="B45" s="9" t="s">
        <v>24</v>
      </c>
      <c r="C45" s="9" t="s">
        <v>20</v>
      </c>
      <c r="D45" s="9" t="s">
        <v>11</v>
      </c>
      <c r="E45" s="9">
        <v>2012</v>
      </c>
      <c r="F45" s="44">
        <v>25.095916839916839</v>
      </c>
      <c r="G45" s="3">
        <v>25.082922578736319</v>
      </c>
      <c r="H45" s="3">
        <v>16.27698712560273</v>
      </c>
      <c r="I45" s="3">
        <v>35.882840338690634</v>
      </c>
      <c r="J45" s="38">
        <v>25.79027027027027</v>
      </c>
      <c r="K45" s="69">
        <v>0.97307692307692306</v>
      </c>
      <c r="L45" s="9"/>
      <c r="M45" s="9"/>
      <c r="O45" s="9"/>
    </row>
    <row r="46" spans="1:15" x14ac:dyDescent="0.25">
      <c r="A46" s="9" t="s">
        <v>21</v>
      </c>
      <c r="B46" s="9" t="s">
        <v>26</v>
      </c>
      <c r="C46" s="9" t="s">
        <v>11</v>
      </c>
      <c r="D46" s="9" t="s">
        <v>11</v>
      </c>
      <c r="E46" s="9">
        <v>2012</v>
      </c>
      <c r="F46" s="44">
        <v>0</v>
      </c>
      <c r="G46" s="3"/>
      <c r="H46" s="3"/>
      <c r="I46" s="3"/>
      <c r="J46" s="38"/>
      <c r="K46" s="69">
        <v>0.97307692307692306</v>
      </c>
      <c r="L46" s="9"/>
      <c r="M46" s="9"/>
      <c r="O46" s="9"/>
    </row>
    <row r="47" spans="1:15" x14ac:dyDescent="0.25">
      <c r="A47" s="9" t="s">
        <v>21</v>
      </c>
      <c r="B47" s="9" t="s">
        <v>26</v>
      </c>
      <c r="C47" s="9" t="s">
        <v>31</v>
      </c>
      <c r="D47" s="9" t="s">
        <v>12</v>
      </c>
      <c r="E47" s="9">
        <v>2012</v>
      </c>
      <c r="F47" s="44">
        <v>3.3460898768591081</v>
      </c>
      <c r="G47" s="3">
        <v>3.4964159076077181</v>
      </c>
      <c r="H47" s="3">
        <v>0.8571159973964162</v>
      </c>
      <c r="I47" s="3">
        <v>7.9921737074515402</v>
      </c>
      <c r="J47" s="38">
        <v>3.438669438669439</v>
      </c>
      <c r="K47" s="69">
        <v>0.97307692307692306</v>
      </c>
      <c r="L47" s="9"/>
      <c r="M47" s="9"/>
      <c r="O47" s="9"/>
    </row>
    <row r="48" spans="1:15" x14ac:dyDescent="0.25">
      <c r="A48" s="9" t="s">
        <v>21</v>
      </c>
      <c r="B48" s="9" t="s">
        <v>26</v>
      </c>
      <c r="C48" s="9" t="s">
        <v>19</v>
      </c>
      <c r="D48" s="9" t="s">
        <v>12</v>
      </c>
      <c r="E48" s="9">
        <v>2012</v>
      </c>
      <c r="F48" s="44">
        <v>1.5144394690548535</v>
      </c>
      <c r="G48" s="3">
        <v>2.2098190676780849</v>
      </c>
      <c r="H48" s="3">
        <v>0.31140153112765506</v>
      </c>
      <c r="I48" s="3">
        <v>5.8230259816945873</v>
      </c>
      <c r="J48" s="38">
        <v>1.5563409563409563</v>
      </c>
      <c r="K48" s="69">
        <v>0.97307692307692306</v>
      </c>
      <c r="L48" s="9"/>
      <c r="M48" s="9"/>
      <c r="O48" s="9"/>
    </row>
    <row r="49" spans="1:15" x14ac:dyDescent="0.25">
      <c r="A49" s="9" t="s">
        <v>21</v>
      </c>
      <c r="B49" s="9" t="s">
        <v>26</v>
      </c>
      <c r="C49" s="9" t="s">
        <v>20</v>
      </c>
      <c r="D49" s="9" t="s">
        <v>12</v>
      </c>
      <c r="E49" s="9">
        <v>2012</v>
      </c>
      <c r="F49" s="44">
        <v>4.8552694706541699E-3</v>
      </c>
      <c r="G49" s="3">
        <v>4.946620491757512E-2</v>
      </c>
      <c r="H49" s="3">
        <v>3.464979957257896E-33</v>
      </c>
      <c r="I49" s="3">
        <v>0.54746803902508001</v>
      </c>
      <c r="J49" s="38">
        <v>4.9896049896050758E-3</v>
      </c>
      <c r="K49" s="69">
        <v>0.97307692307692306</v>
      </c>
      <c r="L49" s="9"/>
      <c r="M49" s="9"/>
      <c r="O49" s="9"/>
    </row>
    <row r="50" spans="1:15" x14ac:dyDescent="0.25">
      <c r="A50" s="9" t="s">
        <v>21</v>
      </c>
      <c r="B50" s="9" t="s">
        <v>26</v>
      </c>
      <c r="C50" s="9" t="s">
        <v>31</v>
      </c>
      <c r="D50" s="9" t="s">
        <v>15</v>
      </c>
      <c r="E50" s="9">
        <v>2012</v>
      </c>
      <c r="F50" s="44">
        <v>4.0153078522309293</v>
      </c>
      <c r="G50" s="3">
        <v>3.5201795858780347</v>
      </c>
      <c r="H50" s="3">
        <v>0.86469588341816839</v>
      </c>
      <c r="I50" s="3">
        <v>7.9927758591212408</v>
      </c>
      <c r="J50" s="38">
        <v>4.1264033264033264</v>
      </c>
      <c r="K50" s="69">
        <v>0.97307692307692306</v>
      </c>
      <c r="L50" s="9"/>
      <c r="M50" s="9"/>
      <c r="O50" s="9"/>
    </row>
    <row r="51" spans="1:15" x14ac:dyDescent="0.25">
      <c r="A51" s="9" t="s">
        <v>21</v>
      </c>
      <c r="B51" s="9" t="s">
        <v>26</v>
      </c>
      <c r="C51" s="9" t="s">
        <v>19</v>
      </c>
      <c r="D51" s="9" t="s">
        <v>15</v>
      </c>
      <c r="E51" s="9">
        <v>2012</v>
      </c>
      <c r="F51" s="44">
        <v>1.8173273628658244</v>
      </c>
      <c r="G51" s="3">
        <v>2.1842245813611592</v>
      </c>
      <c r="H51" s="3">
        <v>0.31424027625909684</v>
      </c>
      <c r="I51" s="3">
        <v>5.8403383754943272</v>
      </c>
      <c r="J51" s="38">
        <v>1.8676091476091476</v>
      </c>
      <c r="K51" s="69">
        <v>0.97307692307692306</v>
      </c>
      <c r="L51" s="9"/>
      <c r="M51" s="9"/>
      <c r="O51" s="9"/>
    </row>
    <row r="52" spans="1:15" x14ac:dyDescent="0.25">
      <c r="A52" s="9" t="s">
        <v>21</v>
      </c>
      <c r="B52" s="9" t="s">
        <v>26</v>
      </c>
      <c r="C52" s="9" t="s">
        <v>20</v>
      </c>
      <c r="D52" s="9" t="s">
        <v>15</v>
      </c>
      <c r="E52" s="9">
        <v>2012</v>
      </c>
      <c r="F52" s="44">
        <v>5.8263233647850039E-3</v>
      </c>
      <c r="G52" s="3">
        <v>4.5974069188059408E-2</v>
      </c>
      <c r="H52" s="3">
        <v>1.8120545009110937E-33</v>
      </c>
      <c r="I52" s="3">
        <v>0.51969551424393912</v>
      </c>
      <c r="J52" s="38">
        <v>5.9875259875260909E-3</v>
      </c>
      <c r="K52" s="69">
        <v>0.97307692307692306</v>
      </c>
      <c r="L52" s="9"/>
      <c r="M52" s="9"/>
      <c r="O52" s="9"/>
    </row>
    <row r="53" spans="1:15" x14ac:dyDescent="0.25">
      <c r="A53" s="9" t="s">
        <v>21</v>
      </c>
      <c r="B53" s="9" t="s">
        <v>27</v>
      </c>
      <c r="C53" s="11" t="s">
        <v>11</v>
      </c>
      <c r="D53" s="9" t="s">
        <v>11</v>
      </c>
      <c r="E53" s="9">
        <v>2012</v>
      </c>
      <c r="F53" s="44">
        <v>0</v>
      </c>
      <c r="G53" s="3"/>
      <c r="H53" s="3"/>
      <c r="I53" s="3"/>
      <c r="J53" s="38"/>
      <c r="K53" s="69">
        <v>0.97307692307692306</v>
      </c>
      <c r="L53" s="9"/>
      <c r="M53" s="9"/>
      <c r="O53" s="9"/>
    </row>
    <row r="54" spans="1:15" x14ac:dyDescent="0.25">
      <c r="A54" s="9" t="s">
        <v>21</v>
      </c>
      <c r="B54" s="9" t="s">
        <v>27</v>
      </c>
      <c r="C54" s="9" t="s">
        <v>31</v>
      </c>
      <c r="D54" s="9" t="s">
        <v>11</v>
      </c>
      <c r="E54" s="9">
        <v>2012</v>
      </c>
      <c r="F54" s="44">
        <v>19.17224532224532</v>
      </c>
      <c r="G54" s="3">
        <v>19.025048401921318</v>
      </c>
      <c r="H54" s="3">
        <v>11.368087789592785</v>
      </c>
      <c r="I54" s="3">
        <v>28.365619708144905</v>
      </c>
      <c r="J54" s="38">
        <v>19.702702702702702</v>
      </c>
      <c r="K54" s="69">
        <v>0.97307692307692306</v>
      </c>
      <c r="L54" s="9"/>
      <c r="M54" s="9"/>
      <c r="O54" s="9"/>
    </row>
    <row r="55" spans="1:15" x14ac:dyDescent="0.25">
      <c r="A55" s="9" t="s">
        <v>21</v>
      </c>
      <c r="B55" s="9" t="s">
        <v>27</v>
      </c>
      <c r="C55" s="9" t="s">
        <v>19</v>
      </c>
      <c r="D55" s="9" t="s">
        <v>11</v>
      </c>
      <c r="E55" s="9">
        <v>2012</v>
      </c>
      <c r="F55" s="44">
        <v>3.0675592515592518</v>
      </c>
      <c r="G55" s="3">
        <v>2.9994784253042681</v>
      </c>
      <c r="H55" s="3">
        <v>0.65701149411848547</v>
      </c>
      <c r="I55" s="3">
        <v>7.1751538715821859</v>
      </c>
      <c r="J55" s="38">
        <v>3.1524324324324327</v>
      </c>
      <c r="K55" s="69">
        <v>0.97307692307692306</v>
      </c>
      <c r="L55" s="9"/>
      <c r="M55" s="9"/>
      <c r="O55" s="9"/>
    </row>
    <row r="56" spans="1:15" x14ac:dyDescent="0.25">
      <c r="A56" s="9" t="s">
        <v>21</v>
      </c>
      <c r="B56" s="9" t="s">
        <v>27</v>
      </c>
      <c r="C56" s="9" t="s">
        <v>20</v>
      </c>
      <c r="D56" s="9" t="s">
        <v>11</v>
      </c>
      <c r="E56" s="9">
        <v>2012</v>
      </c>
      <c r="F56" s="44">
        <v>4.033272349272349</v>
      </c>
      <c r="G56" s="3">
        <v>3.971186304438926</v>
      </c>
      <c r="H56" s="3">
        <v>1.0588086403074319</v>
      </c>
      <c r="I56" s="3">
        <v>8.8621322523962718</v>
      </c>
      <c r="J56" s="38">
        <v>4.1448648648648643</v>
      </c>
      <c r="K56" s="69">
        <v>0.97307692307692306</v>
      </c>
      <c r="L56" s="9"/>
      <c r="M56" s="9"/>
      <c r="O56" s="9"/>
    </row>
    <row r="57" spans="1:15" x14ac:dyDescent="0.25">
      <c r="A57" s="9" t="s">
        <v>21</v>
      </c>
      <c r="B57" s="9" t="s">
        <v>28</v>
      </c>
      <c r="C57" s="11" t="s">
        <v>11</v>
      </c>
      <c r="D57" s="9" t="s">
        <v>11</v>
      </c>
      <c r="E57" s="9">
        <v>2012</v>
      </c>
      <c r="F57" s="44">
        <v>0</v>
      </c>
      <c r="G57" s="3"/>
      <c r="H57" s="3"/>
      <c r="I57" s="3"/>
      <c r="J57" s="38"/>
      <c r="K57" s="69">
        <v>0.97307692307692306</v>
      </c>
      <c r="L57" s="9"/>
      <c r="M57" s="9"/>
      <c r="O57" s="9"/>
    </row>
    <row r="58" spans="1:15" x14ac:dyDescent="0.25">
      <c r="A58" s="9" t="s">
        <v>21</v>
      </c>
      <c r="B58" s="9" t="s">
        <v>28</v>
      </c>
      <c r="C58" s="9" t="s">
        <v>31</v>
      </c>
      <c r="D58" s="9" t="s">
        <v>12</v>
      </c>
      <c r="E58" s="9">
        <v>2012</v>
      </c>
      <c r="F58" s="44">
        <v>14.053577482808253</v>
      </c>
      <c r="G58" s="3">
        <v>19.297996717246409</v>
      </c>
      <c r="H58" s="3">
        <v>11.722856854088995</v>
      </c>
      <c r="I58" s="3">
        <v>28.900526225558924</v>
      </c>
      <c r="J58" s="38">
        <v>14.442411642411644</v>
      </c>
      <c r="K58" s="69">
        <v>0.97307692307692306</v>
      </c>
      <c r="L58" s="9"/>
      <c r="M58" s="9"/>
      <c r="O58" s="9"/>
    </row>
    <row r="59" spans="1:15" x14ac:dyDescent="0.25">
      <c r="A59" s="9" t="s">
        <v>21</v>
      </c>
      <c r="B59" s="9" t="s">
        <v>28</v>
      </c>
      <c r="C59" s="9" t="s">
        <v>19</v>
      </c>
      <c r="D59" s="9" t="s">
        <v>12</v>
      </c>
      <c r="E59" s="9">
        <v>2012</v>
      </c>
      <c r="F59" s="44">
        <v>6.3606457700303851</v>
      </c>
      <c r="G59" s="3">
        <v>12.163118413315669</v>
      </c>
      <c r="H59" s="3">
        <v>6.3155404863220275</v>
      </c>
      <c r="I59" s="3">
        <v>19.730911423079245</v>
      </c>
      <c r="J59" s="38">
        <v>6.5366320166320167</v>
      </c>
      <c r="K59" s="69">
        <v>0.97307692307692306</v>
      </c>
      <c r="L59" s="9"/>
      <c r="M59" s="9"/>
      <c r="O59" s="9"/>
    </row>
    <row r="60" spans="1:15" x14ac:dyDescent="0.25">
      <c r="A60" s="9" t="s">
        <v>21</v>
      </c>
      <c r="B60" s="9" t="s">
        <v>28</v>
      </c>
      <c r="C60" s="9" t="s">
        <v>20</v>
      </c>
      <c r="D60" s="9" t="s">
        <v>12</v>
      </c>
      <c r="E60" s="9">
        <v>2012</v>
      </c>
      <c r="F60" s="44">
        <v>2.0392131776747514E-2</v>
      </c>
      <c r="G60" s="3">
        <v>0.2652210292066603</v>
      </c>
      <c r="H60" s="3">
        <v>8.7997925347966879E-7</v>
      </c>
      <c r="I60" s="3">
        <v>1.7311038977825033</v>
      </c>
      <c r="J60" s="38">
        <v>2.0956340956341319E-2</v>
      </c>
      <c r="K60" s="69">
        <v>0.97307692307692306</v>
      </c>
      <c r="L60" s="9"/>
      <c r="M60" s="9"/>
      <c r="O60" s="9"/>
    </row>
    <row r="61" spans="1:15" x14ac:dyDescent="0.25">
      <c r="A61" s="9" t="s">
        <v>21</v>
      </c>
      <c r="B61" s="9" t="s">
        <v>28</v>
      </c>
      <c r="C61" s="9" t="s">
        <v>31</v>
      </c>
      <c r="D61" s="9" t="s">
        <v>15</v>
      </c>
      <c r="E61" s="9">
        <v>2012</v>
      </c>
      <c r="F61" s="44">
        <v>22.08419318727011</v>
      </c>
      <c r="G61" s="3">
        <v>25.74458715236532</v>
      </c>
      <c r="H61" s="3">
        <v>16.884114219022411</v>
      </c>
      <c r="I61" s="3">
        <v>36.568292434875964</v>
      </c>
      <c r="J61" s="38">
        <v>22.695218295218297</v>
      </c>
      <c r="K61" s="69">
        <v>0.97307692307692306</v>
      </c>
      <c r="L61" s="9"/>
      <c r="M61" s="9"/>
      <c r="O61" s="9"/>
    </row>
    <row r="62" spans="1:15" x14ac:dyDescent="0.25">
      <c r="A62" s="9" t="s">
        <v>21</v>
      </c>
      <c r="B62" s="9" t="s">
        <v>28</v>
      </c>
      <c r="C62" s="9" t="s">
        <v>19</v>
      </c>
      <c r="D62" s="9" t="s">
        <v>15</v>
      </c>
      <c r="E62" s="9">
        <v>2012</v>
      </c>
      <c r="F62" s="44">
        <v>9.9953004957620344</v>
      </c>
      <c r="G62" s="3">
        <v>16.198221867129895</v>
      </c>
      <c r="H62" s="3">
        <v>9.2398789603371352</v>
      </c>
      <c r="I62" s="3">
        <v>24.860179614567098</v>
      </c>
      <c r="J62" s="38">
        <v>10.271850311850311</v>
      </c>
      <c r="K62" s="69">
        <v>0.97307692307692306</v>
      </c>
      <c r="L62" s="9"/>
      <c r="M62" s="9"/>
      <c r="O62" s="9"/>
    </row>
    <row r="63" spans="1:15" x14ac:dyDescent="0.25">
      <c r="A63" s="9" t="s">
        <v>21</v>
      </c>
      <c r="B63" s="9" t="s">
        <v>28</v>
      </c>
      <c r="C63" s="9" t="s">
        <v>20</v>
      </c>
      <c r="D63" s="9" t="s">
        <v>15</v>
      </c>
      <c r="E63" s="9">
        <v>2012</v>
      </c>
      <c r="F63" s="44">
        <v>3.2044778506317519E-2</v>
      </c>
      <c r="G63" s="3">
        <v>0.36701727060163619</v>
      </c>
      <c r="H63" s="3">
        <v>2.6922248627263435E-5</v>
      </c>
      <c r="I63" s="3">
        <v>2.1534495918131107</v>
      </c>
      <c r="J63" s="38">
        <v>3.2931392931393501E-2</v>
      </c>
      <c r="K63" s="69">
        <v>0.97307692307692306</v>
      </c>
      <c r="L63" s="9"/>
      <c r="M63" s="9"/>
      <c r="O63" s="9"/>
    </row>
    <row r="64" spans="1:15" x14ac:dyDescent="0.25">
      <c r="A64" s="9" t="s">
        <v>22</v>
      </c>
      <c r="B64" s="9" t="s">
        <v>11</v>
      </c>
      <c r="C64" s="9" t="s">
        <v>11</v>
      </c>
      <c r="D64" s="9" t="s">
        <v>11</v>
      </c>
      <c r="E64" s="9">
        <v>2012</v>
      </c>
      <c r="F64" s="44">
        <v>65.936374100719433</v>
      </c>
      <c r="G64" s="3">
        <v>65.924000000000007</v>
      </c>
      <c r="H64" s="3">
        <v>51</v>
      </c>
      <c r="I64" s="3">
        <v>82</v>
      </c>
      <c r="J64" s="38">
        <v>84.084000000000003</v>
      </c>
      <c r="K64" s="9">
        <v>0.78417266187050361</v>
      </c>
      <c r="L64" s="9"/>
      <c r="M64" s="9"/>
      <c r="O64" s="9"/>
    </row>
    <row r="65" spans="1:15" x14ac:dyDescent="0.25">
      <c r="A65" s="9" t="s">
        <v>22</v>
      </c>
      <c r="B65" s="9" t="s">
        <v>11</v>
      </c>
      <c r="C65" s="9" t="s">
        <v>19</v>
      </c>
      <c r="D65" s="9" t="s">
        <v>11</v>
      </c>
      <c r="E65" s="9">
        <v>2012</v>
      </c>
      <c r="F65" s="44">
        <v>13.800636439685467</v>
      </c>
      <c r="G65" s="3"/>
      <c r="H65" s="3"/>
      <c r="I65" s="3"/>
      <c r="J65" s="38">
        <v>17.598976744186054</v>
      </c>
      <c r="K65" s="9">
        <v>0.78417266187050361</v>
      </c>
      <c r="L65" s="9"/>
      <c r="M65" s="9"/>
      <c r="N65" s="9"/>
      <c r="O65" s="9"/>
    </row>
    <row r="66" spans="1:15" x14ac:dyDescent="0.25">
      <c r="A66" s="9" t="s">
        <v>22</v>
      </c>
      <c r="B66" s="9" t="s">
        <v>24</v>
      </c>
      <c r="C66" s="9" t="s">
        <v>11</v>
      </c>
      <c r="D66" s="9" t="s">
        <v>11</v>
      </c>
      <c r="E66" s="9">
        <v>2012</v>
      </c>
      <c r="F66" s="44">
        <v>39.299825622945363</v>
      </c>
      <c r="G66" s="3"/>
      <c r="H66" s="3"/>
      <c r="I66" s="3"/>
      <c r="J66" s="38">
        <v>50.116291390728492</v>
      </c>
      <c r="K66" s="9">
        <v>0.78417266187050361</v>
      </c>
      <c r="L66" s="9"/>
      <c r="M66" s="9"/>
      <c r="N66" s="9"/>
      <c r="O66" s="9"/>
    </row>
    <row r="67" spans="1:15" x14ac:dyDescent="0.25">
      <c r="A67" s="9" t="s">
        <v>22</v>
      </c>
      <c r="B67" s="9" t="s">
        <v>24</v>
      </c>
      <c r="C67" s="9" t="s">
        <v>31</v>
      </c>
      <c r="D67" s="9" t="s">
        <v>11</v>
      </c>
      <c r="E67" s="9">
        <v>2012</v>
      </c>
      <c r="F67" s="44">
        <v>28.332432425844328</v>
      </c>
      <c r="G67" s="3">
        <v>22.158067912618293</v>
      </c>
      <c r="H67" s="3">
        <v>13.738756590427027</v>
      </c>
      <c r="I67" s="3">
        <v>32.170779791091491</v>
      </c>
      <c r="J67" s="38">
        <v>36.130349607269373</v>
      </c>
      <c r="K67" s="9">
        <v>0.78417266187050361</v>
      </c>
      <c r="L67" s="9"/>
      <c r="M67" s="9"/>
      <c r="N67" s="9"/>
      <c r="O67" s="9"/>
    </row>
    <row r="68" spans="1:15" x14ac:dyDescent="0.25">
      <c r="A68" s="9" t="s">
        <v>22</v>
      </c>
      <c r="B68" s="9" t="s">
        <v>24</v>
      </c>
      <c r="C68" s="9" t="s">
        <v>19</v>
      </c>
      <c r="D68" s="9" t="s">
        <v>11</v>
      </c>
      <c r="E68" s="9">
        <v>2012</v>
      </c>
      <c r="F68" s="44">
        <v>8.2255448978257739</v>
      </c>
      <c r="G68" s="3">
        <v>4.7088377023090322</v>
      </c>
      <c r="H68" s="3">
        <v>1.4327197142276891</v>
      </c>
      <c r="I68" s="3">
        <v>9.8291980280939644</v>
      </c>
      <c r="J68" s="38">
        <v>10.489456337594335</v>
      </c>
      <c r="K68" s="9">
        <v>0.78417266187050361</v>
      </c>
      <c r="L68" s="9"/>
      <c r="M68" s="9"/>
      <c r="N68" s="9"/>
      <c r="O68" s="9"/>
    </row>
    <row r="69" spans="1:15" x14ac:dyDescent="0.25">
      <c r="A69" s="9" t="s">
        <v>22</v>
      </c>
      <c r="B69" s="9" t="s">
        <v>24</v>
      </c>
      <c r="C69" s="9" t="s">
        <v>20</v>
      </c>
      <c r="D69" s="9" t="s">
        <v>11</v>
      </c>
      <c r="E69" s="9">
        <v>2012</v>
      </c>
      <c r="F69" s="44">
        <v>2.7418482992752575</v>
      </c>
      <c r="G69" s="3">
        <v>3.0359168912853765</v>
      </c>
      <c r="H69" s="3">
        <v>0.63445866198992129</v>
      </c>
      <c r="I69" s="3">
        <v>7.2305131818030119</v>
      </c>
      <c r="J69" s="38">
        <v>3.4964854458647778</v>
      </c>
      <c r="K69" s="9">
        <v>0.78417266187050361</v>
      </c>
      <c r="L69" s="9"/>
      <c r="M69" s="9"/>
      <c r="N69" s="9"/>
      <c r="O69" s="9"/>
    </row>
    <row r="70" spans="1:15" x14ac:dyDescent="0.25">
      <c r="A70" s="9" t="s">
        <v>22</v>
      </c>
      <c r="B70" s="9" t="s">
        <v>26</v>
      </c>
      <c r="C70" s="9" t="s">
        <v>31</v>
      </c>
      <c r="D70" s="9" t="s">
        <v>12</v>
      </c>
      <c r="E70" s="9">
        <v>2012</v>
      </c>
      <c r="F70" s="44">
        <v>4.0991604360796048</v>
      </c>
      <c r="G70" s="3">
        <v>4.6638525083338278</v>
      </c>
      <c r="H70" s="3">
        <v>1.4477566252945411</v>
      </c>
      <c r="I70" s="3">
        <v>9.5951711570943417</v>
      </c>
      <c r="J70" s="38">
        <v>5.2273697304134412</v>
      </c>
      <c r="K70" s="9">
        <v>0.78417266187050361</v>
      </c>
      <c r="L70" s="9"/>
      <c r="M70" s="9"/>
      <c r="N70" s="9"/>
      <c r="O70" s="9"/>
    </row>
    <row r="71" spans="1:15" x14ac:dyDescent="0.25">
      <c r="A71" s="9" t="s">
        <v>22</v>
      </c>
      <c r="B71" s="9" t="s">
        <v>26</v>
      </c>
      <c r="C71" s="9" t="s">
        <v>19</v>
      </c>
      <c r="D71" s="9" t="s">
        <v>12</v>
      </c>
      <c r="E71" s="9">
        <v>2012</v>
      </c>
      <c r="F71" s="44">
        <v>1.1900788362811758</v>
      </c>
      <c r="G71" s="3">
        <v>0.97740424500391154</v>
      </c>
      <c r="H71" s="3">
        <v>2.383180575088337E-2</v>
      </c>
      <c r="I71" s="3">
        <v>3.6516849203434876</v>
      </c>
      <c r="J71" s="38">
        <v>1.5176234701200315</v>
      </c>
      <c r="K71" s="9">
        <v>0.78417266187050361</v>
      </c>
      <c r="L71" s="9"/>
      <c r="M71" s="9"/>
      <c r="N71" s="9"/>
      <c r="O71" s="9"/>
    </row>
    <row r="72" spans="1:15" x14ac:dyDescent="0.25">
      <c r="A72" s="9" t="s">
        <v>22</v>
      </c>
      <c r="B72" s="9" t="s">
        <v>26</v>
      </c>
      <c r="C72" s="9" t="s">
        <v>20</v>
      </c>
      <c r="D72" s="9" t="s">
        <v>12</v>
      </c>
      <c r="E72" s="9">
        <v>2012</v>
      </c>
      <c r="F72" s="44">
        <v>0.39669294542705863</v>
      </c>
      <c r="G72" s="3">
        <v>0.65381855029605251</v>
      </c>
      <c r="H72" s="3">
        <v>2.6134502922327005E-3</v>
      </c>
      <c r="I72" s="3">
        <v>2.8878338256085097</v>
      </c>
      <c r="J72" s="38">
        <v>0.5058744900400105</v>
      </c>
      <c r="K72" s="9">
        <v>0.78417266187050361</v>
      </c>
      <c r="L72" s="9"/>
      <c r="M72" s="9"/>
      <c r="N72" s="9"/>
      <c r="O72" s="9"/>
    </row>
    <row r="73" spans="1:15" x14ac:dyDescent="0.25">
      <c r="A73" s="9" t="s">
        <v>22</v>
      </c>
      <c r="B73" s="9" t="s">
        <v>26</v>
      </c>
      <c r="C73" s="9" t="s">
        <v>31</v>
      </c>
      <c r="D73" s="9" t="s">
        <v>15</v>
      </c>
      <c r="E73" s="9">
        <v>2012</v>
      </c>
      <c r="F73" s="44">
        <v>1.5673260490892607</v>
      </c>
      <c r="G73" s="3">
        <v>2.0135134980019531</v>
      </c>
      <c r="H73" s="3">
        <v>0.2423552418225812</v>
      </c>
      <c r="I73" s="3">
        <v>5.6130131578834188</v>
      </c>
      <c r="J73" s="38">
        <v>1.9987001910404334</v>
      </c>
      <c r="K73" s="9">
        <v>0.78417266187050361</v>
      </c>
      <c r="L73" s="9"/>
      <c r="M73" s="9"/>
      <c r="N73" s="9"/>
      <c r="O73" s="9"/>
    </row>
    <row r="74" spans="1:15" x14ac:dyDescent="0.25">
      <c r="A74" s="9" t="s">
        <v>22</v>
      </c>
      <c r="B74" s="9" t="s">
        <v>26</v>
      </c>
      <c r="C74" s="9" t="s">
        <v>19</v>
      </c>
      <c r="D74" s="9" t="s">
        <v>15</v>
      </c>
      <c r="E74" s="9">
        <v>2012</v>
      </c>
      <c r="F74" s="44">
        <v>0.45503014328397889</v>
      </c>
      <c r="G74" s="3">
        <v>0.43563114416650472</v>
      </c>
      <c r="H74" s="3">
        <v>1.5441230819125671E-4</v>
      </c>
      <c r="I74" s="3">
        <v>2.4154720153551335</v>
      </c>
      <c r="J74" s="38">
        <v>0.58026779739883549</v>
      </c>
      <c r="K74" s="9">
        <v>0.78417266187050361</v>
      </c>
      <c r="L74" s="9"/>
      <c r="M74" s="9"/>
      <c r="N74" s="9"/>
      <c r="O74" s="9"/>
    </row>
    <row r="75" spans="1:15" x14ac:dyDescent="0.25">
      <c r="A75" s="9" t="s">
        <v>22</v>
      </c>
      <c r="B75" s="9" t="s">
        <v>26</v>
      </c>
      <c r="C75" s="9" t="s">
        <v>20</v>
      </c>
      <c r="D75" s="9" t="s">
        <v>15</v>
      </c>
      <c r="E75" s="9">
        <v>2012</v>
      </c>
      <c r="F75" s="44">
        <v>0.15167671442799299</v>
      </c>
      <c r="G75" s="3">
        <v>0.2766344437107236</v>
      </c>
      <c r="H75" s="3">
        <v>9.8322544281727407E-7</v>
      </c>
      <c r="I75" s="3">
        <v>1.8662583506544783</v>
      </c>
      <c r="J75" s="38">
        <v>0.19342259913294518</v>
      </c>
      <c r="K75" s="9">
        <v>0.78417266187050361</v>
      </c>
      <c r="L75" s="9"/>
      <c r="M75" s="9"/>
      <c r="N75" s="9"/>
      <c r="O75" s="9"/>
    </row>
    <row r="76" spans="1:15" x14ac:dyDescent="0.25">
      <c r="A76" s="9" t="s">
        <v>22</v>
      </c>
      <c r="B76" s="9" t="s">
        <v>27</v>
      </c>
      <c r="C76" s="9" t="s">
        <v>31</v>
      </c>
      <c r="D76" s="9" t="s">
        <v>11</v>
      </c>
      <c r="E76" s="9">
        <v>2012</v>
      </c>
      <c r="F76" s="44">
        <v>4.4072672662424512</v>
      </c>
      <c r="G76" s="3">
        <v>7.0087852500208658</v>
      </c>
      <c r="H76" s="3">
        <v>2.8717037332569548</v>
      </c>
      <c r="I76" s="3">
        <v>13.028678356276279</v>
      </c>
      <c r="J76" s="38">
        <v>5.6202766055752358</v>
      </c>
      <c r="K76" s="9">
        <v>0.78417266187050361</v>
      </c>
      <c r="L76" s="9"/>
      <c r="M76" s="9"/>
      <c r="N76" s="9"/>
      <c r="O76" s="9"/>
    </row>
    <row r="77" spans="1:15" x14ac:dyDescent="0.25">
      <c r="A77" s="9" t="s">
        <v>22</v>
      </c>
      <c r="B77" s="9" t="s">
        <v>27</v>
      </c>
      <c r="C77" s="9" t="s">
        <v>19</v>
      </c>
      <c r="D77" s="9" t="s">
        <v>11</v>
      </c>
      <c r="E77" s="9">
        <v>2012</v>
      </c>
      <c r="F77" s="44">
        <v>1.2795292063284538</v>
      </c>
      <c r="G77" s="3">
        <v>1.4927658706528724</v>
      </c>
      <c r="H77" s="3">
        <v>0.1103880387468212</v>
      </c>
      <c r="I77" s="3">
        <v>4.6383470208802464</v>
      </c>
      <c r="J77" s="38">
        <v>1.63169320807023</v>
      </c>
      <c r="K77" s="9">
        <v>0.78417266187050361</v>
      </c>
      <c r="L77" s="9"/>
      <c r="M77" s="9"/>
      <c r="N77" s="9"/>
      <c r="O77" s="9"/>
    </row>
    <row r="78" spans="1:15" x14ac:dyDescent="0.25">
      <c r="A78" s="9" t="s">
        <v>22</v>
      </c>
      <c r="B78" s="9" t="s">
        <v>27</v>
      </c>
      <c r="C78" s="9" t="s">
        <v>20</v>
      </c>
      <c r="D78" s="9" t="s">
        <v>11</v>
      </c>
      <c r="E78" s="9">
        <v>2012</v>
      </c>
      <c r="F78" s="44">
        <v>0.42650973544281778</v>
      </c>
      <c r="G78" s="3">
        <v>0.97178568974471879</v>
      </c>
      <c r="H78" s="3">
        <v>2.3594122984722413E-2</v>
      </c>
      <c r="I78" s="3">
        <v>3.7059487201369219</v>
      </c>
      <c r="J78" s="38">
        <v>0.54389773602340985</v>
      </c>
      <c r="K78" s="9">
        <v>0.78417266187050361</v>
      </c>
      <c r="L78" s="9"/>
      <c r="M78" s="9"/>
      <c r="N78" s="9"/>
      <c r="O78" s="9"/>
    </row>
    <row r="79" spans="1:15" x14ac:dyDescent="0.25">
      <c r="A79" s="9" t="s">
        <v>22</v>
      </c>
      <c r="B79" s="9" t="s">
        <v>28</v>
      </c>
      <c r="C79" s="9" t="s">
        <v>31</v>
      </c>
      <c r="D79" s="9" t="s">
        <v>12</v>
      </c>
      <c r="E79" s="9">
        <v>2012</v>
      </c>
      <c r="F79" s="44">
        <v>6.6042029247949197</v>
      </c>
      <c r="G79" s="3">
        <v>9.0432694950826722</v>
      </c>
      <c r="H79" s="3">
        <v>4.2035695079980293</v>
      </c>
      <c r="I79" s="3">
        <v>15.785169320490155</v>
      </c>
      <c r="J79" s="38">
        <v>8.4218734545549889</v>
      </c>
      <c r="K79" s="9">
        <v>0.78417266187050361</v>
      </c>
      <c r="L79" s="9"/>
      <c r="M79" s="9"/>
      <c r="N79" s="9"/>
      <c r="O79" s="9"/>
    </row>
    <row r="80" spans="1:15" x14ac:dyDescent="0.25">
      <c r="A80" s="9" t="s">
        <v>22</v>
      </c>
      <c r="B80" s="9" t="s">
        <v>28</v>
      </c>
      <c r="C80" s="9" t="s">
        <v>19</v>
      </c>
      <c r="D80" s="9" t="s">
        <v>12</v>
      </c>
      <c r="E80" s="9">
        <v>2012</v>
      </c>
      <c r="F80" s="44">
        <v>1.9173492362307831</v>
      </c>
      <c r="G80" s="3">
        <v>1.9537718338050312</v>
      </c>
      <c r="H80" s="3">
        <v>0.21661152197992486</v>
      </c>
      <c r="I80" s="3">
        <v>5.6344196288956852</v>
      </c>
      <c r="J80" s="38">
        <v>2.445060035193384</v>
      </c>
      <c r="K80" s="9">
        <v>0.78417266187050361</v>
      </c>
      <c r="L80" s="9"/>
      <c r="M80" s="9"/>
      <c r="N80" s="9"/>
      <c r="O80" s="9"/>
    </row>
    <row r="81" spans="1:15" x14ac:dyDescent="0.25">
      <c r="A81" s="9" t="s">
        <v>22</v>
      </c>
      <c r="B81" s="9" t="s">
        <v>28</v>
      </c>
      <c r="C81" s="9" t="s">
        <v>20</v>
      </c>
      <c r="D81" s="9" t="s">
        <v>12</v>
      </c>
      <c r="E81" s="9">
        <v>2012</v>
      </c>
      <c r="F81" s="44">
        <v>0.63911641207692771</v>
      </c>
      <c r="G81" s="3">
        <v>1.2234230317196697</v>
      </c>
      <c r="H81" s="3">
        <v>5.8580359613866893E-2</v>
      </c>
      <c r="I81" s="3">
        <v>4.0808884846296909</v>
      </c>
      <c r="J81" s="38">
        <v>0.81502001173112804</v>
      </c>
      <c r="K81" s="9">
        <v>0.78417266187050361</v>
      </c>
      <c r="L81" s="9"/>
      <c r="M81" s="9"/>
      <c r="N81" s="9"/>
      <c r="O81" s="9"/>
    </row>
    <row r="82" spans="1:15" x14ac:dyDescent="0.25">
      <c r="A82" s="9" t="s">
        <v>22</v>
      </c>
      <c r="B82" s="9" t="s">
        <v>28</v>
      </c>
      <c r="C82" s="9" t="s">
        <v>31</v>
      </c>
      <c r="D82" s="9" t="s">
        <v>15</v>
      </c>
      <c r="E82" s="9">
        <v>2012</v>
      </c>
      <c r="F82" s="44">
        <v>2.5251364124215874</v>
      </c>
      <c r="G82" s="3">
        <v>3.9344708234297983</v>
      </c>
      <c r="H82" s="3">
        <v>1.0520175511460359</v>
      </c>
      <c r="I82" s="3">
        <v>8.6389948288736775</v>
      </c>
      <c r="J82" s="38">
        <v>3.2201280855651433</v>
      </c>
      <c r="K82" s="9">
        <v>0.78417266187050361</v>
      </c>
      <c r="L82" s="9"/>
      <c r="M82" s="9"/>
      <c r="N82" s="9"/>
      <c r="O82" s="9"/>
    </row>
    <row r="83" spans="1:15" x14ac:dyDescent="0.25">
      <c r="A83" s="9" t="s">
        <v>22</v>
      </c>
      <c r="B83" s="9" t="s">
        <v>28</v>
      </c>
      <c r="C83" s="9" t="s">
        <v>19</v>
      </c>
      <c r="D83" s="9" t="s">
        <v>15</v>
      </c>
      <c r="E83" s="9">
        <v>2012</v>
      </c>
      <c r="F83" s="44">
        <v>0.73310411973529954</v>
      </c>
      <c r="G83" s="3">
        <v>0.84308590657457094</v>
      </c>
      <c r="H83" s="3">
        <v>1.1142321772380568E-2</v>
      </c>
      <c r="I83" s="3">
        <v>3.3208306088796067</v>
      </c>
      <c r="J83" s="38">
        <v>0.93487589580923514</v>
      </c>
      <c r="K83" s="9">
        <v>0.78417266187050361</v>
      </c>
      <c r="L83" s="9"/>
      <c r="M83" s="9"/>
      <c r="N83" s="9"/>
      <c r="O83" s="9"/>
    </row>
    <row r="84" spans="1:15" ht="15.75" thickBot="1" x14ac:dyDescent="0.3">
      <c r="A84" s="6" t="s">
        <v>22</v>
      </c>
      <c r="B84" s="6" t="s">
        <v>28</v>
      </c>
      <c r="C84" s="6" t="s">
        <v>20</v>
      </c>
      <c r="D84" s="6" t="s">
        <v>15</v>
      </c>
      <c r="E84" s="6">
        <v>2012</v>
      </c>
      <c r="F84" s="45">
        <v>0.24436803991176648</v>
      </c>
      <c r="G84" s="12">
        <v>0.52896520324412544</v>
      </c>
      <c r="H84" s="12">
        <v>8.7689348536903653E-4</v>
      </c>
      <c r="I84" s="12">
        <v>2.5468966536338105</v>
      </c>
      <c r="J84" s="65">
        <v>0.31162529860307836</v>
      </c>
      <c r="K84" s="6">
        <v>0.78417266187050361</v>
      </c>
      <c r="L84" s="6"/>
      <c r="M84" s="6"/>
      <c r="N84" s="6"/>
      <c r="O84" s="9"/>
    </row>
    <row r="85" spans="1:15" x14ac:dyDescent="0.25">
      <c r="A85" s="9" t="s">
        <v>10</v>
      </c>
      <c r="B85" s="9" t="s">
        <v>11</v>
      </c>
      <c r="C85" s="9" t="s">
        <v>11</v>
      </c>
      <c r="D85" s="9" t="s">
        <v>11</v>
      </c>
      <c r="E85" s="9">
        <v>2013</v>
      </c>
      <c r="F85" s="44">
        <v>6781.4140673598149</v>
      </c>
      <c r="G85" s="3">
        <v>6782.9372999999996</v>
      </c>
      <c r="H85" s="3">
        <v>6620</v>
      </c>
      <c r="I85" s="3">
        <v>6945</v>
      </c>
      <c r="J85" s="9">
        <v>7105</v>
      </c>
      <c r="K85" s="9">
        <v>0.95445658935395006</v>
      </c>
      <c r="L85" s="9"/>
      <c r="M85" s="9"/>
      <c r="N85" s="9"/>
      <c r="O85" s="9"/>
    </row>
    <row r="86" spans="1:15" x14ac:dyDescent="0.25">
      <c r="A86" s="9" t="s">
        <v>10</v>
      </c>
      <c r="B86" s="9" t="s">
        <v>24</v>
      </c>
      <c r="C86" s="9" t="s">
        <v>31</v>
      </c>
      <c r="D86" s="9" t="s">
        <v>11</v>
      </c>
      <c r="E86" s="9">
        <v>2013</v>
      </c>
      <c r="F86" s="44">
        <v>3751.9688527503777</v>
      </c>
      <c r="G86" s="3">
        <v>3753.0936409525198</v>
      </c>
      <c r="H86" s="3">
        <v>3629.8536579532552</v>
      </c>
      <c r="I86" s="3">
        <v>3874.6261384977756</v>
      </c>
      <c r="J86" s="9">
        <f>4876-J87-J88</f>
        <v>3931</v>
      </c>
      <c r="K86" s="9">
        <v>0.95445658935395006</v>
      </c>
      <c r="L86" s="9"/>
      <c r="M86" s="9"/>
      <c r="O86" s="9"/>
    </row>
    <row r="87" spans="1:15" x14ac:dyDescent="0.25">
      <c r="A87" s="9" t="s">
        <v>10</v>
      </c>
      <c r="B87" s="9" t="s">
        <v>24</v>
      </c>
      <c r="C87" s="9" t="s">
        <v>19</v>
      </c>
      <c r="D87" s="9" t="s">
        <v>11</v>
      </c>
      <c r="E87" s="9">
        <v>2013</v>
      </c>
      <c r="F87" s="44">
        <v>390.37274504576556</v>
      </c>
      <c r="G87" s="3">
        <v>390.39384263691312</v>
      </c>
      <c r="H87" s="3">
        <v>351.93562415003612</v>
      </c>
      <c r="I87" s="3">
        <v>429.95959062088542</v>
      </c>
      <c r="J87" s="9">
        <v>409</v>
      </c>
      <c r="K87" s="9">
        <v>0.95445658935395006</v>
      </c>
      <c r="L87" s="9"/>
      <c r="M87" s="9"/>
      <c r="O87" s="9"/>
    </row>
    <row r="88" spans="1:15" x14ac:dyDescent="0.25">
      <c r="A88" s="9" t="s">
        <v>10</v>
      </c>
      <c r="B88" s="9" t="s">
        <v>24</v>
      </c>
      <c r="C88" s="9" t="s">
        <v>20</v>
      </c>
      <c r="D88" s="9" t="s">
        <v>11</v>
      </c>
      <c r="E88" s="9">
        <v>2013</v>
      </c>
      <c r="F88" s="44">
        <v>511.58873189371724</v>
      </c>
      <c r="G88" s="3">
        <v>511.91175708172347</v>
      </c>
      <c r="H88" s="3">
        <v>468.74069239366378</v>
      </c>
      <c r="I88" s="3">
        <v>556.67571405742331</v>
      </c>
      <c r="J88" s="9">
        <v>536</v>
      </c>
      <c r="K88" s="9">
        <v>0.95445658935395006</v>
      </c>
      <c r="L88" s="9"/>
      <c r="M88" s="9"/>
      <c r="O88" s="9"/>
    </row>
    <row r="89" spans="1:15" x14ac:dyDescent="0.25">
      <c r="A89" s="9" t="s">
        <v>10</v>
      </c>
      <c r="B89" s="9" t="s">
        <v>26</v>
      </c>
      <c r="C89" s="9" t="s">
        <v>11</v>
      </c>
      <c r="D89" s="9" t="s">
        <v>11</v>
      </c>
      <c r="E89" s="9">
        <v>2013</v>
      </c>
      <c r="F89" s="44">
        <v>300.65382564649428</v>
      </c>
      <c r="G89" s="3"/>
      <c r="H89" s="3"/>
      <c r="I89" s="3"/>
      <c r="J89" s="9">
        <f>SUM(J90:J95)</f>
        <v>315</v>
      </c>
      <c r="K89" s="9">
        <v>0.95445658935395006</v>
      </c>
      <c r="L89" s="9"/>
      <c r="M89" s="9"/>
      <c r="O89" s="9"/>
    </row>
    <row r="90" spans="1:15" x14ac:dyDescent="0.25">
      <c r="A90" s="9" t="s">
        <v>10</v>
      </c>
      <c r="B90" s="9" t="s">
        <v>26</v>
      </c>
      <c r="C90" s="9" t="s">
        <v>31</v>
      </c>
      <c r="D90" s="9" t="s">
        <v>12</v>
      </c>
      <c r="E90" s="9">
        <v>2013</v>
      </c>
      <c r="F90" s="44">
        <v>119.30707366924376</v>
      </c>
      <c r="G90" s="3">
        <v>119.38166930505994</v>
      </c>
      <c r="H90" s="3">
        <v>99.104568793152126</v>
      </c>
      <c r="I90" s="3">
        <v>141.97901048267912</v>
      </c>
      <c r="J90" s="9">
        <f>208-J91-J92</f>
        <v>125</v>
      </c>
      <c r="K90" s="9">
        <v>0.95445658935395006</v>
      </c>
      <c r="L90" s="9"/>
      <c r="M90" s="9"/>
      <c r="O90" s="9"/>
    </row>
    <row r="91" spans="1:15" x14ac:dyDescent="0.25">
      <c r="A91" s="9" t="s">
        <v>10</v>
      </c>
      <c r="B91" s="9" t="s">
        <v>26</v>
      </c>
      <c r="C91" s="9" t="s">
        <v>19</v>
      </c>
      <c r="D91" s="9" t="s">
        <v>12</v>
      </c>
      <c r="E91" s="9">
        <v>2013</v>
      </c>
      <c r="F91" s="44">
        <v>48.677286057051454</v>
      </c>
      <c r="G91" s="3">
        <v>48.798433201982057</v>
      </c>
      <c r="H91" s="3">
        <v>36.039293198737376</v>
      </c>
      <c r="I91" s="3">
        <v>63.898189054222371</v>
      </c>
      <c r="J91" s="9">
        <v>51</v>
      </c>
      <c r="K91" s="9">
        <v>0.95445658935395006</v>
      </c>
      <c r="L91" s="9"/>
      <c r="M91" s="9"/>
      <c r="O91" s="9"/>
    </row>
    <row r="92" spans="1:15" x14ac:dyDescent="0.25">
      <c r="A92" s="9" t="s">
        <v>10</v>
      </c>
      <c r="B92" s="9" t="s">
        <v>26</v>
      </c>
      <c r="C92" s="9" t="s">
        <v>20</v>
      </c>
      <c r="D92" s="9" t="s">
        <v>12</v>
      </c>
      <c r="E92" s="9">
        <v>2013</v>
      </c>
      <c r="F92" s="44">
        <v>30.542610859326402</v>
      </c>
      <c r="G92" s="3">
        <v>30.518400693336719</v>
      </c>
      <c r="H92" s="3">
        <v>20.585893676143034</v>
      </c>
      <c r="I92" s="3">
        <v>42.026122705976768</v>
      </c>
      <c r="J92" s="11">
        <v>32</v>
      </c>
      <c r="K92" s="9">
        <v>0.95445658935395006</v>
      </c>
      <c r="L92" s="9"/>
      <c r="M92" s="9"/>
      <c r="O92" s="9"/>
    </row>
    <row r="93" spans="1:15" x14ac:dyDescent="0.25">
      <c r="A93" s="9" t="s">
        <v>10</v>
      </c>
      <c r="B93" s="9" t="s">
        <v>26</v>
      </c>
      <c r="C93" s="9" t="s">
        <v>31</v>
      </c>
      <c r="D93" s="9" t="s">
        <v>15</v>
      </c>
      <c r="E93" s="9">
        <v>2013</v>
      </c>
      <c r="F93" s="44">
        <v>66.811961254776506</v>
      </c>
      <c r="G93" s="3">
        <v>66.746807963792932</v>
      </c>
      <c r="H93" s="3">
        <v>51.547322682373853</v>
      </c>
      <c r="I93" s="3">
        <v>83.914890163973553</v>
      </c>
      <c r="J93" s="9">
        <f>107-J94-J95</f>
        <v>70</v>
      </c>
      <c r="K93" s="9">
        <v>0.95445658935395006</v>
      </c>
      <c r="L93" s="9"/>
      <c r="M93" s="9"/>
      <c r="O93" s="9"/>
    </row>
    <row r="94" spans="1:15" x14ac:dyDescent="0.25">
      <c r="A94" s="9" t="s">
        <v>10</v>
      </c>
      <c r="B94" s="9" t="s">
        <v>26</v>
      </c>
      <c r="C94" s="9" t="s">
        <v>19</v>
      </c>
      <c r="D94" s="9" t="s">
        <v>15</v>
      </c>
      <c r="E94" s="9">
        <v>2013</v>
      </c>
      <c r="F94" s="44">
        <v>30.542610859326402</v>
      </c>
      <c r="G94" s="3">
        <v>30.573838151640896</v>
      </c>
      <c r="H94" s="3">
        <v>20.907374428034302</v>
      </c>
      <c r="I94" s="3">
        <v>42.257622118922654</v>
      </c>
      <c r="J94" s="9">
        <v>32</v>
      </c>
      <c r="K94" s="9">
        <v>0.95445658935395006</v>
      </c>
      <c r="L94" s="9"/>
      <c r="M94" s="9"/>
      <c r="O94" s="9"/>
    </row>
    <row r="95" spans="1:15" x14ac:dyDescent="0.25">
      <c r="A95" s="9" t="s">
        <v>10</v>
      </c>
      <c r="B95" s="9" t="s">
        <v>26</v>
      </c>
      <c r="C95" s="9" t="s">
        <v>20</v>
      </c>
      <c r="D95" s="9" t="s">
        <v>15</v>
      </c>
      <c r="E95" s="9">
        <v>2013</v>
      </c>
      <c r="F95" s="44">
        <v>4.7722829467697503</v>
      </c>
      <c r="G95" s="3">
        <v>4.7748813822539686</v>
      </c>
      <c r="H95" s="3">
        <v>1.5190580327960497</v>
      </c>
      <c r="I95" s="3">
        <v>9.9056291064806139</v>
      </c>
      <c r="J95" s="11">
        <v>5</v>
      </c>
      <c r="K95" s="9">
        <v>0.95445658935395006</v>
      </c>
      <c r="L95" s="9"/>
      <c r="M95" s="9"/>
      <c r="O95" s="9"/>
    </row>
    <row r="96" spans="1:15" x14ac:dyDescent="0.25">
      <c r="A96" s="9" t="s">
        <v>10</v>
      </c>
      <c r="B96" s="9" t="s">
        <v>27</v>
      </c>
      <c r="C96" s="9" t="s">
        <v>11</v>
      </c>
      <c r="D96" s="9" t="s">
        <v>11</v>
      </c>
      <c r="E96" s="9">
        <v>2013</v>
      </c>
      <c r="F96" s="44">
        <v>598.44428152492674</v>
      </c>
      <c r="G96" s="3"/>
      <c r="H96" s="3"/>
      <c r="I96" s="3"/>
      <c r="J96" s="11">
        <f>SUM(J97:J99)</f>
        <v>627</v>
      </c>
      <c r="K96" s="9">
        <v>0.95445658935395006</v>
      </c>
      <c r="L96" s="9"/>
      <c r="M96" s="9"/>
      <c r="O96" s="9"/>
    </row>
    <row r="97" spans="1:15" x14ac:dyDescent="0.25">
      <c r="A97" s="9" t="s">
        <v>10</v>
      </c>
      <c r="B97" s="9" t="s">
        <v>27</v>
      </c>
      <c r="C97" s="9" t="s">
        <v>31</v>
      </c>
      <c r="D97" s="9" t="s">
        <v>11</v>
      </c>
      <c r="E97" s="9">
        <v>2013</v>
      </c>
      <c r="F97" s="44">
        <v>504.9075357682396</v>
      </c>
      <c r="G97" s="3">
        <v>504.8249867239777</v>
      </c>
      <c r="H97" s="3">
        <v>460.78151249759878</v>
      </c>
      <c r="I97" s="3">
        <v>550.08487733278685</v>
      </c>
      <c r="J97" s="9">
        <f>627-J98-J99</f>
        <v>529</v>
      </c>
      <c r="K97" s="9">
        <v>0.95445658935395006</v>
      </c>
      <c r="L97" s="9"/>
      <c r="M97" s="9"/>
      <c r="O97" s="9"/>
    </row>
    <row r="98" spans="1:15" x14ac:dyDescent="0.25">
      <c r="A98" s="9" t="s">
        <v>10</v>
      </c>
      <c r="B98" s="9" t="s">
        <v>27</v>
      </c>
      <c r="C98" s="9" t="s">
        <v>19</v>
      </c>
      <c r="D98" s="9" t="s">
        <v>11</v>
      </c>
      <c r="E98" s="9">
        <v>2013</v>
      </c>
      <c r="F98" s="44">
        <v>41.041633342219853</v>
      </c>
      <c r="G98" s="3">
        <v>41.011585699682783</v>
      </c>
      <c r="H98" s="3">
        <v>29.295487966240611</v>
      </c>
      <c r="I98" s="3">
        <v>54.570361955297841</v>
      </c>
      <c r="J98" s="11">
        <v>43</v>
      </c>
      <c r="K98" s="9">
        <v>0.95445658935395006</v>
      </c>
      <c r="L98" s="9"/>
      <c r="M98" s="9"/>
      <c r="O98" s="9"/>
    </row>
    <row r="99" spans="1:15" x14ac:dyDescent="0.25">
      <c r="A99" s="9" t="s">
        <v>10</v>
      </c>
      <c r="B99" s="9" t="s">
        <v>27</v>
      </c>
      <c r="C99" s="9" t="s">
        <v>20</v>
      </c>
      <c r="D99" s="9" t="s">
        <v>11</v>
      </c>
      <c r="E99" s="9">
        <v>2013</v>
      </c>
      <c r="F99" s="44">
        <v>52.495112414467251</v>
      </c>
      <c r="G99" s="3">
        <v>52.512969240494591</v>
      </c>
      <c r="H99" s="3">
        <v>39.290827443713511</v>
      </c>
      <c r="I99" s="3">
        <v>67.569459232142904</v>
      </c>
      <c r="J99" s="11">
        <v>55</v>
      </c>
      <c r="K99" s="9">
        <v>0.95445658935395006</v>
      </c>
      <c r="L99" s="9"/>
      <c r="M99" s="9"/>
      <c r="O99" s="9"/>
    </row>
    <row r="100" spans="1:15" x14ac:dyDescent="0.25">
      <c r="A100" s="9" t="s">
        <v>10</v>
      </c>
      <c r="B100" s="9" t="s">
        <v>28</v>
      </c>
      <c r="C100" s="9" t="s">
        <v>31</v>
      </c>
      <c r="D100" s="9" t="s">
        <v>12</v>
      </c>
      <c r="E100" s="9">
        <v>2013</v>
      </c>
      <c r="F100" s="44">
        <v>214.75273260463877</v>
      </c>
      <c r="G100" s="3">
        <v>214.84792050234296</v>
      </c>
      <c r="H100" s="3">
        <v>187.66861014868624</v>
      </c>
      <c r="I100" s="3">
        <v>244.62321306299765</v>
      </c>
      <c r="J100" s="9">
        <f>6341-J101-J102-J96-SUM(J90:J92)-SUM(J86:J88)</f>
        <v>225</v>
      </c>
      <c r="K100" s="9">
        <v>0.95445658935395006</v>
      </c>
      <c r="L100" s="9"/>
      <c r="M100" s="9"/>
      <c r="O100" s="9"/>
    </row>
    <row r="101" spans="1:15" x14ac:dyDescent="0.25">
      <c r="A101" s="9" t="s">
        <v>10</v>
      </c>
      <c r="B101" s="9" t="s">
        <v>28</v>
      </c>
      <c r="C101" s="9" t="s">
        <v>19</v>
      </c>
      <c r="D101" s="9" t="s">
        <v>12</v>
      </c>
      <c r="E101" s="9">
        <v>2013</v>
      </c>
      <c r="F101" s="44">
        <v>287.29143339553895</v>
      </c>
      <c r="G101" s="3">
        <v>287.4920682429854</v>
      </c>
      <c r="H101" s="3">
        <v>254.90956711332163</v>
      </c>
      <c r="I101" s="3">
        <v>322.14523002581331</v>
      </c>
      <c r="J101" s="9">
        <f>804-J98-J91-J87</f>
        <v>301</v>
      </c>
      <c r="K101" s="9">
        <v>0.95445658935395006</v>
      </c>
      <c r="L101" s="9"/>
      <c r="M101" s="9"/>
      <c r="O101" s="9"/>
    </row>
    <row r="102" spans="1:15" x14ac:dyDescent="0.25">
      <c r="A102" s="9" t="s">
        <v>10</v>
      </c>
      <c r="B102" s="9" t="s">
        <v>28</v>
      </c>
      <c r="C102" s="9" t="s">
        <v>20</v>
      </c>
      <c r="D102" s="9" t="s">
        <v>12</v>
      </c>
      <c r="E102" s="9">
        <v>2013</v>
      </c>
      <c r="F102" s="44">
        <v>99.263485292810799</v>
      </c>
      <c r="G102" s="3">
        <v>99.190055808923063</v>
      </c>
      <c r="H102" s="3">
        <v>80.631436776928027</v>
      </c>
      <c r="I102" s="3">
        <v>119.90584122700727</v>
      </c>
      <c r="J102" s="9">
        <f>727-J99-J92-J88</f>
        <v>104</v>
      </c>
      <c r="K102" s="9">
        <v>0.95445658935395006</v>
      </c>
      <c r="L102" s="9"/>
      <c r="M102" s="9"/>
      <c r="O102" s="9"/>
    </row>
    <row r="103" spans="1:15" x14ac:dyDescent="0.25">
      <c r="A103" s="9" t="s">
        <v>10</v>
      </c>
      <c r="B103" s="9" t="s">
        <v>28</v>
      </c>
      <c r="C103" s="9" t="s">
        <v>31</v>
      </c>
      <c r="D103" s="9" t="s">
        <v>15</v>
      </c>
      <c r="E103" s="9">
        <v>2013</v>
      </c>
      <c r="F103" s="44">
        <v>218.57055896205458</v>
      </c>
      <c r="G103" s="3">
        <v>218.52161794158826</v>
      </c>
      <c r="H103" s="3">
        <v>190.22772896896089</v>
      </c>
      <c r="I103" s="3">
        <v>248.1422984797087</v>
      </c>
      <c r="J103" s="9">
        <f>764-J104-J105-SUM(J93:J95)</f>
        <v>229</v>
      </c>
      <c r="K103" s="9">
        <v>0.95445658935395006</v>
      </c>
      <c r="L103" s="9"/>
      <c r="M103" s="9"/>
      <c r="O103" s="9"/>
    </row>
    <row r="104" spans="1:15" x14ac:dyDescent="0.25">
      <c r="A104" s="9" t="s">
        <v>10</v>
      </c>
      <c r="B104" s="9" t="s">
        <v>28</v>
      </c>
      <c r="C104" s="9" t="s">
        <v>19</v>
      </c>
      <c r="D104" s="9" t="s">
        <v>15</v>
      </c>
      <c r="E104" s="9">
        <v>2013</v>
      </c>
      <c r="F104" s="44">
        <v>354.10339465031547</v>
      </c>
      <c r="G104" s="3">
        <v>353.95992658813526</v>
      </c>
      <c r="H104" s="3">
        <v>317.98893535177672</v>
      </c>
      <c r="I104" s="3">
        <v>390.81633019398237</v>
      </c>
      <c r="J104" s="9">
        <f>403-J94</f>
        <v>371</v>
      </c>
      <c r="K104" s="9">
        <v>0.95445658935395006</v>
      </c>
      <c r="L104" s="9"/>
      <c r="M104" s="9"/>
      <c r="O104" s="9"/>
    </row>
    <row r="105" spans="1:15" x14ac:dyDescent="0.25">
      <c r="A105" s="9" t="s">
        <v>10</v>
      </c>
      <c r="B105" s="9" t="s">
        <v>28</v>
      </c>
      <c r="C105" s="9" t="s">
        <v>20</v>
      </c>
      <c r="D105" s="9" t="s">
        <v>15</v>
      </c>
      <c r="E105" s="9">
        <v>2013</v>
      </c>
      <c r="F105" s="44">
        <v>54.404025593175156</v>
      </c>
      <c r="G105" s="3">
        <v>54.382897882647221</v>
      </c>
      <c r="H105" s="3">
        <v>40.846957076170426</v>
      </c>
      <c r="I105" s="3">
        <v>69.743044499575234</v>
      </c>
      <c r="J105" s="9">
        <f>62-J95</f>
        <v>57</v>
      </c>
      <c r="K105" s="9">
        <v>0.95445658935395006</v>
      </c>
      <c r="L105" s="9"/>
      <c r="M105" s="9"/>
      <c r="O105" s="9"/>
    </row>
    <row r="106" spans="1:15" x14ac:dyDescent="0.25">
      <c r="A106" s="9" t="s">
        <v>21</v>
      </c>
      <c r="B106" s="9" t="s">
        <v>11</v>
      </c>
      <c r="C106" s="9" t="s">
        <v>11</v>
      </c>
      <c r="D106" s="9" t="s">
        <v>11</v>
      </c>
      <c r="E106" s="9">
        <v>2013</v>
      </c>
      <c r="F106" s="44">
        <v>0</v>
      </c>
      <c r="G106" s="3">
        <v>243.05690000000001</v>
      </c>
      <c r="H106" s="3">
        <v>213</v>
      </c>
      <c r="I106" s="3">
        <v>274</v>
      </c>
      <c r="J106" s="69"/>
      <c r="K106" s="69">
        <v>0.97839506172839508</v>
      </c>
      <c r="L106" s="9"/>
      <c r="M106" s="9"/>
      <c r="O106" s="9"/>
    </row>
    <row r="107" spans="1:15" x14ac:dyDescent="0.25">
      <c r="A107" s="9" t="s">
        <v>21</v>
      </c>
      <c r="B107" s="9" t="s">
        <v>11</v>
      </c>
      <c r="C107" s="9" t="s">
        <v>19</v>
      </c>
      <c r="D107" s="9" t="s">
        <v>11</v>
      </c>
      <c r="E107" s="9">
        <v>2013</v>
      </c>
      <c r="F107" s="44">
        <v>0</v>
      </c>
      <c r="G107" s="3"/>
      <c r="H107" s="3"/>
      <c r="I107" s="3"/>
      <c r="J107" s="69"/>
      <c r="K107" s="69">
        <v>0.97839506172839508</v>
      </c>
      <c r="L107" s="9"/>
      <c r="M107" s="9"/>
      <c r="O107" s="9"/>
    </row>
    <row r="108" spans="1:15" x14ac:dyDescent="0.25">
      <c r="A108" s="9" t="s">
        <v>21</v>
      </c>
      <c r="B108" s="9" t="s">
        <v>24</v>
      </c>
      <c r="C108" s="9" t="s">
        <v>11</v>
      </c>
      <c r="D108" s="9" t="s">
        <v>11</v>
      </c>
      <c r="E108" s="9">
        <v>2013</v>
      </c>
      <c r="F108" s="44">
        <v>0</v>
      </c>
      <c r="G108" s="3"/>
      <c r="H108" s="3"/>
      <c r="I108" s="3"/>
      <c r="J108" s="69"/>
      <c r="K108" s="69">
        <v>0.97839506172839508</v>
      </c>
      <c r="L108" s="9"/>
      <c r="M108" s="9"/>
      <c r="O108" s="9"/>
    </row>
    <row r="109" spans="1:15" x14ac:dyDescent="0.25">
      <c r="A109" s="9" t="s">
        <v>21</v>
      </c>
      <c r="B109" s="9" t="s">
        <v>24</v>
      </c>
      <c r="C109" s="11" t="s">
        <v>31</v>
      </c>
      <c r="D109" s="9" t="s">
        <v>11</v>
      </c>
      <c r="E109" s="9">
        <v>2013</v>
      </c>
      <c r="F109" s="44">
        <v>107.0945945945946</v>
      </c>
      <c r="G109" s="3">
        <v>113.16610946853088</v>
      </c>
      <c r="H109" s="3">
        <v>93.330303713007581</v>
      </c>
      <c r="I109" s="3">
        <v>134.73451521518493</v>
      </c>
      <c r="J109" s="38">
        <v>109.45945945945945</v>
      </c>
      <c r="K109" s="69">
        <v>0.97839506172839508</v>
      </c>
      <c r="L109" s="9"/>
      <c r="M109" s="9"/>
      <c r="O109" s="9"/>
    </row>
    <row r="110" spans="1:15" x14ac:dyDescent="0.25">
      <c r="A110" s="9" t="s">
        <v>21</v>
      </c>
      <c r="B110" s="9" t="s">
        <v>24</v>
      </c>
      <c r="C110" s="11" t="s">
        <v>19</v>
      </c>
      <c r="D110" s="9" t="s">
        <v>11</v>
      </c>
      <c r="E110" s="9">
        <v>2013</v>
      </c>
      <c r="F110" s="44">
        <v>17.135135135135133</v>
      </c>
      <c r="G110" s="3">
        <v>18.175652361095491</v>
      </c>
      <c r="H110" s="3">
        <v>10.897911730071213</v>
      </c>
      <c r="I110" s="3">
        <v>27.365216556254239</v>
      </c>
      <c r="J110" s="38">
        <v>17.513513513513512</v>
      </c>
      <c r="K110" s="69">
        <v>0.97839506172839508</v>
      </c>
      <c r="L110" s="9"/>
      <c r="M110" s="9"/>
      <c r="O110" s="9"/>
    </row>
    <row r="111" spans="1:15" x14ac:dyDescent="0.25">
      <c r="A111" s="9" t="s">
        <v>21</v>
      </c>
      <c r="B111" s="9" t="s">
        <v>24</v>
      </c>
      <c r="C111" s="11" t="s">
        <v>20</v>
      </c>
      <c r="D111" s="9" t="s">
        <v>11</v>
      </c>
      <c r="E111" s="9">
        <v>2013</v>
      </c>
      <c r="F111" s="44">
        <v>22.529529529529526</v>
      </c>
      <c r="G111" s="3">
        <v>23.900076196068039</v>
      </c>
      <c r="H111" s="3">
        <v>15.296546822984977</v>
      </c>
      <c r="I111" s="3">
        <v>34.168360704089366</v>
      </c>
      <c r="J111" s="38">
        <v>23.027027027027025</v>
      </c>
      <c r="K111" s="69">
        <v>0.97839506172839508</v>
      </c>
      <c r="L111" s="9"/>
      <c r="M111" s="9"/>
      <c r="O111" s="9"/>
    </row>
    <row r="112" spans="1:15" x14ac:dyDescent="0.25">
      <c r="A112" s="9" t="s">
        <v>21</v>
      </c>
      <c r="B112" s="9" t="s">
        <v>26</v>
      </c>
      <c r="C112" s="11" t="s">
        <v>31</v>
      </c>
      <c r="D112" s="9" t="s">
        <v>12</v>
      </c>
      <c r="E112" s="9">
        <v>2013</v>
      </c>
      <c r="F112" s="44">
        <v>1.3259330759330761</v>
      </c>
      <c r="G112" s="3">
        <v>1.5116563303241783</v>
      </c>
      <c r="H112" s="3">
        <v>0.109312965329158</v>
      </c>
      <c r="I112" s="3">
        <v>4.5003573923422788</v>
      </c>
      <c r="J112" s="38">
        <v>1.3552123552123554</v>
      </c>
      <c r="K112" s="69">
        <v>0.97839506172839508</v>
      </c>
      <c r="L112" s="9"/>
      <c r="M112" s="9"/>
      <c r="O112" s="9"/>
    </row>
    <row r="113" spans="1:15" x14ac:dyDescent="0.25">
      <c r="A113" s="9" t="s">
        <v>21</v>
      </c>
      <c r="B113" s="9" t="s">
        <v>26</v>
      </c>
      <c r="C113" s="11" t="s">
        <v>19</v>
      </c>
      <c r="D113" s="9" t="s">
        <v>12</v>
      </c>
      <c r="E113" s="9">
        <v>2013</v>
      </c>
      <c r="F113" s="44">
        <v>1.0483775612347039</v>
      </c>
      <c r="G113" s="3">
        <v>1.7070688760831125</v>
      </c>
      <c r="H113" s="3">
        <v>0.15374028954713073</v>
      </c>
      <c r="I113" s="3">
        <v>5.0960246341412008</v>
      </c>
      <c r="J113" s="38">
        <v>1.0715278543849971</v>
      </c>
      <c r="K113" s="69">
        <v>0.97839506172839508</v>
      </c>
      <c r="L113" s="9"/>
      <c r="M113" s="9"/>
      <c r="O113" s="9"/>
    </row>
    <row r="114" spans="1:15" x14ac:dyDescent="0.25">
      <c r="A114" s="9" t="s">
        <v>21</v>
      </c>
      <c r="B114" s="9" t="s">
        <v>26</v>
      </c>
      <c r="C114" s="11" t="s">
        <v>20</v>
      </c>
      <c r="D114" s="9" t="s">
        <v>12</v>
      </c>
      <c r="E114" s="9">
        <v>2013</v>
      </c>
      <c r="F114" s="44">
        <v>0.56087454801740511</v>
      </c>
      <c r="G114" s="3">
        <v>0.65361470626750351</v>
      </c>
      <c r="H114" s="3">
        <v>2.9278691050022869E-3</v>
      </c>
      <c r="I114" s="3">
        <v>2.9026367318068984</v>
      </c>
      <c r="J114" s="38">
        <v>0.57325979040264752</v>
      </c>
      <c r="K114" s="69">
        <v>0.97839506172839508</v>
      </c>
      <c r="L114" s="9"/>
      <c r="M114" s="9"/>
      <c r="O114" s="9"/>
    </row>
    <row r="115" spans="1:15" x14ac:dyDescent="0.25">
      <c r="A115" s="9" t="s">
        <v>21</v>
      </c>
      <c r="B115" s="9" t="s">
        <v>26</v>
      </c>
      <c r="C115" s="11" t="s">
        <v>31</v>
      </c>
      <c r="D115" s="9" t="s">
        <v>15</v>
      </c>
      <c r="E115" s="9">
        <v>2013</v>
      </c>
      <c r="F115" s="44">
        <v>0.44197769197769204</v>
      </c>
      <c r="G115" s="3">
        <v>0.37166807478030772</v>
      </c>
      <c r="H115" s="3">
        <v>3.8127915248728053E-5</v>
      </c>
      <c r="I115" s="3">
        <v>2.1456810820496686</v>
      </c>
      <c r="J115" s="38">
        <v>0.45173745173745178</v>
      </c>
      <c r="K115" s="69">
        <v>0.97839506172839508</v>
      </c>
      <c r="L115" s="9"/>
      <c r="M115" s="9"/>
      <c r="O115" s="9"/>
    </row>
    <row r="116" spans="1:15" x14ac:dyDescent="0.25">
      <c r="A116" s="9" t="s">
        <v>21</v>
      </c>
      <c r="B116" s="9" t="s">
        <v>26</v>
      </c>
      <c r="C116" s="11" t="s">
        <v>19</v>
      </c>
      <c r="D116" s="9" t="s">
        <v>15</v>
      </c>
      <c r="E116" s="9">
        <v>2013</v>
      </c>
      <c r="F116" s="44">
        <v>0.34945918707823465</v>
      </c>
      <c r="G116" s="3">
        <v>0.42064409318857882</v>
      </c>
      <c r="H116" s="3">
        <v>1.3730563614046802E-4</v>
      </c>
      <c r="I116" s="3">
        <v>2.2998816687905821</v>
      </c>
      <c r="J116" s="38">
        <v>0.3571759514616657</v>
      </c>
      <c r="K116" s="69">
        <v>0.97839506172839508</v>
      </c>
      <c r="L116" s="9"/>
      <c r="M116" s="9"/>
      <c r="O116" s="9"/>
    </row>
    <row r="117" spans="1:15" x14ac:dyDescent="0.25">
      <c r="A117" s="9" t="s">
        <v>21</v>
      </c>
      <c r="B117" s="9" t="s">
        <v>26</v>
      </c>
      <c r="C117" s="11" t="s">
        <v>20</v>
      </c>
      <c r="D117" s="9" t="s">
        <v>15</v>
      </c>
      <c r="E117" s="9">
        <v>2013</v>
      </c>
      <c r="F117" s="44">
        <v>0.18695818267246839</v>
      </c>
      <c r="G117" s="3">
        <v>0.16799503391778131</v>
      </c>
      <c r="H117" s="3">
        <v>1.7113393682637195E-10</v>
      </c>
      <c r="I117" s="3">
        <v>1.3562798255783979</v>
      </c>
      <c r="J117" s="38">
        <v>0.19108659680088252</v>
      </c>
      <c r="K117" s="69">
        <v>0.97839506172839508</v>
      </c>
      <c r="L117" s="9"/>
      <c r="M117" s="9"/>
      <c r="O117" s="9"/>
    </row>
    <row r="118" spans="1:15" x14ac:dyDescent="0.25">
      <c r="A118" s="9" t="s">
        <v>21</v>
      </c>
      <c r="B118" s="9" t="s">
        <v>27</v>
      </c>
      <c r="C118" s="11" t="s">
        <v>31</v>
      </c>
      <c r="D118" s="9" t="s">
        <v>11</v>
      </c>
      <c r="E118" s="9">
        <v>2013</v>
      </c>
      <c r="F118" s="44">
        <v>12.137387387387388</v>
      </c>
      <c r="G118" s="3">
        <v>11.957488429417175</v>
      </c>
      <c r="H118" s="3">
        <v>6.2128611257990602</v>
      </c>
      <c r="I118" s="3">
        <v>19.501826407873658</v>
      </c>
      <c r="J118" s="38">
        <v>12.405405405405405</v>
      </c>
      <c r="K118" s="69">
        <v>0.97839506172839508</v>
      </c>
      <c r="L118" s="9"/>
      <c r="M118" s="9"/>
      <c r="O118" s="9"/>
    </row>
    <row r="119" spans="1:15" x14ac:dyDescent="0.25">
      <c r="A119" s="9" t="s">
        <v>21</v>
      </c>
      <c r="B119" s="9" t="s">
        <v>27</v>
      </c>
      <c r="C119" s="11" t="s">
        <v>19</v>
      </c>
      <c r="D119" s="9" t="s">
        <v>11</v>
      </c>
      <c r="E119" s="9">
        <v>2013</v>
      </c>
      <c r="F119" s="44">
        <v>1.9419819819819819</v>
      </c>
      <c r="G119" s="3">
        <v>1.8882785943332838</v>
      </c>
      <c r="H119" s="3">
        <v>0.21410471761960098</v>
      </c>
      <c r="I119" s="3">
        <v>5.2980105155079977</v>
      </c>
      <c r="J119" s="38">
        <v>1.9848648648648648</v>
      </c>
      <c r="K119" s="69">
        <v>0.97839506172839508</v>
      </c>
      <c r="L119" s="9"/>
      <c r="M119" s="9"/>
      <c r="O119" s="9"/>
    </row>
    <row r="120" spans="1:15" x14ac:dyDescent="0.25">
      <c r="A120" s="9" t="s">
        <v>21</v>
      </c>
      <c r="B120" s="9" t="s">
        <v>27</v>
      </c>
      <c r="C120" s="11" t="s">
        <v>20</v>
      </c>
      <c r="D120" s="9" t="s">
        <v>11</v>
      </c>
      <c r="E120" s="9">
        <v>2013</v>
      </c>
      <c r="F120" s="44">
        <v>2.5533466800133469</v>
      </c>
      <c r="G120" s="3">
        <v>2.4994855766826025</v>
      </c>
      <c r="H120" s="3">
        <v>0.42852784536834876</v>
      </c>
      <c r="I120" s="3">
        <v>6.3671622778171368</v>
      </c>
      <c r="J120" s="38">
        <v>2.6097297297297297</v>
      </c>
      <c r="K120" s="69">
        <v>0.97839506172839508</v>
      </c>
      <c r="L120" s="9"/>
      <c r="M120" s="9"/>
      <c r="O120" s="9"/>
    </row>
    <row r="121" spans="1:15" x14ac:dyDescent="0.25">
      <c r="A121" s="9" t="s">
        <v>21</v>
      </c>
      <c r="B121" s="9" t="s">
        <v>28</v>
      </c>
      <c r="C121" s="11" t="s">
        <v>31</v>
      </c>
      <c r="D121" s="9" t="s">
        <v>12</v>
      </c>
      <c r="E121" s="9">
        <v>2013</v>
      </c>
      <c r="F121" s="44">
        <v>8.3975761475761477</v>
      </c>
      <c r="G121" s="3">
        <v>12.047324021086064</v>
      </c>
      <c r="H121" s="3">
        <v>6.2753343758919202</v>
      </c>
      <c r="I121" s="3">
        <v>19.715622621964542</v>
      </c>
      <c r="J121" s="38">
        <v>8.583011583011583</v>
      </c>
      <c r="K121" s="69">
        <v>0.97839506172839508</v>
      </c>
      <c r="L121" s="9"/>
      <c r="M121" s="9"/>
      <c r="O121" s="9"/>
    </row>
    <row r="122" spans="1:15" x14ac:dyDescent="0.25">
      <c r="A122" s="9" t="s">
        <v>21</v>
      </c>
      <c r="B122" s="9" t="s">
        <v>28</v>
      </c>
      <c r="C122" s="11" t="s">
        <v>19</v>
      </c>
      <c r="D122" s="9" t="s">
        <v>12</v>
      </c>
      <c r="E122" s="9">
        <v>2013</v>
      </c>
      <c r="F122" s="44">
        <v>6.6397245544864587</v>
      </c>
      <c r="G122" s="3">
        <v>13.250641921862055</v>
      </c>
      <c r="H122" s="3">
        <v>7.1498973305859694</v>
      </c>
      <c r="I122" s="3">
        <v>21.415893545492711</v>
      </c>
      <c r="J122" s="38">
        <v>6.7863430777716482</v>
      </c>
      <c r="K122" s="69">
        <v>0.97839506172839508</v>
      </c>
      <c r="L122" s="9"/>
      <c r="M122" s="9"/>
      <c r="O122" s="9"/>
    </row>
    <row r="123" spans="1:15" x14ac:dyDescent="0.25">
      <c r="A123" s="9" t="s">
        <v>21</v>
      </c>
      <c r="B123" s="9" t="s">
        <v>28</v>
      </c>
      <c r="C123" s="11" t="s">
        <v>20</v>
      </c>
      <c r="D123" s="9" t="s">
        <v>12</v>
      </c>
      <c r="E123" s="9">
        <v>2013</v>
      </c>
      <c r="F123" s="44">
        <v>3.5522054707768995</v>
      </c>
      <c r="G123" s="3">
        <v>5.1860409590477943</v>
      </c>
      <c r="H123" s="3">
        <v>1.7209999157355433</v>
      </c>
      <c r="I123" s="3">
        <v>10.581196844961433</v>
      </c>
      <c r="J123" s="38">
        <v>3.6306453392167679</v>
      </c>
      <c r="K123" s="69">
        <v>0.97839506172839508</v>
      </c>
      <c r="L123" s="9"/>
      <c r="M123" s="9"/>
      <c r="O123" s="9"/>
    </row>
    <row r="124" spans="1:15" x14ac:dyDescent="0.25">
      <c r="A124" s="9" t="s">
        <v>21</v>
      </c>
      <c r="B124" s="9" t="s">
        <v>28</v>
      </c>
      <c r="C124" s="11" t="s">
        <v>31</v>
      </c>
      <c r="D124" s="9" t="s">
        <v>15</v>
      </c>
      <c r="E124" s="9">
        <v>2013</v>
      </c>
      <c r="F124" s="44">
        <v>11.491419991419992</v>
      </c>
      <c r="G124" s="3">
        <v>14.222328106568453</v>
      </c>
      <c r="H124" s="3">
        <v>7.701782291006924</v>
      </c>
      <c r="I124" s="3">
        <v>22.727877747514007</v>
      </c>
      <c r="J124" s="38">
        <v>11.745173745173746</v>
      </c>
      <c r="K124" s="69">
        <v>0.97839506172839508</v>
      </c>
      <c r="L124" s="9"/>
      <c r="M124" s="9"/>
      <c r="O124" s="9"/>
    </row>
    <row r="125" spans="1:15" x14ac:dyDescent="0.25">
      <c r="A125" s="9" t="s">
        <v>21</v>
      </c>
      <c r="B125" s="9" t="s">
        <v>28</v>
      </c>
      <c r="C125" s="11" t="s">
        <v>19</v>
      </c>
      <c r="D125" s="9" t="s">
        <v>15</v>
      </c>
      <c r="E125" s="9">
        <v>2013</v>
      </c>
      <c r="F125" s="44">
        <v>9.0859388640341017</v>
      </c>
      <c r="G125" s="3">
        <v>15.741732836273389</v>
      </c>
      <c r="H125" s="3">
        <v>8.8569404338349873</v>
      </c>
      <c r="I125" s="3">
        <v>24.468784831304045</v>
      </c>
      <c r="J125" s="38">
        <v>9.2865747380033081</v>
      </c>
      <c r="K125" s="69">
        <v>0.97839506172839508</v>
      </c>
      <c r="L125" s="9"/>
      <c r="M125" s="9"/>
      <c r="O125" s="9"/>
    </row>
    <row r="126" spans="1:15" x14ac:dyDescent="0.25">
      <c r="A126" s="9" t="s">
        <v>21</v>
      </c>
      <c r="B126" s="9" t="s">
        <v>28</v>
      </c>
      <c r="C126" s="11" t="s">
        <v>20</v>
      </c>
      <c r="D126" s="9" t="s">
        <v>15</v>
      </c>
      <c r="E126" s="9">
        <v>2013</v>
      </c>
      <c r="F126" s="44">
        <v>4.8609127494841786</v>
      </c>
      <c r="G126" s="3">
        <v>6.1890944144733195</v>
      </c>
      <c r="H126" s="3">
        <v>2.3470189774166426</v>
      </c>
      <c r="I126" s="3">
        <v>11.825215008942427</v>
      </c>
      <c r="J126" s="38">
        <v>4.9682515168229457</v>
      </c>
      <c r="K126" s="69">
        <v>0.97839506172839508</v>
      </c>
      <c r="L126" s="9"/>
      <c r="M126" s="9"/>
      <c r="O126" s="9"/>
    </row>
    <row r="127" spans="1:15" x14ac:dyDescent="0.25">
      <c r="A127" s="9" t="s">
        <v>22</v>
      </c>
      <c r="B127" s="9" t="s">
        <v>11</v>
      </c>
      <c r="C127" s="9" t="s">
        <v>11</v>
      </c>
      <c r="D127" s="9" t="s">
        <v>11</v>
      </c>
      <c r="E127" s="9">
        <v>2013</v>
      </c>
      <c r="F127" s="44">
        <v>66.858561151079144</v>
      </c>
      <c r="G127" s="3">
        <v>66.888099999999994</v>
      </c>
      <c r="H127" s="3">
        <v>51</v>
      </c>
      <c r="I127" s="3">
        <v>83</v>
      </c>
      <c r="J127" s="38">
        <v>85.26</v>
      </c>
      <c r="K127" s="9">
        <v>0.78417266187050361</v>
      </c>
      <c r="L127" s="9"/>
      <c r="M127" s="9"/>
      <c r="O127" s="9"/>
    </row>
    <row r="128" spans="1:15" x14ac:dyDescent="0.25">
      <c r="A128" s="9" t="s">
        <v>22</v>
      </c>
      <c r="B128" s="9" t="s">
        <v>11</v>
      </c>
      <c r="C128" s="9" t="s">
        <v>19</v>
      </c>
      <c r="D128" s="9" t="s">
        <v>11</v>
      </c>
      <c r="E128" s="9">
        <v>2013</v>
      </c>
      <c r="F128" s="44">
        <v>13.993652333946802</v>
      </c>
      <c r="G128" s="3"/>
      <c r="H128" s="3"/>
      <c r="I128" s="3"/>
      <c r="J128" s="38">
        <v>17.845116279069774</v>
      </c>
      <c r="K128" s="9">
        <v>0.78417266187050361</v>
      </c>
      <c r="L128" s="9"/>
      <c r="M128" s="9"/>
      <c r="N128" s="9"/>
      <c r="O128" s="9"/>
    </row>
    <row r="129" spans="1:15" x14ac:dyDescent="0.25">
      <c r="A129" s="9" t="s">
        <v>22</v>
      </c>
      <c r="B129" s="9" t="s">
        <v>24</v>
      </c>
      <c r="C129" s="9" t="s">
        <v>11</v>
      </c>
      <c r="D129" s="9" t="s">
        <v>11</v>
      </c>
      <c r="E129" s="9">
        <v>2013</v>
      </c>
      <c r="F129" s="44">
        <v>39.849473533755791</v>
      </c>
      <c r="G129" s="3"/>
      <c r="H129" s="3"/>
      <c r="I129" s="3"/>
      <c r="J129" s="38">
        <v>50.817218543046373</v>
      </c>
      <c r="K129" s="9">
        <v>0.78417266187050361</v>
      </c>
      <c r="L129" s="9"/>
      <c r="M129" s="9"/>
      <c r="N129" s="9"/>
      <c r="O129" s="9"/>
    </row>
    <row r="130" spans="1:15" x14ac:dyDescent="0.25">
      <c r="A130" s="9" t="s">
        <v>22</v>
      </c>
      <c r="B130" s="9" t="s">
        <v>24</v>
      </c>
      <c r="C130" s="9" t="s">
        <v>31</v>
      </c>
      <c r="D130" s="9" t="s">
        <v>11</v>
      </c>
      <c r="E130" s="9">
        <v>2013</v>
      </c>
      <c r="F130" s="44">
        <v>28.728690222009984</v>
      </c>
      <c r="G130" s="3">
        <v>22.485836183121208</v>
      </c>
      <c r="H130" s="3">
        <v>14.048759116354425</v>
      </c>
      <c r="I130" s="3">
        <v>33.044195561166781</v>
      </c>
      <c r="J130" s="38">
        <v>36.635669182196217</v>
      </c>
      <c r="K130" s="9">
        <v>0.78417266187050361</v>
      </c>
      <c r="L130" s="9"/>
      <c r="M130" s="9"/>
      <c r="N130" s="9"/>
      <c r="O130" s="9"/>
    </row>
    <row r="131" spans="1:15" x14ac:dyDescent="0.25">
      <c r="A131" s="9" t="s">
        <v>22</v>
      </c>
      <c r="B131" s="9" t="s">
        <v>24</v>
      </c>
      <c r="C131" s="9" t="s">
        <v>19</v>
      </c>
      <c r="D131" s="9" t="s">
        <v>11</v>
      </c>
      <c r="E131" s="9">
        <v>2013</v>
      </c>
      <c r="F131" s="44">
        <v>8.340587483809351</v>
      </c>
      <c r="G131" s="3">
        <v>4.7864510406468588</v>
      </c>
      <c r="H131" s="3">
        <v>1.5061119026733234</v>
      </c>
      <c r="I131" s="3">
        <v>10.032303209559267</v>
      </c>
      <c r="J131" s="38">
        <v>10.636162020637613</v>
      </c>
      <c r="K131" s="9">
        <v>0.78417266187050361</v>
      </c>
      <c r="L131" s="9"/>
      <c r="M131" s="9"/>
      <c r="N131" s="9"/>
      <c r="O131" s="9"/>
    </row>
    <row r="132" spans="1:15" x14ac:dyDescent="0.25">
      <c r="A132" s="9" t="s">
        <v>22</v>
      </c>
      <c r="B132" s="9" t="s">
        <v>24</v>
      </c>
      <c r="C132" s="9" t="s">
        <v>20</v>
      </c>
      <c r="D132" s="9" t="s">
        <v>11</v>
      </c>
      <c r="E132" s="9">
        <v>2013</v>
      </c>
      <c r="F132" s="44">
        <v>2.78019582793645</v>
      </c>
      <c r="G132" s="3">
        <v>3.0649717241522363</v>
      </c>
      <c r="H132" s="3">
        <v>0.65941876970250524</v>
      </c>
      <c r="I132" s="3">
        <v>7.3392817197988576</v>
      </c>
      <c r="J132" s="38">
        <v>3.5453873402125371</v>
      </c>
      <c r="K132" s="9">
        <v>0.78417266187050361</v>
      </c>
      <c r="L132" s="9"/>
      <c r="M132" s="9"/>
      <c r="N132" s="9"/>
      <c r="O132" s="9"/>
    </row>
    <row r="133" spans="1:15" x14ac:dyDescent="0.25">
      <c r="A133" s="9" t="s">
        <v>22</v>
      </c>
      <c r="B133" s="11" t="s">
        <v>26</v>
      </c>
      <c r="C133" s="9" t="s">
        <v>31</v>
      </c>
      <c r="D133" s="9" t="s">
        <v>12</v>
      </c>
      <c r="E133" s="9">
        <v>2013</v>
      </c>
      <c r="F133" s="44">
        <v>4.1564913512695298</v>
      </c>
      <c r="G133" s="3">
        <v>4.7093339481829615</v>
      </c>
      <c r="H133" s="3">
        <v>1.4697786068156886</v>
      </c>
      <c r="I133" s="3">
        <v>9.8014664062072114</v>
      </c>
      <c r="J133" s="38">
        <v>5.3004797965730699</v>
      </c>
      <c r="K133" s="9">
        <v>0.78417266187050361</v>
      </c>
      <c r="L133" s="9"/>
      <c r="M133" s="9"/>
      <c r="N133" s="9"/>
      <c r="O133" s="9"/>
    </row>
    <row r="134" spans="1:15" x14ac:dyDescent="0.25">
      <c r="A134" s="9" t="s">
        <v>22</v>
      </c>
      <c r="B134" s="11" t="s">
        <v>26</v>
      </c>
      <c r="C134" s="9" t="s">
        <v>19</v>
      </c>
      <c r="D134" s="9" t="s">
        <v>12</v>
      </c>
      <c r="E134" s="9">
        <v>2013</v>
      </c>
      <c r="F134" s="44">
        <v>1.2067232955298635</v>
      </c>
      <c r="G134" s="3">
        <v>1.0173206122471179</v>
      </c>
      <c r="H134" s="3">
        <v>2.6396673769487768E-2</v>
      </c>
      <c r="I134" s="3">
        <v>3.7311750241536927</v>
      </c>
      <c r="J134" s="38">
        <v>1.5388489731986332</v>
      </c>
      <c r="K134" s="9">
        <v>0.78417266187050361</v>
      </c>
      <c r="L134" s="9"/>
      <c r="M134" s="9"/>
      <c r="N134" s="9"/>
      <c r="O134" s="9"/>
    </row>
    <row r="135" spans="1:15" x14ac:dyDescent="0.25">
      <c r="A135" s="9" t="s">
        <v>22</v>
      </c>
      <c r="B135" s="11" t="s">
        <v>26</v>
      </c>
      <c r="C135" s="9" t="s">
        <v>20</v>
      </c>
      <c r="D135" s="9" t="s">
        <v>12</v>
      </c>
      <c r="E135" s="9">
        <v>2013</v>
      </c>
      <c r="F135" s="44">
        <v>0.40224109850995454</v>
      </c>
      <c r="G135" s="3">
        <v>0.64511113094708639</v>
      </c>
      <c r="H135" s="3">
        <v>2.4303137732757771E-3</v>
      </c>
      <c r="I135" s="3">
        <v>2.8603484766045035</v>
      </c>
      <c r="J135" s="38">
        <v>0.51294965773287782</v>
      </c>
      <c r="K135" s="9">
        <v>0.78417266187050361</v>
      </c>
      <c r="L135" s="9"/>
      <c r="M135" s="9"/>
      <c r="N135" s="9"/>
      <c r="O135" s="9"/>
    </row>
    <row r="136" spans="1:15" x14ac:dyDescent="0.25">
      <c r="A136" s="9" t="s">
        <v>22</v>
      </c>
      <c r="B136" s="11" t="s">
        <v>26</v>
      </c>
      <c r="C136" s="9" t="s">
        <v>31</v>
      </c>
      <c r="D136" s="9" t="s">
        <v>15</v>
      </c>
      <c r="E136" s="9">
        <v>2013</v>
      </c>
      <c r="F136" s="44">
        <v>1.5892466931324671</v>
      </c>
      <c r="G136" s="3">
        <v>2.0759991626346648</v>
      </c>
      <c r="H136" s="3">
        <v>0.25993073939699601</v>
      </c>
      <c r="I136" s="3">
        <v>5.7078824002417585</v>
      </c>
      <c r="J136" s="38">
        <v>2.0266540398661737</v>
      </c>
      <c r="K136" s="9">
        <v>0.78417266187050361</v>
      </c>
      <c r="L136" s="9"/>
      <c r="M136" s="9"/>
      <c r="N136" s="9"/>
      <c r="O136" s="9"/>
    </row>
    <row r="137" spans="1:15" x14ac:dyDescent="0.25">
      <c r="A137" s="9" t="s">
        <v>22</v>
      </c>
      <c r="B137" s="11" t="s">
        <v>26</v>
      </c>
      <c r="C137" s="9" t="s">
        <v>19</v>
      </c>
      <c r="D137" s="9" t="s">
        <v>15</v>
      </c>
      <c r="E137" s="9">
        <v>2013</v>
      </c>
      <c r="F137" s="44">
        <v>0.46139420123200664</v>
      </c>
      <c r="G137" s="3">
        <v>0.44153807816971408</v>
      </c>
      <c r="H137" s="3">
        <v>1.8811711496095722E-4</v>
      </c>
      <c r="I137" s="3">
        <v>2.2594675678153791</v>
      </c>
      <c r="J137" s="38">
        <v>0.58838343092888923</v>
      </c>
      <c r="K137" s="9">
        <v>0.78417266187050361</v>
      </c>
      <c r="L137" s="9"/>
      <c r="M137" s="9"/>
      <c r="N137" s="9"/>
      <c r="O137" s="9"/>
    </row>
    <row r="138" spans="1:15" x14ac:dyDescent="0.25">
      <c r="A138" s="9" t="s">
        <v>22</v>
      </c>
      <c r="B138" s="11" t="s">
        <v>26</v>
      </c>
      <c r="C138" s="9" t="s">
        <v>20</v>
      </c>
      <c r="D138" s="9" t="s">
        <v>15</v>
      </c>
      <c r="E138" s="9">
        <v>2013</v>
      </c>
      <c r="F138" s="44">
        <v>0.15379806707733557</v>
      </c>
      <c r="G138" s="3">
        <v>0.27854038138014703</v>
      </c>
      <c r="H138" s="3">
        <v>1.2735657083848074E-6</v>
      </c>
      <c r="I138" s="3">
        <v>1.7733016415730807</v>
      </c>
      <c r="J138" s="38">
        <v>0.19612781030962975</v>
      </c>
      <c r="K138" s="9">
        <v>0.78417266187050361</v>
      </c>
      <c r="L138" s="9"/>
      <c r="M138" s="9"/>
      <c r="N138" s="9"/>
      <c r="O138" s="9"/>
    </row>
    <row r="139" spans="1:15" x14ac:dyDescent="0.25">
      <c r="A139" s="9" t="s">
        <v>22</v>
      </c>
      <c r="B139" s="9" t="s">
        <v>27</v>
      </c>
      <c r="C139" s="9" t="s">
        <v>31</v>
      </c>
      <c r="D139" s="9" t="s">
        <v>11</v>
      </c>
      <c r="E139" s="9">
        <v>2013</v>
      </c>
      <c r="F139" s="44">
        <v>4.4689073678682201</v>
      </c>
      <c r="G139" s="3">
        <v>7.1325906884754176</v>
      </c>
      <c r="H139" s="3">
        <v>2.8668420042826392</v>
      </c>
      <c r="I139" s="3">
        <v>13.167187899757741</v>
      </c>
      <c r="J139" s="38">
        <v>5.6988818727860791</v>
      </c>
      <c r="K139" s="9">
        <v>0.78417266187050361</v>
      </c>
      <c r="L139" s="9"/>
      <c r="M139" s="9"/>
      <c r="N139" s="9"/>
      <c r="O139" s="9"/>
    </row>
    <row r="140" spans="1:15" x14ac:dyDescent="0.25">
      <c r="A140" s="9" t="s">
        <v>22</v>
      </c>
      <c r="B140" s="9" t="s">
        <v>27</v>
      </c>
      <c r="C140" s="9" t="s">
        <v>19</v>
      </c>
      <c r="D140" s="9" t="s">
        <v>11</v>
      </c>
      <c r="E140" s="9">
        <v>2013</v>
      </c>
      <c r="F140" s="44">
        <v>1.297424719703677</v>
      </c>
      <c r="G140" s="3">
        <v>1.4957717323051867</v>
      </c>
      <c r="H140" s="3">
        <v>0.11299510162876737</v>
      </c>
      <c r="I140" s="3">
        <v>4.5919422335776483</v>
      </c>
      <c r="J140" s="38">
        <v>1.6545140920991843</v>
      </c>
      <c r="K140" s="9">
        <v>0.78417266187050361</v>
      </c>
      <c r="L140" s="9"/>
      <c r="M140" s="9"/>
      <c r="N140" s="9"/>
      <c r="O140" s="9"/>
    </row>
    <row r="141" spans="1:15" x14ac:dyDescent="0.25">
      <c r="A141" s="9" t="s">
        <v>22</v>
      </c>
      <c r="B141" s="9" t="s">
        <v>27</v>
      </c>
      <c r="C141" s="9" t="s">
        <v>20</v>
      </c>
      <c r="D141" s="9" t="s">
        <v>11</v>
      </c>
      <c r="E141" s="9">
        <v>2013</v>
      </c>
      <c r="F141" s="44">
        <v>0.43247490656789217</v>
      </c>
      <c r="G141" s="3">
        <v>0.96110046446623909</v>
      </c>
      <c r="H141" s="3">
        <v>2.2437016246015299E-2</v>
      </c>
      <c r="I141" s="3">
        <v>3.5849146807273673</v>
      </c>
      <c r="J141" s="38">
        <v>0.55150469736639463</v>
      </c>
      <c r="K141" s="9">
        <v>0.78417266187050361</v>
      </c>
      <c r="L141" s="9"/>
      <c r="M141" s="9"/>
      <c r="N141" s="9"/>
      <c r="O141" s="9"/>
    </row>
    <row r="142" spans="1:15" x14ac:dyDescent="0.25">
      <c r="A142" s="9" t="s">
        <v>22</v>
      </c>
      <c r="B142" s="9" t="s">
        <v>28</v>
      </c>
      <c r="C142" s="9" t="s">
        <v>31</v>
      </c>
      <c r="D142" s="9" t="s">
        <v>12</v>
      </c>
      <c r="E142" s="9">
        <v>2013</v>
      </c>
      <c r="F142" s="44">
        <v>6.6965693992675766</v>
      </c>
      <c r="G142" s="3">
        <v>9.1872328407680435</v>
      </c>
      <c r="H142" s="3">
        <v>4.2294413896494962</v>
      </c>
      <c r="I142" s="3">
        <v>16.04767853139542</v>
      </c>
      <c r="J142" s="38">
        <v>8.5396618944788365</v>
      </c>
      <c r="K142" s="9">
        <v>0.78417266187050361</v>
      </c>
      <c r="L142" s="9"/>
      <c r="M142" s="9"/>
      <c r="N142" s="9"/>
      <c r="O142" s="9"/>
    </row>
    <row r="143" spans="1:15" x14ac:dyDescent="0.25">
      <c r="A143" s="9" t="s">
        <v>22</v>
      </c>
      <c r="B143" s="9" t="s">
        <v>28</v>
      </c>
      <c r="C143" s="9" t="s">
        <v>19</v>
      </c>
      <c r="D143" s="9" t="s">
        <v>12</v>
      </c>
      <c r="E143" s="9">
        <v>2013</v>
      </c>
      <c r="F143" s="44">
        <v>1.9441653094647804</v>
      </c>
      <c r="G143" s="3">
        <v>1.9450098870903929</v>
      </c>
      <c r="H143" s="3">
        <v>0.23610256540043939</v>
      </c>
      <c r="I143" s="3">
        <v>5.5760961326201901</v>
      </c>
      <c r="J143" s="38">
        <v>2.4792566790422428</v>
      </c>
      <c r="K143" s="9">
        <v>0.78417266187050361</v>
      </c>
      <c r="L143" s="9"/>
      <c r="M143" s="9"/>
      <c r="N143" s="9"/>
      <c r="O143" s="9"/>
    </row>
    <row r="144" spans="1:15" x14ac:dyDescent="0.25">
      <c r="A144" s="9" t="s">
        <v>22</v>
      </c>
      <c r="B144" s="9" t="s">
        <v>28</v>
      </c>
      <c r="C144" s="9" t="s">
        <v>20</v>
      </c>
      <c r="D144" s="9" t="s">
        <v>12</v>
      </c>
      <c r="E144" s="9">
        <v>2013</v>
      </c>
      <c r="F144" s="44">
        <v>0.64805510315492676</v>
      </c>
      <c r="G144" s="3">
        <v>1.2505539159911125</v>
      </c>
      <c r="H144" s="3">
        <v>5.7672872218334732E-2</v>
      </c>
      <c r="I144" s="3">
        <v>4.2847404397580409</v>
      </c>
      <c r="J144" s="38">
        <v>0.82641889301408089</v>
      </c>
      <c r="K144" s="9">
        <v>0.78417266187050361</v>
      </c>
      <c r="L144" s="9"/>
      <c r="M144" s="9"/>
      <c r="N144" s="9"/>
      <c r="O144" s="9"/>
    </row>
    <row r="145" spans="1:15" x14ac:dyDescent="0.25">
      <c r="A145" s="9" t="s">
        <v>22</v>
      </c>
      <c r="B145" s="9" t="s">
        <v>28</v>
      </c>
      <c r="C145" s="9" t="s">
        <v>31</v>
      </c>
      <c r="D145" s="9" t="s">
        <v>15</v>
      </c>
      <c r="E145" s="9">
        <v>2013</v>
      </c>
      <c r="F145" s="44">
        <v>2.5604530056023087</v>
      </c>
      <c r="G145" s="3">
        <v>4.0067195540877902</v>
      </c>
      <c r="H145" s="3">
        <v>1.1338368529460012</v>
      </c>
      <c r="I145" s="3">
        <v>8.8667970437232722</v>
      </c>
      <c r="J145" s="38">
        <v>3.2651648420066137</v>
      </c>
      <c r="K145" s="9">
        <v>0.78417266187050361</v>
      </c>
      <c r="L145" s="9"/>
      <c r="M145" s="9"/>
      <c r="N145" s="9"/>
      <c r="O145" s="9"/>
    </row>
    <row r="146" spans="1:15" x14ac:dyDescent="0.25">
      <c r="A146" s="9" t="s">
        <v>22</v>
      </c>
      <c r="B146" s="9" t="s">
        <v>28</v>
      </c>
      <c r="C146" s="9" t="s">
        <v>19</v>
      </c>
      <c r="D146" s="9" t="s">
        <v>15</v>
      </c>
      <c r="E146" s="9">
        <v>2013</v>
      </c>
      <c r="F146" s="44">
        <v>0.74335732420712186</v>
      </c>
      <c r="G146" s="3">
        <v>0.8641813056565556</v>
      </c>
      <c r="H146" s="3">
        <v>1.3112350330892511E-2</v>
      </c>
      <c r="I146" s="3">
        <v>3.4490064997218903</v>
      </c>
      <c r="J146" s="38">
        <v>0.94795108316321042</v>
      </c>
      <c r="K146" s="9">
        <v>0.78417266187050361</v>
      </c>
      <c r="L146" s="9"/>
      <c r="M146" s="9"/>
      <c r="N146" s="9"/>
      <c r="O146" s="9"/>
    </row>
    <row r="147" spans="1:15" ht="15.75" thickBot="1" x14ac:dyDescent="0.3">
      <c r="A147" s="6" t="s">
        <v>22</v>
      </c>
      <c r="B147" s="6" t="s">
        <v>28</v>
      </c>
      <c r="C147" s="6" t="s">
        <v>20</v>
      </c>
      <c r="D147" s="6" t="s">
        <v>15</v>
      </c>
      <c r="E147" s="6">
        <v>2013</v>
      </c>
      <c r="F147" s="45">
        <v>0.24778577473570729</v>
      </c>
      <c r="G147" s="12">
        <v>0.53983734967726704</v>
      </c>
      <c r="H147" s="12">
        <v>8.4696402303618187E-4</v>
      </c>
      <c r="I147" s="12">
        <v>2.6133917733801346</v>
      </c>
      <c r="J147" s="65">
        <v>0.31598369438773682</v>
      </c>
      <c r="K147" s="6">
        <v>0.78417266187050361</v>
      </c>
      <c r="L147" s="6"/>
      <c r="M147" s="6"/>
      <c r="N147" s="6"/>
      <c r="O147" s="9"/>
    </row>
    <row r="148" spans="1:15" x14ac:dyDescent="0.25">
      <c r="A148" s="9" t="s">
        <v>10</v>
      </c>
      <c r="B148" s="9" t="s">
        <v>11</v>
      </c>
      <c r="C148" s="9" t="s">
        <v>11</v>
      </c>
      <c r="D148" s="9" t="s">
        <v>11</v>
      </c>
      <c r="E148" s="9">
        <v>2014</v>
      </c>
      <c r="F148" s="44">
        <v>6416.9598280802284</v>
      </c>
      <c r="G148" s="3">
        <v>6417.4228999999996</v>
      </c>
      <c r="H148" s="3">
        <v>6260</v>
      </c>
      <c r="I148" s="3">
        <v>6573</v>
      </c>
      <c r="J148" s="9">
        <f>J149+J153+J160+J164+J168</f>
        <v>6778</v>
      </c>
      <c r="K148" s="9">
        <v>0.94673352435530078</v>
      </c>
      <c r="L148" s="9"/>
      <c r="M148" s="9"/>
      <c r="N148" s="9"/>
      <c r="O148" s="9"/>
    </row>
    <row r="149" spans="1:15" x14ac:dyDescent="0.25">
      <c r="A149" s="9" t="s">
        <v>10</v>
      </c>
      <c r="B149" s="9" t="s">
        <v>24</v>
      </c>
      <c r="C149" s="9" t="s">
        <v>11</v>
      </c>
      <c r="D149" s="9" t="s">
        <v>11</v>
      </c>
      <c r="E149" s="9">
        <v>2014</v>
      </c>
      <c r="F149" s="44">
        <v>4288.7028653295129</v>
      </c>
      <c r="G149" s="3"/>
      <c r="H149" s="3"/>
      <c r="I149" s="3"/>
      <c r="J149" s="9">
        <f>SUM(J150:J152)</f>
        <v>4530</v>
      </c>
      <c r="K149" s="9">
        <v>0.94673352435530078</v>
      </c>
      <c r="L149" s="9"/>
      <c r="M149" s="9"/>
      <c r="N149" s="9"/>
      <c r="O149" s="9"/>
    </row>
    <row r="150" spans="1:15" x14ac:dyDescent="0.25">
      <c r="A150" s="9" t="s">
        <v>10</v>
      </c>
      <c r="B150" s="9" t="s">
        <v>24</v>
      </c>
      <c r="C150" s="9" t="s">
        <v>31</v>
      </c>
      <c r="D150" s="9" t="s">
        <v>11</v>
      </c>
      <c r="E150" s="9">
        <v>2014</v>
      </c>
      <c r="F150" s="44">
        <v>3332.5020057306588</v>
      </c>
      <c r="G150" s="3">
        <v>3332.4245808427245</v>
      </c>
      <c r="H150" s="3">
        <v>3222.2031490210234</v>
      </c>
      <c r="I150" s="3">
        <v>3447.2115532339176</v>
      </c>
      <c r="J150" s="9">
        <f>3329+165+26</f>
        <v>3520</v>
      </c>
      <c r="K150" s="9">
        <v>0.94673352435530078</v>
      </c>
      <c r="L150" s="9"/>
      <c r="M150" s="9"/>
      <c r="O150" s="9"/>
    </row>
    <row r="151" spans="1:15" x14ac:dyDescent="0.25">
      <c r="A151" s="9" t="s">
        <v>10</v>
      </c>
      <c r="B151" s="9" t="s">
        <v>24</v>
      </c>
      <c r="C151" s="9" t="s">
        <v>19</v>
      </c>
      <c r="D151" s="9" t="s">
        <v>11</v>
      </c>
      <c r="E151" s="9">
        <v>2014</v>
      </c>
      <c r="F151" s="44">
        <v>410.88234957020052</v>
      </c>
      <c r="G151" s="3">
        <v>410.69545102682321</v>
      </c>
      <c r="H151" s="3">
        <v>372.54819066490552</v>
      </c>
      <c r="I151" s="3">
        <v>451.30167943302905</v>
      </c>
      <c r="J151" s="9">
        <v>434</v>
      </c>
      <c r="K151" s="9">
        <v>0.94673352435530078</v>
      </c>
      <c r="L151" s="9"/>
      <c r="M151" s="9"/>
      <c r="O151" s="9"/>
    </row>
    <row r="152" spans="1:15" x14ac:dyDescent="0.25">
      <c r="A152" s="9" t="s">
        <v>10</v>
      </c>
      <c r="B152" s="9" t="s">
        <v>24</v>
      </c>
      <c r="C152" s="9" t="s">
        <v>20</v>
      </c>
      <c r="D152" s="9" t="s">
        <v>11</v>
      </c>
      <c r="E152" s="9">
        <v>2014</v>
      </c>
      <c r="F152" s="44">
        <v>545.31851002865324</v>
      </c>
      <c r="G152" s="3">
        <v>545.10864523193368</v>
      </c>
      <c r="H152" s="3">
        <v>500.44240622831796</v>
      </c>
      <c r="I152" s="3">
        <v>592.07588729692407</v>
      </c>
      <c r="J152" s="9">
        <v>576</v>
      </c>
      <c r="K152" s="9">
        <v>0.94673352435530078</v>
      </c>
      <c r="L152" s="9"/>
      <c r="M152" s="9"/>
      <c r="O152" s="9"/>
    </row>
    <row r="153" spans="1:15" x14ac:dyDescent="0.25">
      <c r="A153" s="9" t="s">
        <v>10</v>
      </c>
      <c r="B153" s="9" t="s">
        <v>26</v>
      </c>
      <c r="C153" s="9" t="s">
        <v>11</v>
      </c>
      <c r="D153" s="9" t="s">
        <v>11</v>
      </c>
      <c r="E153" s="9">
        <v>2014</v>
      </c>
      <c r="F153" s="44">
        <v>278.33965616045845</v>
      </c>
      <c r="G153" s="3"/>
      <c r="H153" s="3"/>
      <c r="I153" s="3"/>
      <c r="J153" s="9">
        <f>SUM(J154:J159)</f>
        <v>294</v>
      </c>
      <c r="K153" s="9">
        <v>0.94673352435530078</v>
      </c>
      <c r="L153" s="9"/>
      <c r="M153" s="9"/>
      <c r="O153" s="9"/>
    </row>
    <row r="154" spans="1:15" x14ac:dyDescent="0.25">
      <c r="A154" s="9" t="s">
        <v>10</v>
      </c>
      <c r="B154" s="9" t="s">
        <v>26</v>
      </c>
      <c r="C154" s="9" t="s">
        <v>31</v>
      </c>
      <c r="D154" s="9" t="s">
        <v>12</v>
      </c>
      <c r="E154" s="9">
        <v>2014</v>
      </c>
      <c r="F154" s="44">
        <v>97.513553008595977</v>
      </c>
      <c r="G154" s="3">
        <v>97.676885026887788</v>
      </c>
      <c r="H154" s="3">
        <v>79.375516316810788</v>
      </c>
      <c r="I154" s="3">
        <v>117.45010540411531</v>
      </c>
      <c r="J154" s="9">
        <f>94+5+4</f>
        <v>103</v>
      </c>
      <c r="K154" s="9">
        <v>0.94673352435530078</v>
      </c>
      <c r="L154" s="9"/>
      <c r="M154" s="9"/>
      <c r="O154" s="9"/>
    </row>
    <row r="155" spans="1:15" x14ac:dyDescent="0.25">
      <c r="A155" s="9" t="s">
        <v>10</v>
      </c>
      <c r="B155" s="9" t="s">
        <v>26</v>
      </c>
      <c r="C155" s="9" t="s">
        <v>19</v>
      </c>
      <c r="D155" s="9" t="s">
        <v>12</v>
      </c>
      <c r="E155" s="9">
        <v>2014</v>
      </c>
      <c r="F155" s="44">
        <v>59.644212034383948</v>
      </c>
      <c r="G155" s="3">
        <v>59.722234775278366</v>
      </c>
      <c r="H155" s="3">
        <v>45.752590980328456</v>
      </c>
      <c r="I155" s="3">
        <v>75.737540239680627</v>
      </c>
      <c r="J155" s="9">
        <v>63</v>
      </c>
      <c r="K155" s="9">
        <v>0.94673352435530078</v>
      </c>
      <c r="L155" s="9"/>
      <c r="M155" s="9"/>
      <c r="O155" s="9"/>
    </row>
    <row r="156" spans="1:15" x14ac:dyDescent="0.25">
      <c r="A156" s="9" t="s">
        <v>10</v>
      </c>
      <c r="B156" s="9" t="s">
        <v>26</v>
      </c>
      <c r="C156" s="9" t="s">
        <v>20</v>
      </c>
      <c r="D156" s="9" t="s">
        <v>12</v>
      </c>
      <c r="E156" s="9">
        <v>2014</v>
      </c>
      <c r="F156" s="44">
        <v>29.348739255014323</v>
      </c>
      <c r="G156" s="3">
        <v>29.359790456913085</v>
      </c>
      <c r="H156" s="3">
        <v>19.832237490825722</v>
      </c>
      <c r="I156" s="3">
        <v>40.759972066515743</v>
      </c>
      <c r="J156" s="9">
        <v>31</v>
      </c>
      <c r="K156" s="9">
        <v>0.94673352435530078</v>
      </c>
      <c r="L156" s="9"/>
      <c r="M156" s="9"/>
      <c r="O156" s="9"/>
    </row>
    <row r="157" spans="1:15" x14ac:dyDescent="0.25">
      <c r="A157" s="9" t="s">
        <v>10</v>
      </c>
      <c r="B157" s="9" t="s">
        <v>26</v>
      </c>
      <c r="C157" s="9" t="s">
        <v>31</v>
      </c>
      <c r="D157" s="9" t="s">
        <v>15</v>
      </c>
      <c r="E157" s="9">
        <v>2014</v>
      </c>
      <c r="F157" s="44">
        <v>63.43114613180515</v>
      </c>
      <c r="G157" s="3">
        <v>63.538727459080953</v>
      </c>
      <c r="H157" s="3">
        <v>48.945160599417676</v>
      </c>
      <c r="I157" s="3">
        <v>80.038948295176738</v>
      </c>
      <c r="J157" s="9">
        <f>57+1+9</f>
        <v>67</v>
      </c>
      <c r="K157" s="9">
        <v>0.94673352435530078</v>
      </c>
      <c r="L157" s="9"/>
      <c r="M157" s="9"/>
      <c r="O157" s="9"/>
    </row>
    <row r="158" spans="1:15" x14ac:dyDescent="0.25">
      <c r="A158" s="9" t="s">
        <v>10</v>
      </c>
      <c r="B158" s="9" t="s">
        <v>26</v>
      </c>
      <c r="C158" s="9" t="s">
        <v>19</v>
      </c>
      <c r="D158" s="9" t="s">
        <v>15</v>
      </c>
      <c r="E158" s="9">
        <v>2014</v>
      </c>
      <c r="F158" s="44">
        <v>25.56180515759312</v>
      </c>
      <c r="G158" s="3">
        <v>25.565138664817812</v>
      </c>
      <c r="H158" s="3">
        <v>16.589487970516284</v>
      </c>
      <c r="I158" s="3">
        <v>36.231774862411399</v>
      </c>
      <c r="J158" s="9">
        <v>27</v>
      </c>
      <c r="K158" s="9">
        <v>0.94673352435530078</v>
      </c>
      <c r="L158" s="9"/>
      <c r="M158" s="9"/>
      <c r="O158" s="9"/>
    </row>
    <row r="159" spans="1:15" x14ac:dyDescent="0.25">
      <c r="A159" s="9" t="s">
        <v>10</v>
      </c>
      <c r="B159" s="9" t="s">
        <v>26</v>
      </c>
      <c r="C159" s="9" t="s">
        <v>20</v>
      </c>
      <c r="D159" s="9" t="s">
        <v>15</v>
      </c>
      <c r="E159" s="9">
        <v>2014</v>
      </c>
      <c r="F159" s="44">
        <v>2.8402005730659026</v>
      </c>
      <c r="G159" s="3">
        <v>2.8374248374986415</v>
      </c>
      <c r="H159" s="3">
        <v>0.544092893331109</v>
      </c>
      <c r="I159" s="3">
        <v>6.9337875446376911</v>
      </c>
      <c r="J159" s="9">
        <v>3</v>
      </c>
      <c r="K159" s="9">
        <v>0.94673352435530078</v>
      </c>
      <c r="L159" s="9"/>
      <c r="M159" s="9"/>
      <c r="O159" s="9"/>
    </row>
    <row r="160" spans="1:15" x14ac:dyDescent="0.25">
      <c r="A160" s="9" t="s">
        <v>10</v>
      </c>
      <c r="B160" s="9" t="s">
        <v>27</v>
      </c>
      <c r="C160" s="9" t="s">
        <v>11</v>
      </c>
      <c r="D160" s="9" t="s">
        <v>11</v>
      </c>
      <c r="E160" s="9">
        <v>2014</v>
      </c>
      <c r="F160" s="44">
        <v>550.05217765042971</v>
      </c>
      <c r="G160" s="3"/>
      <c r="H160" s="3"/>
      <c r="I160" s="3"/>
      <c r="J160" s="9">
        <f>SUM(J161:J163)</f>
        <v>581</v>
      </c>
      <c r="K160" s="9">
        <v>0.94673352435530078</v>
      </c>
      <c r="L160" s="9"/>
      <c r="M160" s="9"/>
      <c r="O160" s="9"/>
    </row>
    <row r="161" spans="1:15" x14ac:dyDescent="0.25">
      <c r="A161" s="9" t="s">
        <v>10</v>
      </c>
      <c r="B161" s="9" t="s">
        <v>27</v>
      </c>
      <c r="C161" s="9" t="s">
        <v>31</v>
      </c>
      <c r="D161" s="9" t="s">
        <v>11</v>
      </c>
      <c r="E161" s="9">
        <v>2014</v>
      </c>
      <c r="F161" s="44">
        <v>433.60395415472777</v>
      </c>
      <c r="G161" s="3">
        <v>433.70872613744814</v>
      </c>
      <c r="H161" s="3">
        <v>393.91831294819548</v>
      </c>
      <c r="I161" s="3">
        <v>475.44390852892968</v>
      </c>
      <c r="J161" s="9">
        <f>441+8+9</f>
        <v>458</v>
      </c>
      <c r="K161" s="9">
        <v>0.94673352435530078</v>
      </c>
      <c r="L161" s="9"/>
      <c r="M161" s="9"/>
      <c r="O161" s="9"/>
    </row>
    <row r="162" spans="1:15" x14ac:dyDescent="0.25">
      <c r="A162" s="9" t="s">
        <v>10</v>
      </c>
      <c r="B162" s="9" t="s">
        <v>27</v>
      </c>
      <c r="C162" s="9" t="s">
        <v>19</v>
      </c>
      <c r="D162" s="9" t="s">
        <v>11</v>
      </c>
      <c r="E162" s="9">
        <v>2014</v>
      </c>
      <c r="F162" s="44">
        <v>58.697478510028645</v>
      </c>
      <c r="G162" s="3">
        <v>58.708160642102683</v>
      </c>
      <c r="H162" s="3">
        <v>44.860223090078854</v>
      </c>
      <c r="I162" s="3">
        <v>74.684264044665298</v>
      </c>
      <c r="J162" s="9">
        <v>62</v>
      </c>
      <c r="K162" s="9">
        <v>0.94673352435530078</v>
      </c>
      <c r="L162" s="9"/>
      <c r="M162" s="9"/>
      <c r="O162" s="9"/>
    </row>
    <row r="163" spans="1:15" x14ac:dyDescent="0.25">
      <c r="A163" s="9" t="s">
        <v>10</v>
      </c>
      <c r="B163" s="9" t="s">
        <v>27</v>
      </c>
      <c r="C163" s="9" t="s">
        <v>20</v>
      </c>
      <c r="D163" s="9" t="s">
        <v>11</v>
      </c>
      <c r="E163" s="9">
        <v>2014</v>
      </c>
      <c r="F163" s="44">
        <v>57.75074498567335</v>
      </c>
      <c r="G163" s="3">
        <v>57.812971634811547</v>
      </c>
      <c r="H163" s="3">
        <v>43.912369250790249</v>
      </c>
      <c r="I163" s="3">
        <v>73.673849270807253</v>
      </c>
      <c r="J163" s="11">
        <v>61</v>
      </c>
      <c r="K163" s="9">
        <v>0.94673352435530078</v>
      </c>
      <c r="L163" s="9"/>
      <c r="M163" s="9"/>
      <c r="O163" s="9"/>
    </row>
    <row r="164" spans="1:15" x14ac:dyDescent="0.25">
      <c r="A164" s="9" t="s">
        <v>10</v>
      </c>
      <c r="B164" s="9" t="s">
        <v>28</v>
      </c>
      <c r="C164" s="9" t="s">
        <v>11</v>
      </c>
      <c r="D164" s="9" t="s">
        <v>12</v>
      </c>
      <c r="E164" s="9">
        <v>2014</v>
      </c>
      <c r="F164" s="44">
        <v>650.40593123209169</v>
      </c>
      <c r="G164" s="3"/>
      <c r="H164" s="3"/>
      <c r="I164" s="3"/>
      <c r="J164" s="9">
        <f>SUM(J165:J167)</f>
        <v>687</v>
      </c>
      <c r="K164" s="9">
        <v>0.94673352435530078</v>
      </c>
      <c r="L164" s="9"/>
      <c r="M164" s="9"/>
      <c r="O164" s="9"/>
    </row>
    <row r="165" spans="1:15" x14ac:dyDescent="0.25">
      <c r="A165" s="9" t="s">
        <v>10</v>
      </c>
      <c r="B165" s="9" t="s">
        <v>28</v>
      </c>
      <c r="C165" s="9" t="s">
        <v>31</v>
      </c>
      <c r="D165" s="9" t="s">
        <v>12</v>
      </c>
      <c r="E165" s="9">
        <v>2014</v>
      </c>
      <c r="F165" s="44">
        <v>241.4170487106017</v>
      </c>
      <c r="G165" s="3">
        <v>241.49220101908588</v>
      </c>
      <c r="H165" s="3">
        <v>211.90040898897826</v>
      </c>
      <c r="I165" s="3">
        <v>273.18278473300137</v>
      </c>
      <c r="J165" s="9">
        <f>(4056+237+43)-J150-J154-J161</f>
        <v>255</v>
      </c>
      <c r="K165" s="9">
        <v>0.94673352435530078</v>
      </c>
      <c r="L165" s="9"/>
      <c r="M165" s="9"/>
      <c r="O165" s="9"/>
    </row>
    <row r="166" spans="1:15" x14ac:dyDescent="0.25">
      <c r="A166" s="9" t="s">
        <v>10</v>
      </c>
      <c r="B166" s="9" t="s">
        <v>28</v>
      </c>
      <c r="C166" s="9" t="s">
        <v>19</v>
      </c>
      <c r="D166" s="9" t="s">
        <v>12</v>
      </c>
      <c r="E166" s="9">
        <v>2014</v>
      </c>
      <c r="F166" s="44">
        <v>301.06126074498565</v>
      </c>
      <c r="G166" s="3">
        <v>301.21390301212261</v>
      </c>
      <c r="H166" s="3">
        <v>268.61714877448958</v>
      </c>
      <c r="I166" s="3">
        <v>335.68889877371305</v>
      </c>
      <c r="J166" s="9">
        <f>877-J151-J155-J162</f>
        <v>318</v>
      </c>
      <c r="K166" s="9">
        <v>0.94673352435530078</v>
      </c>
      <c r="L166" s="9"/>
      <c r="M166" s="9"/>
      <c r="O166" s="9"/>
    </row>
    <row r="167" spans="1:15" x14ac:dyDescent="0.25">
      <c r="A167" s="9" t="s">
        <v>10</v>
      </c>
      <c r="B167" s="9" t="s">
        <v>28</v>
      </c>
      <c r="C167" s="9" t="s">
        <v>20</v>
      </c>
      <c r="D167" s="9" t="s">
        <v>12</v>
      </c>
      <c r="E167" s="9">
        <v>2014</v>
      </c>
      <c r="F167" s="44">
        <v>107.9276217765043</v>
      </c>
      <c r="G167" s="3">
        <v>108.0597106609258</v>
      </c>
      <c r="H167" s="3">
        <v>88.826261692604447</v>
      </c>
      <c r="I167" s="3">
        <v>129.33462076099877</v>
      </c>
      <c r="J167" s="9">
        <f>782-J152-J156-J163</f>
        <v>114</v>
      </c>
      <c r="K167" s="9">
        <v>0.94673352435530078</v>
      </c>
      <c r="L167" s="9"/>
      <c r="M167" s="9"/>
      <c r="O167" s="9"/>
    </row>
    <row r="168" spans="1:15" x14ac:dyDescent="0.25">
      <c r="A168" s="9" t="s">
        <v>10</v>
      </c>
      <c r="B168" s="9" t="s">
        <v>28</v>
      </c>
      <c r="C168" s="9" t="s">
        <v>11</v>
      </c>
      <c r="D168" s="9" t="s">
        <v>15</v>
      </c>
      <c r="E168" s="9">
        <v>2014</v>
      </c>
      <c r="F168" s="44">
        <v>649.45919770773628</v>
      </c>
      <c r="G168" s="3"/>
      <c r="H168" s="3"/>
      <c r="I168" s="3"/>
      <c r="J168" s="9">
        <f>SUM(J169:J171)</f>
        <v>686</v>
      </c>
      <c r="K168" s="9">
        <v>0.94673352435530078</v>
      </c>
      <c r="L168" s="9"/>
      <c r="M168" s="9"/>
      <c r="O168" s="9"/>
    </row>
    <row r="169" spans="1:15" x14ac:dyDescent="0.25">
      <c r="A169" s="9" t="s">
        <v>10</v>
      </c>
      <c r="B169" s="9" t="s">
        <v>28</v>
      </c>
      <c r="C169" s="9" t="s">
        <v>31</v>
      </c>
      <c r="D169" s="9" t="s">
        <v>15</v>
      </c>
      <c r="E169" s="9">
        <v>2014</v>
      </c>
      <c r="F169" s="44">
        <v>207.33464183381088</v>
      </c>
      <c r="G169" s="3">
        <v>207.33340869938559</v>
      </c>
      <c r="H169" s="3">
        <v>180.09302231440896</v>
      </c>
      <c r="I169" s="3">
        <v>236.39963461222402</v>
      </c>
      <c r="J169" s="9">
        <f>(227+40+19)-J157</f>
        <v>219</v>
      </c>
      <c r="K169" s="9">
        <v>0.94673352435530078</v>
      </c>
      <c r="L169" s="9"/>
      <c r="M169" s="9"/>
      <c r="O169" s="9"/>
    </row>
    <row r="170" spans="1:15" x14ac:dyDescent="0.25">
      <c r="A170" s="9" t="s">
        <v>10</v>
      </c>
      <c r="B170" s="9" t="s">
        <v>28</v>
      </c>
      <c r="C170" s="9" t="s">
        <v>19</v>
      </c>
      <c r="D170" s="9" t="s">
        <v>15</v>
      </c>
      <c r="E170" s="9">
        <v>2014</v>
      </c>
      <c r="F170" s="44">
        <v>379.6401432664756</v>
      </c>
      <c r="G170" s="3">
        <v>379.7493860678357</v>
      </c>
      <c r="H170" s="3">
        <v>342.06495977976112</v>
      </c>
      <c r="I170" s="3">
        <v>419.23017216068024</v>
      </c>
      <c r="J170" s="9">
        <f>428-J158</f>
        <v>401</v>
      </c>
      <c r="K170" s="9">
        <v>0.94673352435530078</v>
      </c>
      <c r="L170" s="9"/>
      <c r="M170" s="9"/>
      <c r="O170" s="9"/>
    </row>
    <row r="171" spans="1:15" x14ac:dyDescent="0.25">
      <c r="A171" s="9" t="s">
        <v>10</v>
      </c>
      <c r="B171" s="9" t="s">
        <v>28</v>
      </c>
      <c r="C171" s="9" t="s">
        <v>20</v>
      </c>
      <c r="D171" s="9" t="s">
        <v>15</v>
      </c>
      <c r="E171" s="9">
        <v>2014</v>
      </c>
      <c r="F171" s="44">
        <v>62.484412607449855</v>
      </c>
      <c r="G171" s="3">
        <v>62.415553804324141</v>
      </c>
      <c r="H171" s="3">
        <v>47.933601330470651</v>
      </c>
      <c r="I171" s="3">
        <v>78.55320498011217</v>
      </c>
      <c r="J171" s="9">
        <f>69-J159</f>
        <v>66</v>
      </c>
      <c r="K171" s="9">
        <v>0.94673352435530078</v>
      </c>
      <c r="L171" s="9"/>
      <c r="M171" s="9"/>
      <c r="O171" s="9"/>
    </row>
    <row r="172" spans="1:15" x14ac:dyDescent="0.25">
      <c r="A172" s="9" t="s">
        <v>21</v>
      </c>
      <c r="B172" s="9" t="s">
        <v>11</v>
      </c>
      <c r="C172" s="9" t="s">
        <v>11</v>
      </c>
      <c r="D172" s="9" t="s">
        <v>11</v>
      </c>
      <c r="E172" s="9">
        <v>2014</v>
      </c>
      <c r="F172" s="44">
        <v>0</v>
      </c>
      <c r="G172" s="3">
        <v>263.29259999999999</v>
      </c>
      <c r="H172" s="3">
        <v>232</v>
      </c>
      <c r="I172" s="3">
        <v>296</v>
      </c>
      <c r="J172" s="69"/>
      <c r="K172" s="69">
        <v>0.96696696696696693</v>
      </c>
      <c r="L172" s="9"/>
      <c r="M172" s="9"/>
      <c r="O172" s="9"/>
    </row>
    <row r="173" spans="1:15" x14ac:dyDescent="0.25">
      <c r="A173" s="9" t="s">
        <v>21</v>
      </c>
      <c r="B173" s="9" t="s">
        <v>11</v>
      </c>
      <c r="C173" s="9" t="s">
        <v>19</v>
      </c>
      <c r="D173" s="9" t="s">
        <v>11</v>
      </c>
      <c r="E173" s="9">
        <v>2014</v>
      </c>
      <c r="F173" s="44">
        <v>0</v>
      </c>
      <c r="G173" s="3"/>
      <c r="H173" s="3"/>
      <c r="I173" s="3"/>
      <c r="J173" s="69"/>
      <c r="K173" s="69">
        <v>0.96696696696696693</v>
      </c>
      <c r="L173" s="9"/>
      <c r="M173" s="9"/>
      <c r="O173" s="9"/>
    </row>
    <row r="174" spans="1:15" x14ac:dyDescent="0.25">
      <c r="A174" s="9" t="s">
        <v>21</v>
      </c>
      <c r="B174" s="9" t="s">
        <v>24</v>
      </c>
      <c r="C174" s="9" t="s">
        <v>11</v>
      </c>
      <c r="D174" s="9" t="s">
        <v>11</v>
      </c>
      <c r="E174" s="9">
        <v>2014</v>
      </c>
      <c r="F174" s="44">
        <v>0</v>
      </c>
      <c r="G174" s="3"/>
      <c r="H174" s="3"/>
      <c r="I174" s="3"/>
      <c r="J174" s="69"/>
      <c r="K174" s="69">
        <v>0.96696696696696693</v>
      </c>
      <c r="L174" s="9"/>
      <c r="M174" s="9"/>
      <c r="O174" s="9"/>
    </row>
    <row r="175" spans="1:15" x14ac:dyDescent="0.25">
      <c r="A175" s="9" t="s">
        <v>21</v>
      </c>
      <c r="B175" s="9" t="s">
        <v>24</v>
      </c>
      <c r="C175" s="9" t="s">
        <v>31</v>
      </c>
      <c r="D175" s="9" t="s">
        <v>11</v>
      </c>
      <c r="E175" s="9">
        <v>2014</v>
      </c>
      <c r="F175" s="44">
        <v>110.07742878013148</v>
      </c>
      <c r="G175" s="3">
        <v>119.34238686669829</v>
      </c>
      <c r="H175" s="3">
        <v>98.696969717291026</v>
      </c>
      <c r="I175" s="3">
        <v>141.62763536639693</v>
      </c>
      <c r="J175" s="38">
        <v>113.83783783783784</v>
      </c>
      <c r="K175" s="69">
        <v>0.96696696696696693</v>
      </c>
      <c r="L175" s="9"/>
      <c r="M175" s="9"/>
      <c r="O175" s="9"/>
    </row>
    <row r="176" spans="1:15" x14ac:dyDescent="0.25">
      <c r="A176" s="9" t="s">
        <v>21</v>
      </c>
      <c r="B176" s="9" t="s">
        <v>24</v>
      </c>
      <c r="C176" s="9" t="s">
        <v>19</v>
      </c>
      <c r="D176" s="9" t="s">
        <v>11</v>
      </c>
      <c r="E176" s="9">
        <v>2014</v>
      </c>
      <c r="F176" s="44">
        <v>17.612388604821035</v>
      </c>
      <c r="G176" s="3">
        <v>19.12175693976253</v>
      </c>
      <c r="H176" s="3">
        <v>11.4525672207028</v>
      </c>
      <c r="I176" s="3">
        <v>28.525157428480156</v>
      </c>
      <c r="J176" s="38">
        <v>18.214054054054053</v>
      </c>
      <c r="K176" s="69">
        <v>0.96696696696696693</v>
      </c>
      <c r="L176" s="9"/>
      <c r="M176" s="9"/>
      <c r="O176" s="9"/>
    </row>
    <row r="177" spans="1:15" x14ac:dyDescent="0.25">
      <c r="A177" s="9" t="s">
        <v>21</v>
      </c>
      <c r="B177" s="9" t="s">
        <v>24</v>
      </c>
      <c r="C177" s="9" t="s">
        <v>20</v>
      </c>
      <c r="D177" s="9" t="s">
        <v>11</v>
      </c>
      <c r="E177" s="9">
        <v>2014</v>
      </c>
      <c r="F177" s="44">
        <v>23.157029461894322</v>
      </c>
      <c r="G177" s="3">
        <v>25.127885028330194</v>
      </c>
      <c r="H177" s="3">
        <v>16.259648490240231</v>
      </c>
      <c r="I177" s="3">
        <v>35.829648529889916</v>
      </c>
      <c r="J177" s="38">
        <v>23.948108108108105</v>
      </c>
      <c r="K177" s="69">
        <v>0.96696696696696693</v>
      </c>
      <c r="L177" s="9"/>
      <c r="M177" s="9"/>
      <c r="O177" s="9"/>
    </row>
    <row r="178" spans="1:15" x14ac:dyDescent="0.25">
      <c r="A178" s="9" t="s">
        <v>21</v>
      </c>
      <c r="B178" s="9" t="s">
        <v>26</v>
      </c>
      <c r="C178" s="9" t="s">
        <v>31</v>
      </c>
      <c r="D178" s="9" t="s">
        <v>12</v>
      </c>
      <c r="E178" s="9">
        <v>2014</v>
      </c>
      <c r="F178" s="44">
        <v>1.3626393961529097</v>
      </c>
      <c r="G178" s="3">
        <v>1.694050963867191</v>
      </c>
      <c r="H178" s="3">
        <v>0.15239338227805949</v>
      </c>
      <c r="I178" s="3">
        <v>5.0361323000165408</v>
      </c>
      <c r="J178" s="38">
        <v>1.4091891891891892</v>
      </c>
      <c r="K178" s="69">
        <v>0.96696696696696693</v>
      </c>
      <c r="L178" s="9"/>
      <c r="M178" s="9"/>
      <c r="O178" s="9"/>
    </row>
    <row r="179" spans="1:15" x14ac:dyDescent="0.25">
      <c r="A179" s="9" t="s">
        <v>21</v>
      </c>
      <c r="B179" s="9" t="s">
        <v>26</v>
      </c>
      <c r="C179" s="9" t="s">
        <v>19</v>
      </c>
      <c r="D179" s="9" t="s">
        <v>12</v>
      </c>
      <c r="E179" s="9">
        <v>2014</v>
      </c>
      <c r="F179" s="44">
        <v>1.4456835646457269</v>
      </c>
      <c r="G179" s="3">
        <v>2.0750345144382045</v>
      </c>
      <c r="H179" s="3">
        <v>0.25321958286042168</v>
      </c>
      <c r="I179" s="3">
        <v>5.7175197948100269</v>
      </c>
      <c r="J179" s="38">
        <v>1.4950702702702705</v>
      </c>
      <c r="K179" s="69">
        <v>0.96696696696696693</v>
      </c>
      <c r="L179" s="9"/>
      <c r="M179" s="9"/>
      <c r="O179" s="9"/>
    </row>
    <row r="180" spans="1:15" x14ac:dyDescent="0.25">
      <c r="A180" s="9" t="s">
        <v>21</v>
      </c>
      <c r="B180" s="9" t="s">
        <v>26</v>
      </c>
      <c r="C180" s="9" t="s">
        <v>20</v>
      </c>
      <c r="D180" s="9" t="s">
        <v>12</v>
      </c>
      <c r="E180" s="9">
        <v>2014</v>
      </c>
      <c r="F180" s="44">
        <v>9.2577940102264611E-2</v>
      </c>
      <c r="G180" s="3">
        <v>0.11366432432011288</v>
      </c>
      <c r="H180" s="3">
        <v>1.9402813195195079E-14</v>
      </c>
      <c r="I180" s="3">
        <v>1.0339385650231163</v>
      </c>
      <c r="J180" s="38">
        <v>9.5740540540540736E-2</v>
      </c>
      <c r="K180" s="69">
        <v>0.96696696696696693</v>
      </c>
      <c r="L180" s="9"/>
      <c r="M180" s="9"/>
      <c r="O180" s="9"/>
    </row>
    <row r="181" spans="1:15" x14ac:dyDescent="0.25">
      <c r="A181" s="9" t="s">
        <v>21</v>
      </c>
      <c r="B181" s="9" t="s">
        <v>26</v>
      </c>
      <c r="C181" s="9" t="s">
        <v>31</v>
      </c>
      <c r="D181" s="9" t="s">
        <v>15</v>
      </c>
      <c r="E181" s="9">
        <v>2014</v>
      </c>
      <c r="F181" s="44">
        <v>2.2710656602548491</v>
      </c>
      <c r="G181" s="3">
        <v>1.6823709318269893</v>
      </c>
      <c r="H181" s="3">
        <v>0.14972883931277417</v>
      </c>
      <c r="I181" s="3">
        <v>4.94398065472455</v>
      </c>
      <c r="J181" s="38">
        <v>2.3486486486486484</v>
      </c>
      <c r="K181" s="69">
        <v>0.96696696696696693</v>
      </c>
      <c r="L181" s="9"/>
      <c r="M181" s="9"/>
      <c r="O181" s="9"/>
    </row>
    <row r="182" spans="1:15" x14ac:dyDescent="0.25">
      <c r="A182" s="9" t="s">
        <v>21</v>
      </c>
      <c r="B182" s="9" t="s">
        <v>26</v>
      </c>
      <c r="C182" s="9" t="s">
        <v>19</v>
      </c>
      <c r="D182" s="9" t="s">
        <v>15</v>
      </c>
      <c r="E182" s="9">
        <v>2014</v>
      </c>
      <c r="F182" s="44">
        <v>2.4094726077428787</v>
      </c>
      <c r="G182" s="3">
        <v>2.0462731407111345</v>
      </c>
      <c r="H182" s="3">
        <v>0.26355150611889971</v>
      </c>
      <c r="I182" s="3">
        <v>5.692867058910819</v>
      </c>
      <c r="J182" s="38">
        <v>2.4917837837837844</v>
      </c>
      <c r="K182" s="69">
        <v>0.96696696696696693</v>
      </c>
      <c r="L182" s="9"/>
      <c r="M182" s="9"/>
      <c r="O182" s="9"/>
    </row>
    <row r="183" spans="1:15" x14ac:dyDescent="0.25">
      <c r="A183" s="9" t="s">
        <v>21</v>
      </c>
      <c r="B183" s="9" t="s">
        <v>26</v>
      </c>
      <c r="C183" s="9" t="s">
        <v>20</v>
      </c>
      <c r="D183" s="9" t="s">
        <v>15</v>
      </c>
      <c r="E183" s="9">
        <v>2014</v>
      </c>
      <c r="F183" s="44">
        <v>0.15429656683710766</v>
      </c>
      <c r="G183" s="3">
        <v>0.10721600448475939</v>
      </c>
      <c r="H183" s="3">
        <v>1.4583927154629377E-14</v>
      </c>
      <c r="I183" s="3">
        <v>0.97268350030411277</v>
      </c>
      <c r="J183" s="38">
        <v>0.15956756756756788</v>
      </c>
      <c r="K183" s="69">
        <v>0.96696696696696693</v>
      </c>
      <c r="L183" s="9"/>
      <c r="M183" s="9"/>
      <c r="O183" s="9"/>
    </row>
    <row r="184" spans="1:15" x14ac:dyDescent="0.25">
      <c r="A184" s="9" t="s">
        <v>21</v>
      </c>
      <c r="B184" s="9" t="s">
        <v>27</v>
      </c>
      <c r="C184" s="9" t="s">
        <v>31</v>
      </c>
      <c r="D184" s="9" t="s">
        <v>11</v>
      </c>
      <c r="E184" s="9">
        <v>2014</v>
      </c>
      <c r="F184" s="44">
        <v>11.2899926953981</v>
      </c>
      <c r="G184" s="3">
        <v>11.289329798976246</v>
      </c>
      <c r="H184" s="3">
        <v>5.7675293418174878</v>
      </c>
      <c r="I184" s="3">
        <v>18.741277934260268</v>
      </c>
      <c r="J184" s="38">
        <v>11.675675675675675</v>
      </c>
      <c r="K184" s="69">
        <v>0.96696696696696693</v>
      </c>
      <c r="L184" s="9"/>
      <c r="M184" s="9"/>
      <c r="O184" s="9"/>
    </row>
    <row r="185" spans="1:15" x14ac:dyDescent="0.25">
      <c r="A185" s="9" t="s">
        <v>21</v>
      </c>
      <c r="B185" s="9" t="s">
        <v>27</v>
      </c>
      <c r="C185" s="9" t="s">
        <v>19</v>
      </c>
      <c r="D185" s="9" t="s">
        <v>11</v>
      </c>
      <c r="E185" s="9">
        <v>2014</v>
      </c>
      <c r="F185" s="44">
        <v>1.806398831263696</v>
      </c>
      <c r="G185" s="3">
        <v>1.8254318864177512</v>
      </c>
      <c r="H185" s="3">
        <v>0.18652940434115853</v>
      </c>
      <c r="I185" s="3">
        <v>5.3317221314020511</v>
      </c>
      <c r="J185" s="38">
        <v>1.8681081081081081</v>
      </c>
      <c r="K185" s="69">
        <v>0.96696696696696693</v>
      </c>
      <c r="L185" s="9"/>
      <c r="M185" s="9"/>
      <c r="O185" s="9"/>
    </row>
    <row r="186" spans="1:15" x14ac:dyDescent="0.25">
      <c r="A186" s="9" t="s">
        <v>21</v>
      </c>
      <c r="B186" s="9" t="s">
        <v>27</v>
      </c>
      <c r="C186" s="9" t="s">
        <v>20</v>
      </c>
      <c r="D186" s="9" t="s">
        <v>11</v>
      </c>
      <c r="E186" s="9">
        <v>2014</v>
      </c>
      <c r="F186" s="44">
        <v>2.3750799448096744</v>
      </c>
      <c r="G186" s="3">
        <v>2.3510157707220798</v>
      </c>
      <c r="H186" s="3">
        <v>0.36350684647614412</v>
      </c>
      <c r="I186" s="3">
        <v>6.1001238994266052</v>
      </c>
      <c r="J186" s="38">
        <v>2.456216216216216</v>
      </c>
      <c r="K186" s="69">
        <v>0.96696696696696693</v>
      </c>
      <c r="L186" s="9"/>
      <c r="M186" s="9"/>
      <c r="O186" s="9"/>
    </row>
    <row r="187" spans="1:15" x14ac:dyDescent="0.25">
      <c r="A187" s="9" t="s">
        <v>21</v>
      </c>
      <c r="B187" s="9" t="s">
        <v>28</v>
      </c>
      <c r="C187" s="9" t="s">
        <v>31</v>
      </c>
      <c r="D187" s="9" t="s">
        <v>12</v>
      </c>
      <c r="E187" s="9">
        <v>2014</v>
      </c>
      <c r="F187" s="44">
        <v>9.9926889051213372</v>
      </c>
      <c r="G187" s="3">
        <v>17.759690616373469</v>
      </c>
      <c r="H187" s="3">
        <v>10.490140798097393</v>
      </c>
      <c r="I187" s="3">
        <v>26.770882564612336</v>
      </c>
      <c r="J187" s="38">
        <v>10.334054054054054</v>
      </c>
      <c r="K187" s="69">
        <v>0.96696696696696693</v>
      </c>
      <c r="L187" s="9"/>
      <c r="M187" s="9"/>
      <c r="O187" s="9"/>
    </row>
    <row r="188" spans="1:15" x14ac:dyDescent="0.25">
      <c r="A188" s="9" t="s">
        <v>21</v>
      </c>
      <c r="B188" s="9" t="s">
        <v>28</v>
      </c>
      <c r="C188" s="9" t="s">
        <v>19</v>
      </c>
      <c r="D188" s="9" t="s">
        <v>12</v>
      </c>
      <c r="E188" s="9">
        <v>2014</v>
      </c>
      <c r="F188" s="44">
        <v>10.601679474068664</v>
      </c>
      <c r="G188" s="3">
        <v>21.712474303485919</v>
      </c>
      <c r="H188" s="3">
        <v>13.603856685122457</v>
      </c>
      <c r="I188" s="3">
        <v>31.655763841574782</v>
      </c>
      <c r="J188" s="38">
        <v>10.96384864864865</v>
      </c>
      <c r="K188" s="69">
        <v>0.96696696696696693</v>
      </c>
      <c r="L188" s="9"/>
      <c r="M188" s="9"/>
      <c r="O188" s="9"/>
    </row>
    <row r="189" spans="1:15" x14ac:dyDescent="0.25">
      <c r="A189" s="9" t="s">
        <v>21</v>
      </c>
      <c r="B189" s="9" t="s">
        <v>28</v>
      </c>
      <c r="C189" s="9" t="s">
        <v>20</v>
      </c>
      <c r="D189" s="9" t="s">
        <v>12</v>
      </c>
      <c r="E189" s="9">
        <v>2014</v>
      </c>
      <c r="F189" s="44">
        <v>0.6789048940832737</v>
      </c>
      <c r="G189" s="3">
        <v>1.2171305082095907</v>
      </c>
      <c r="H189" s="3">
        <v>5.510011576057542E-2</v>
      </c>
      <c r="I189" s="3">
        <v>4.1242281059779575</v>
      </c>
      <c r="J189" s="38">
        <v>0.70209729729729864</v>
      </c>
      <c r="K189" s="69">
        <v>0.96696696696696693</v>
      </c>
      <c r="L189" s="9"/>
      <c r="M189" s="9"/>
      <c r="N189" s="4"/>
      <c r="O189" s="9"/>
    </row>
    <row r="190" spans="1:15" x14ac:dyDescent="0.25">
      <c r="A190" s="9" t="s">
        <v>21</v>
      </c>
      <c r="B190" s="9" t="s">
        <v>28</v>
      </c>
      <c r="C190" s="9" t="s">
        <v>31</v>
      </c>
      <c r="D190" s="9" t="s">
        <v>15</v>
      </c>
      <c r="E190" s="9">
        <v>2014</v>
      </c>
      <c r="F190" s="44">
        <v>9.0842626410193965</v>
      </c>
      <c r="G190" s="3">
        <v>15.665747193093461</v>
      </c>
      <c r="H190" s="3">
        <v>8.7544480409376462</v>
      </c>
      <c r="I190" s="3">
        <v>24.413948737409783</v>
      </c>
      <c r="J190" s="38">
        <v>9.3945945945945937</v>
      </c>
      <c r="K190" s="69">
        <v>0.96696696696696693</v>
      </c>
      <c r="L190" s="9"/>
      <c r="M190" s="9"/>
      <c r="N190" s="4"/>
      <c r="O190" s="9"/>
    </row>
    <row r="191" spans="1:15" x14ac:dyDescent="0.25">
      <c r="A191" s="9" t="s">
        <v>21</v>
      </c>
      <c r="B191" s="9" t="s">
        <v>28</v>
      </c>
      <c r="C191" s="9" t="s">
        <v>19</v>
      </c>
      <c r="D191" s="9" t="s">
        <v>15</v>
      </c>
      <c r="E191" s="9">
        <v>2014</v>
      </c>
      <c r="F191" s="44">
        <v>9.637890430971515</v>
      </c>
      <c r="G191" s="3">
        <v>19.083705525463206</v>
      </c>
      <c r="H191" s="3">
        <v>11.401754279100265</v>
      </c>
      <c r="I191" s="3">
        <v>28.554442409757343</v>
      </c>
      <c r="J191" s="38">
        <v>9.9671351351351376</v>
      </c>
      <c r="K191" s="69">
        <v>0.96696696696696693</v>
      </c>
      <c r="L191" s="9"/>
      <c r="M191" s="9"/>
      <c r="N191" s="4"/>
      <c r="O191" s="9"/>
    </row>
    <row r="192" spans="1:15" x14ac:dyDescent="0.25">
      <c r="A192" s="9" t="s">
        <v>21</v>
      </c>
      <c r="B192" s="9" t="s">
        <v>28</v>
      </c>
      <c r="C192" s="9" t="s">
        <v>20</v>
      </c>
      <c r="D192" s="9" t="s">
        <v>15</v>
      </c>
      <c r="E192" s="9">
        <v>2014</v>
      </c>
      <c r="F192" s="44">
        <v>0.61718626734843063</v>
      </c>
      <c r="G192" s="3">
        <v>1.0774356828188669</v>
      </c>
      <c r="H192" s="3">
        <v>3.6471863128551579E-2</v>
      </c>
      <c r="I192" s="3">
        <v>3.7843285989204039</v>
      </c>
      <c r="J192" s="38">
        <v>0.6382702702702715</v>
      </c>
      <c r="K192" s="69">
        <v>0.96696696696696693</v>
      </c>
      <c r="L192" s="9"/>
      <c r="M192" s="9"/>
      <c r="N192" s="4"/>
      <c r="O192" s="9"/>
    </row>
    <row r="193" spans="1:15" x14ac:dyDescent="0.25">
      <c r="A193" s="9" t="s">
        <v>22</v>
      </c>
      <c r="B193" s="9" t="s">
        <v>11</v>
      </c>
      <c r="C193" s="9" t="s">
        <v>11</v>
      </c>
      <c r="D193" s="9" t="s">
        <v>11</v>
      </c>
      <c r="E193" s="9">
        <v>2014</v>
      </c>
      <c r="F193" s="44">
        <v>63.784604316546769</v>
      </c>
      <c r="G193" s="3">
        <v>63.659700000000001</v>
      </c>
      <c r="H193" s="3">
        <v>49</v>
      </c>
      <c r="I193" s="3">
        <v>80</v>
      </c>
      <c r="J193" s="38">
        <v>81.34</v>
      </c>
      <c r="K193" s="9">
        <v>0.78417266187050361</v>
      </c>
      <c r="L193" s="9"/>
      <c r="M193" s="9"/>
      <c r="N193" s="4"/>
      <c r="O193" s="9"/>
    </row>
    <row r="194" spans="1:15" x14ac:dyDescent="0.25">
      <c r="A194" s="9" t="s">
        <v>22</v>
      </c>
      <c r="B194" s="9" t="s">
        <v>11</v>
      </c>
      <c r="C194" s="9" t="s">
        <v>19</v>
      </c>
      <c r="D194" s="9" t="s">
        <v>11</v>
      </c>
      <c r="E194" s="9">
        <v>2014</v>
      </c>
      <c r="F194" s="44">
        <v>13.350266019742351</v>
      </c>
      <c r="G194" s="3"/>
      <c r="H194" s="3"/>
      <c r="I194" s="3"/>
      <c r="J194" s="38">
        <v>17.024651162790704</v>
      </c>
      <c r="K194" s="9">
        <v>0.78417266187050361</v>
      </c>
      <c r="L194" s="9"/>
      <c r="M194" s="9"/>
      <c r="N194" s="4"/>
      <c r="O194" s="9"/>
    </row>
    <row r="195" spans="1:15" x14ac:dyDescent="0.25">
      <c r="A195" s="9" t="s">
        <v>22</v>
      </c>
      <c r="B195" s="9" t="s">
        <v>24</v>
      </c>
      <c r="C195" s="9" t="s">
        <v>11</v>
      </c>
      <c r="D195" s="9" t="s">
        <v>11</v>
      </c>
      <c r="E195" s="9">
        <v>2014</v>
      </c>
      <c r="F195" s="44">
        <v>38.017313831054373</v>
      </c>
      <c r="G195" s="3"/>
      <c r="H195" s="3"/>
      <c r="I195" s="3"/>
      <c r="J195" s="38">
        <v>48.480794701986767</v>
      </c>
      <c r="K195" s="9">
        <v>0.78417266187050361</v>
      </c>
      <c r="L195" s="9"/>
      <c r="M195" s="9"/>
      <c r="N195" s="11"/>
      <c r="O195" s="9"/>
    </row>
    <row r="196" spans="1:15" x14ac:dyDescent="0.25">
      <c r="A196" s="9" t="s">
        <v>22</v>
      </c>
      <c r="B196" s="9" t="s">
        <v>24</v>
      </c>
      <c r="C196" s="9" t="s">
        <v>31</v>
      </c>
      <c r="D196" s="9" t="s">
        <v>11</v>
      </c>
      <c r="E196" s="9">
        <v>2014</v>
      </c>
      <c r="F196" s="44">
        <v>27.4078309014578</v>
      </c>
      <c r="G196" s="3">
        <v>21.36288384197</v>
      </c>
      <c r="H196" s="3">
        <v>13.1327124366977</v>
      </c>
      <c r="I196" s="3">
        <v>31.501128343032551</v>
      </c>
      <c r="J196" s="38">
        <v>34.951270599106735</v>
      </c>
      <c r="K196" s="9">
        <v>0.78417266187050361</v>
      </c>
      <c r="L196" s="9"/>
      <c r="M196" s="9"/>
      <c r="N196" s="11"/>
      <c r="O196" s="9"/>
    </row>
    <row r="197" spans="1:15" x14ac:dyDescent="0.25">
      <c r="A197" s="9" t="s">
        <v>22</v>
      </c>
      <c r="B197" s="9" t="s">
        <v>24</v>
      </c>
      <c r="C197" s="9" t="s">
        <v>19</v>
      </c>
      <c r="D197" s="9" t="s">
        <v>11</v>
      </c>
      <c r="E197" s="9">
        <v>2014</v>
      </c>
      <c r="F197" s="44">
        <v>7.9571121971974259</v>
      </c>
      <c r="G197" s="3">
        <v>4.5625550897972991</v>
      </c>
      <c r="H197" s="3">
        <v>1.3517351312752657</v>
      </c>
      <c r="I197" s="3">
        <v>9.6008622589070036</v>
      </c>
      <c r="J197" s="38">
        <v>10.14714307716002</v>
      </c>
      <c r="K197" s="9">
        <v>0.78417266187050361</v>
      </c>
      <c r="L197" s="9"/>
      <c r="M197" s="9"/>
      <c r="N197" s="11"/>
      <c r="O197" s="9"/>
    </row>
    <row r="198" spans="1:15" x14ac:dyDescent="0.25">
      <c r="A198" s="9" t="s">
        <v>22</v>
      </c>
      <c r="B198" s="9" t="s">
        <v>24</v>
      </c>
      <c r="C198" s="9" t="s">
        <v>20</v>
      </c>
      <c r="D198" s="9" t="s">
        <v>11</v>
      </c>
      <c r="E198" s="9">
        <v>2014</v>
      </c>
      <c r="F198" s="44">
        <v>2.6523707323991421</v>
      </c>
      <c r="G198" s="3">
        <v>2.9063157155552792</v>
      </c>
      <c r="H198" s="3">
        <v>0.57161983559683127</v>
      </c>
      <c r="I198" s="3">
        <v>7.0817380968627006</v>
      </c>
      <c r="J198" s="38">
        <v>3.3823810257200067</v>
      </c>
      <c r="K198" s="9">
        <v>0.78417266187050361</v>
      </c>
      <c r="L198" s="9"/>
      <c r="M198" s="9"/>
      <c r="N198" s="11"/>
      <c r="O198" s="9"/>
    </row>
    <row r="199" spans="1:15" x14ac:dyDescent="0.25">
      <c r="A199" s="9" t="s">
        <v>22</v>
      </c>
      <c r="B199" s="9" t="s">
        <v>26</v>
      </c>
      <c r="C199" s="9" t="s">
        <v>11</v>
      </c>
      <c r="D199" s="9" t="s">
        <v>11</v>
      </c>
      <c r="E199" s="9">
        <v>2014</v>
      </c>
      <c r="F199" s="44"/>
      <c r="G199" s="3"/>
      <c r="H199" s="3"/>
      <c r="I199" s="3"/>
      <c r="J199" s="38"/>
      <c r="K199" s="9"/>
      <c r="L199" s="9"/>
      <c r="N199" s="11"/>
      <c r="O199" s="9"/>
    </row>
    <row r="200" spans="1:15" x14ac:dyDescent="0.25">
      <c r="A200" s="9" t="s">
        <v>22</v>
      </c>
      <c r="B200" s="9" t="s">
        <v>26</v>
      </c>
      <c r="C200" s="9" t="s">
        <v>31</v>
      </c>
      <c r="D200" s="9" t="s">
        <v>12</v>
      </c>
      <c r="E200" s="9">
        <v>2014</v>
      </c>
      <c r="F200" s="44">
        <v>3.9653883006364476</v>
      </c>
      <c r="G200" s="3">
        <v>4.5047573687974074</v>
      </c>
      <c r="H200" s="3">
        <v>1.3304441558438749</v>
      </c>
      <c r="I200" s="3">
        <v>9.4352374925560323</v>
      </c>
      <c r="J200" s="38">
        <v>5.0567795760409746</v>
      </c>
      <c r="K200" s="9">
        <v>0.78417266187050361</v>
      </c>
      <c r="L200" s="9"/>
      <c r="M200" s="9"/>
      <c r="N200" s="11"/>
      <c r="O200" s="9"/>
    </row>
    <row r="201" spans="1:15" x14ac:dyDescent="0.25">
      <c r="A201" s="9" t="s">
        <v>22</v>
      </c>
      <c r="B201" s="9" t="s">
        <v>26</v>
      </c>
      <c r="C201" s="9" t="s">
        <v>19</v>
      </c>
      <c r="D201" s="9" t="s">
        <v>12</v>
      </c>
      <c r="E201" s="9">
        <v>2014</v>
      </c>
      <c r="F201" s="44">
        <v>1.1512417647009043</v>
      </c>
      <c r="G201" s="3">
        <v>0.94810590536991723</v>
      </c>
      <c r="H201" s="3">
        <v>2.1954374208837189E-2</v>
      </c>
      <c r="I201" s="3">
        <v>3.5205573823609582</v>
      </c>
      <c r="J201" s="38">
        <v>1.4680972962699605</v>
      </c>
      <c r="K201" s="9">
        <v>0.78417266187050361</v>
      </c>
      <c r="L201" s="9"/>
      <c r="M201" s="9"/>
      <c r="N201" s="11"/>
      <c r="O201" s="9"/>
    </row>
    <row r="202" spans="1:15" x14ac:dyDescent="0.25">
      <c r="A202" s="9" t="s">
        <v>22</v>
      </c>
      <c r="B202" s="9" t="s">
        <v>26</v>
      </c>
      <c r="C202" s="9" t="s">
        <v>20</v>
      </c>
      <c r="D202" s="9" t="s">
        <v>12</v>
      </c>
      <c r="E202" s="9">
        <v>2014</v>
      </c>
      <c r="F202" s="44">
        <v>0.38374725490030148</v>
      </c>
      <c r="G202" s="3">
        <v>0.61045418346644198</v>
      </c>
      <c r="H202" s="3">
        <v>2.2633841595549888E-3</v>
      </c>
      <c r="I202" s="3">
        <v>2.7663743486081849</v>
      </c>
      <c r="J202" s="38">
        <v>0.48936576542332022</v>
      </c>
      <c r="K202" s="9">
        <v>0.78417266187050361</v>
      </c>
      <c r="L202" s="9"/>
      <c r="M202" s="9"/>
      <c r="N202" s="11"/>
      <c r="O202" s="9"/>
    </row>
    <row r="203" spans="1:15" x14ac:dyDescent="0.25">
      <c r="A203" s="9" t="s">
        <v>22</v>
      </c>
      <c r="B203" s="9" t="s">
        <v>26</v>
      </c>
      <c r="C203" s="9" t="s">
        <v>31</v>
      </c>
      <c r="D203" s="9" t="s">
        <v>15</v>
      </c>
      <c r="E203" s="9">
        <v>2014</v>
      </c>
      <c r="F203" s="44">
        <v>1.5161778796551124</v>
      </c>
      <c r="G203" s="3">
        <v>1.9392845019231952</v>
      </c>
      <c r="H203" s="3">
        <v>0.22081147992948302</v>
      </c>
      <c r="I203" s="3">
        <v>5.4802006184869434</v>
      </c>
      <c r="J203" s="38">
        <v>1.9334745437803726</v>
      </c>
      <c r="K203" s="9">
        <v>0.78417266187050361</v>
      </c>
      <c r="L203" s="9"/>
      <c r="M203" s="9"/>
      <c r="N203" s="9"/>
      <c r="O203" s="9"/>
    </row>
    <row r="204" spans="1:15" x14ac:dyDescent="0.25">
      <c r="A204" s="9" t="s">
        <v>22</v>
      </c>
      <c r="B204" s="9" t="s">
        <v>26</v>
      </c>
      <c r="C204" s="9" t="s">
        <v>19</v>
      </c>
      <c r="D204" s="9" t="s">
        <v>15</v>
      </c>
      <c r="E204" s="9">
        <v>2014</v>
      </c>
      <c r="F204" s="44">
        <v>0.44018067473858102</v>
      </c>
      <c r="G204" s="3">
        <v>0.43166531695713012</v>
      </c>
      <c r="H204" s="3">
        <v>1.6311470770574222E-4</v>
      </c>
      <c r="I204" s="3">
        <v>2.333756306371189</v>
      </c>
      <c r="J204" s="38">
        <v>0.56133131916204371</v>
      </c>
      <c r="K204" s="9">
        <v>0.78417266187050361</v>
      </c>
      <c r="L204" s="9"/>
      <c r="M204" s="9"/>
      <c r="N204" s="9"/>
      <c r="O204" s="9"/>
    </row>
    <row r="205" spans="1:15" x14ac:dyDescent="0.25">
      <c r="A205" s="9" t="s">
        <v>22</v>
      </c>
      <c r="B205" s="9" t="s">
        <v>26</v>
      </c>
      <c r="C205" s="9" t="s">
        <v>20</v>
      </c>
      <c r="D205" s="9" t="s">
        <v>15</v>
      </c>
      <c r="E205" s="9">
        <v>2014</v>
      </c>
      <c r="F205" s="44">
        <v>0.14672689157952704</v>
      </c>
      <c r="G205" s="3">
        <v>0.26262155583386887</v>
      </c>
      <c r="H205" s="3">
        <v>8.8069525146968212E-7</v>
      </c>
      <c r="I205" s="3">
        <v>1.7475141609596747</v>
      </c>
      <c r="J205" s="38">
        <v>0.18711043972068125</v>
      </c>
      <c r="K205" s="9">
        <v>0.78417266187050361</v>
      </c>
      <c r="L205" s="9"/>
      <c r="M205" s="9"/>
      <c r="N205" s="9"/>
      <c r="O205" s="9"/>
    </row>
    <row r="206" spans="1:15" x14ac:dyDescent="0.25">
      <c r="A206" s="9" t="s">
        <v>22</v>
      </c>
      <c r="B206" s="9" t="s">
        <v>27</v>
      </c>
      <c r="C206" s="9" t="s">
        <v>11</v>
      </c>
      <c r="D206" s="9" t="s">
        <v>11</v>
      </c>
      <c r="E206" s="9">
        <v>2014</v>
      </c>
      <c r="F206" s="44"/>
      <c r="G206" s="3"/>
      <c r="H206" s="3"/>
      <c r="I206" s="3"/>
      <c r="J206" s="38"/>
      <c r="K206" s="9"/>
      <c r="L206" s="9"/>
      <c r="N206" s="9"/>
      <c r="O206" s="9"/>
    </row>
    <row r="207" spans="1:15" x14ac:dyDescent="0.25">
      <c r="A207" s="9" t="s">
        <v>22</v>
      </c>
      <c r="B207" s="9" t="s">
        <v>27</v>
      </c>
      <c r="C207" s="9" t="s">
        <v>31</v>
      </c>
      <c r="D207" s="9" t="s">
        <v>11</v>
      </c>
      <c r="E207" s="9">
        <v>2014</v>
      </c>
      <c r="F207" s="44">
        <v>4.2634403624489918</v>
      </c>
      <c r="G207" s="3">
        <v>6.7613981558940033</v>
      </c>
      <c r="H207" s="3">
        <v>2.6831066160039247</v>
      </c>
      <c r="I207" s="3">
        <v>12.546990535659015</v>
      </c>
      <c r="J207" s="38">
        <v>5.4368643154166039</v>
      </c>
      <c r="K207" s="9">
        <v>0.78417266187050361</v>
      </c>
      <c r="L207" s="9"/>
      <c r="M207" s="9"/>
      <c r="N207" s="9"/>
      <c r="O207" s="9"/>
    </row>
    <row r="208" spans="1:15" x14ac:dyDescent="0.25">
      <c r="A208" s="9" t="s">
        <v>22</v>
      </c>
      <c r="B208" s="9" t="s">
        <v>27</v>
      </c>
      <c r="C208" s="9" t="s">
        <v>19</v>
      </c>
      <c r="D208" s="9" t="s">
        <v>11</v>
      </c>
      <c r="E208" s="9">
        <v>2014</v>
      </c>
      <c r="F208" s="44">
        <v>1.2377730084529333</v>
      </c>
      <c r="G208" s="3">
        <v>1.4676635073208171</v>
      </c>
      <c r="H208" s="3">
        <v>9.3202176925814381E-2</v>
      </c>
      <c r="I208" s="3">
        <v>4.6284495406311583</v>
      </c>
      <c r="J208" s="38">
        <v>1.5784444786693368</v>
      </c>
      <c r="K208" s="9">
        <v>0.78417266187050361</v>
      </c>
      <c r="L208" s="9"/>
      <c r="M208" s="9"/>
      <c r="N208" s="9"/>
      <c r="O208" s="9"/>
    </row>
    <row r="209" spans="1:15" x14ac:dyDescent="0.25">
      <c r="A209" s="9" t="s">
        <v>22</v>
      </c>
      <c r="B209" s="9" t="s">
        <v>27</v>
      </c>
      <c r="C209" s="9" t="s">
        <v>20</v>
      </c>
      <c r="D209" s="9" t="s">
        <v>11</v>
      </c>
      <c r="E209" s="9">
        <v>2014</v>
      </c>
      <c r="F209" s="44">
        <v>0.41259100281764427</v>
      </c>
      <c r="G209" s="3">
        <v>0.91966146098267509</v>
      </c>
      <c r="H209" s="3">
        <v>1.8786235729034075E-2</v>
      </c>
      <c r="I209" s="3">
        <v>3.4739453313693955</v>
      </c>
      <c r="J209" s="38">
        <v>0.52614815955644545</v>
      </c>
      <c r="K209" s="9">
        <v>0.78417266187050361</v>
      </c>
      <c r="L209" s="9"/>
      <c r="M209" s="9"/>
      <c r="N209" s="9"/>
      <c r="O209" s="9"/>
    </row>
    <row r="210" spans="1:15" x14ac:dyDescent="0.25">
      <c r="A210" s="9" t="s">
        <v>22</v>
      </c>
      <c r="B210" s="9" t="s">
        <v>28</v>
      </c>
      <c r="C210" s="9" t="s">
        <v>11</v>
      </c>
      <c r="D210" s="9" t="s">
        <v>11</v>
      </c>
      <c r="E210" s="9">
        <v>2014</v>
      </c>
      <c r="F210" s="44"/>
      <c r="G210" s="3"/>
      <c r="H210" s="3"/>
      <c r="I210" s="3"/>
      <c r="J210" s="38"/>
      <c r="K210" s="9"/>
      <c r="L210" s="9"/>
      <c r="N210" s="9"/>
      <c r="O210" s="9"/>
    </row>
    <row r="211" spans="1:15" x14ac:dyDescent="0.25">
      <c r="A211" s="9" t="s">
        <v>22</v>
      </c>
      <c r="B211" s="9" t="s">
        <v>28</v>
      </c>
      <c r="C211" s="9" t="s">
        <v>31</v>
      </c>
      <c r="D211" s="9" t="s">
        <v>12</v>
      </c>
      <c r="E211" s="9">
        <v>2014</v>
      </c>
      <c r="F211" s="44">
        <v>6.3886811510253887</v>
      </c>
      <c r="G211" s="3">
        <v>8.7994613268870179</v>
      </c>
      <c r="H211" s="3">
        <v>4.0100397507977146</v>
      </c>
      <c r="I211" s="3">
        <v>15.540874714008838</v>
      </c>
      <c r="J211" s="38">
        <v>8.1470337613993493</v>
      </c>
      <c r="K211" s="9">
        <v>0.78417266187050361</v>
      </c>
      <c r="L211" s="9"/>
      <c r="M211" s="9"/>
      <c r="N211" s="9"/>
      <c r="O211" s="9"/>
    </row>
    <row r="212" spans="1:15" x14ac:dyDescent="0.25">
      <c r="A212" s="9" t="s">
        <v>22</v>
      </c>
      <c r="B212" s="9" t="s">
        <v>28</v>
      </c>
      <c r="C212" s="9" t="s">
        <v>19</v>
      </c>
      <c r="D212" s="9" t="s">
        <v>12</v>
      </c>
      <c r="E212" s="9">
        <v>2014</v>
      </c>
      <c r="F212" s="44">
        <v>1.8547783986847903</v>
      </c>
      <c r="G212" s="3">
        <v>1.8505223348190385</v>
      </c>
      <c r="H212" s="3">
        <v>0.18884668920401984</v>
      </c>
      <c r="I212" s="3">
        <v>5.2881528473543264</v>
      </c>
      <c r="J212" s="38">
        <v>2.3652678662127142</v>
      </c>
      <c r="K212" s="9">
        <v>0.78417266187050361</v>
      </c>
      <c r="L212" s="9"/>
      <c r="M212" s="9"/>
      <c r="N212" s="9"/>
      <c r="O212" s="9"/>
    </row>
    <row r="213" spans="1:15" x14ac:dyDescent="0.25">
      <c r="A213" s="9" t="s">
        <v>22</v>
      </c>
      <c r="B213" s="9" t="s">
        <v>28</v>
      </c>
      <c r="C213" s="9" t="s">
        <v>20</v>
      </c>
      <c r="D213" s="9" t="s">
        <v>12</v>
      </c>
      <c r="E213" s="9">
        <v>2014</v>
      </c>
      <c r="F213" s="44">
        <v>0.61825946622826344</v>
      </c>
      <c r="G213" s="3">
        <v>1.1848984963800222</v>
      </c>
      <c r="H213" s="3">
        <v>4.9066422724872973E-2</v>
      </c>
      <c r="I213" s="3">
        <v>3.9876759713970942</v>
      </c>
      <c r="J213" s="38">
        <v>0.78842262207090474</v>
      </c>
      <c r="K213" s="9">
        <v>0.78417266187050361</v>
      </c>
      <c r="L213" s="9"/>
      <c r="M213" s="9"/>
      <c r="N213" s="9"/>
      <c r="O213" s="9"/>
    </row>
    <row r="214" spans="1:15" x14ac:dyDescent="0.25">
      <c r="A214" s="9" t="s">
        <v>22</v>
      </c>
      <c r="B214" s="9" t="s">
        <v>28</v>
      </c>
      <c r="C214" s="9" t="s">
        <v>31</v>
      </c>
      <c r="D214" s="9" t="s">
        <v>15</v>
      </c>
      <c r="E214" s="9">
        <v>2014</v>
      </c>
      <c r="F214" s="44">
        <v>2.4427310283332373</v>
      </c>
      <c r="G214" s="3">
        <v>3.8050567082927453</v>
      </c>
      <c r="H214" s="3">
        <v>0.98991097704144249</v>
      </c>
      <c r="I214" s="3">
        <v>8.4880224687915025</v>
      </c>
      <c r="J214" s="38">
        <v>3.1150423205350455</v>
      </c>
      <c r="K214" s="9">
        <v>0.78417266187050361</v>
      </c>
      <c r="L214" s="9"/>
      <c r="M214" s="9"/>
      <c r="N214" s="9"/>
      <c r="O214" s="9"/>
    </row>
    <row r="215" spans="1:15" x14ac:dyDescent="0.25">
      <c r="A215" s="9" t="s">
        <v>22</v>
      </c>
      <c r="B215" s="9" t="s">
        <v>28</v>
      </c>
      <c r="C215" s="9" t="s">
        <v>19</v>
      </c>
      <c r="D215" s="9" t="s">
        <v>15</v>
      </c>
      <c r="E215" s="9">
        <v>2014</v>
      </c>
      <c r="F215" s="44">
        <v>0.70917997596771387</v>
      </c>
      <c r="G215" s="3">
        <v>0.82151064613099312</v>
      </c>
      <c r="H215" s="3">
        <v>9.6883522423348301E-3</v>
      </c>
      <c r="I215" s="3">
        <v>3.2856192212916566</v>
      </c>
      <c r="J215" s="38">
        <v>0.904367125316626</v>
      </c>
      <c r="K215" s="9">
        <v>0.78417266187050361</v>
      </c>
      <c r="L215" s="9"/>
      <c r="M215" s="9"/>
      <c r="N215" s="9"/>
      <c r="O215" s="9"/>
    </row>
    <row r="216" spans="1:15" ht="15.75" thickBot="1" x14ac:dyDescent="0.3">
      <c r="A216" s="6" t="s">
        <v>22</v>
      </c>
      <c r="B216" s="6" t="s">
        <v>28</v>
      </c>
      <c r="C216" s="6" t="s">
        <v>20</v>
      </c>
      <c r="D216" s="6" t="s">
        <v>15</v>
      </c>
      <c r="E216" s="6">
        <v>2014</v>
      </c>
      <c r="F216" s="45">
        <v>0.23639332532257135</v>
      </c>
      <c r="G216" s="12">
        <v>0.5208838836221501</v>
      </c>
      <c r="H216" s="12">
        <v>6.452995164811763E-4</v>
      </c>
      <c r="I216" s="12">
        <v>2.5543594343464169</v>
      </c>
      <c r="J216" s="65">
        <v>0.30145570843887537</v>
      </c>
      <c r="K216" s="6">
        <v>0.78417266187050361</v>
      </c>
      <c r="L216" s="6"/>
      <c r="M216" s="9"/>
      <c r="N216" s="6"/>
      <c r="O216" s="9"/>
    </row>
    <row r="217" spans="1:15" x14ac:dyDescent="0.25">
      <c r="A217" s="9" t="s">
        <v>10</v>
      </c>
      <c r="B217" s="9" t="s">
        <v>11</v>
      </c>
      <c r="C217" s="9" t="s">
        <v>11</v>
      </c>
      <c r="D217" s="9" t="s">
        <v>11</v>
      </c>
      <c r="E217" s="9">
        <v>2015</v>
      </c>
      <c r="F217" s="44">
        <v>6492.7022486211281</v>
      </c>
      <c r="G217" s="3">
        <v>6494.3368</v>
      </c>
      <c r="H217" s="3">
        <v>6341</v>
      </c>
      <c r="I217" s="3">
        <v>6653</v>
      </c>
      <c r="J217" s="11">
        <f>J218+J222+J229+J233+J237</f>
        <v>6888</v>
      </c>
      <c r="K217" s="9">
        <v>0.94261066327252152</v>
      </c>
      <c r="L217" s="9"/>
      <c r="M217" s="9"/>
      <c r="N217" s="9"/>
      <c r="O217" s="9"/>
    </row>
    <row r="218" spans="1:15" x14ac:dyDescent="0.25">
      <c r="A218" s="9" t="s">
        <v>10</v>
      </c>
      <c r="B218" s="9" t="s">
        <v>24</v>
      </c>
      <c r="C218" s="9" t="s">
        <v>11</v>
      </c>
      <c r="D218" s="9" t="s">
        <v>11</v>
      </c>
      <c r="E218" s="9">
        <v>2015</v>
      </c>
      <c r="F218" s="44">
        <v>4357.6890963088672</v>
      </c>
      <c r="G218" s="3"/>
      <c r="H218" s="3"/>
      <c r="I218" s="3"/>
      <c r="J218" s="11">
        <v>4623</v>
      </c>
      <c r="K218" s="9">
        <v>0.94261066327252152</v>
      </c>
      <c r="L218" s="9"/>
      <c r="M218" s="9"/>
      <c r="N218" s="9"/>
      <c r="O218" s="9"/>
    </row>
    <row r="219" spans="1:15" x14ac:dyDescent="0.25">
      <c r="A219" s="9" t="s">
        <v>10</v>
      </c>
      <c r="B219" s="9" t="s">
        <v>24</v>
      </c>
      <c r="C219" s="9" t="s">
        <v>31</v>
      </c>
      <c r="D219" s="9" t="s">
        <v>11</v>
      </c>
      <c r="E219" s="9">
        <v>2015</v>
      </c>
      <c r="F219" s="44">
        <v>3348.1530759439966</v>
      </c>
      <c r="G219" s="3">
        <v>3348.9352165627947</v>
      </c>
      <c r="H219" s="3">
        <v>3235.3479231102128</v>
      </c>
      <c r="I219" s="3">
        <v>3466.5700290079644</v>
      </c>
      <c r="J219" s="11">
        <v>3552</v>
      </c>
      <c r="K219" s="9">
        <v>0.94261066327252152</v>
      </c>
      <c r="L219" s="9"/>
      <c r="M219" s="9"/>
      <c r="O219" s="9"/>
    </row>
    <row r="220" spans="1:15" x14ac:dyDescent="0.25">
      <c r="A220" s="9" t="s">
        <v>10</v>
      </c>
      <c r="B220" s="9" t="s">
        <v>24</v>
      </c>
      <c r="C220" s="9" t="s">
        <v>19</v>
      </c>
      <c r="D220" s="9" t="s">
        <v>11</v>
      </c>
      <c r="E220" s="9">
        <v>2015</v>
      </c>
      <c r="F220" s="44">
        <v>418.51913449299957</v>
      </c>
      <c r="G220" s="3">
        <v>418.70326074461406</v>
      </c>
      <c r="H220" s="3">
        <v>379.70344890691189</v>
      </c>
      <c r="I220" s="3">
        <v>459.59764495481875</v>
      </c>
      <c r="J220" s="11">
        <v>444</v>
      </c>
      <c r="K220" s="9">
        <v>0.94261066327252152</v>
      </c>
      <c r="L220" s="9"/>
      <c r="M220" s="9"/>
      <c r="O220" s="9"/>
    </row>
    <row r="221" spans="1:15" x14ac:dyDescent="0.25">
      <c r="A221" s="9" t="s">
        <v>10</v>
      </c>
      <c r="B221" s="9" t="s">
        <v>24</v>
      </c>
      <c r="C221" s="9" t="s">
        <v>20</v>
      </c>
      <c r="D221" s="9" t="s">
        <v>11</v>
      </c>
      <c r="E221" s="9">
        <v>2015</v>
      </c>
      <c r="F221" s="44">
        <v>591.01688587187095</v>
      </c>
      <c r="G221" s="3">
        <v>591.00199860071837</v>
      </c>
      <c r="H221" s="3">
        <v>544.16943599898184</v>
      </c>
      <c r="I221" s="3">
        <v>639.86204212672089</v>
      </c>
      <c r="J221" s="9">
        <v>627</v>
      </c>
      <c r="K221" s="9">
        <v>0.94261066327252152</v>
      </c>
      <c r="L221" s="9"/>
      <c r="M221" s="9"/>
      <c r="O221" s="9"/>
    </row>
    <row r="222" spans="1:15" x14ac:dyDescent="0.25">
      <c r="A222" s="9" t="s">
        <v>10</v>
      </c>
      <c r="B222" s="9" t="s">
        <v>26</v>
      </c>
      <c r="C222" s="9" t="s">
        <v>11</v>
      </c>
      <c r="D222" s="9" t="s">
        <v>11</v>
      </c>
      <c r="E222" s="9">
        <v>2015</v>
      </c>
      <c r="F222" s="44">
        <v>274.29970301230378</v>
      </c>
      <c r="G222" s="3"/>
      <c r="H222" s="3"/>
      <c r="I222" s="3"/>
      <c r="J222" s="11">
        <v>291</v>
      </c>
      <c r="K222" s="9">
        <v>0.94261066327252152</v>
      </c>
      <c r="L222" s="9"/>
      <c r="M222" s="9"/>
      <c r="O222" s="9"/>
    </row>
    <row r="223" spans="1:15" x14ac:dyDescent="0.25">
      <c r="A223" s="9" t="s">
        <v>10</v>
      </c>
      <c r="B223" s="9" t="s">
        <v>26</v>
      </c>
      <c r="C223" s="9" t="s">
        <v>31</v>
      </c>
      <c r="D223" s="9" t="s">
        <v>12</v>
      </c>
      <c r="E223" s="9">
        <v>2015</v>
      </c>
      <c r="F223" s="44">
        <v>97.08889831706972</v>
      </c>
      <c r="G223" s="3">
        <v>97.054907390692762</v>
      </c>
      <c r="H223" s="3">
        <v>78.815941250661595</v>
      </c>
      <c r="I223" s="3">
        <v>117.10046512663979</v>
      </c>
      <c r="J223" s="9">
        <f>192-J224-J225</f>
        <v>103</v>
      </c>
      <c r="K223" s="9">
        <v>0.94261066327252152</v>
      </c>
      <c r="L223" s="9"/>
      <c r="M223" s="9"/>
      <c r="O223" s="9"/>
    </row>
    <row r="224" spans="1:15" x14ac:dyDescent="0.25">
      <c r="A224" s="9" t="s">
        <v>10</v>
      </c>
      <c r="B224" s="9" t="s">
        <v>26</v>
      </c>
      <c r="C224" s="9" t="s">
        <v>19</v>
      </c>
      <c r="D224" s="9" t="s">
        <v>12</v>
      </c>
      <c r="E224" s="9">
        <v>2015</v>
      </c>
      <c r="F224" s="44">
        <v>54.671418469806248</v>
      </c>
      <c r="G224" s="3">
        <v>54.637431852464076</v>
      </c>
      <c r="H224" s="3">
        <v>41.005199826104054</v>
      </c>
      <c r="I224" s="3">
        <v>69.888018688629998</v>
      </c>
      <c r="J224" s="11">
        <v>58</v>
      </c>
      <c r="K224" s="9">
        <v>0.94261066327252152</v>
      </c>
      <c r="L224" s="9"/>
      <c r="M224" s="9"/>
      <c r="O224" s="9"/>
    </row>
    <row r="225" spans="1:15" x14ac:dyDescent="0.25">
      <c r="A225" s="9" t="s">
        <v>10</v>
      </c>
      <c r="B225" s="9" t="s">
        <v>26</v>
      </c>
      <c r="C225" s="9" t="s">
        <v>20</v>
      </c>
      <c r="D225" s="9" t="s">
        <v>12</v>
      </c>
      <c r="E225" s="9">
        <v>2015</v>
      </c>
      <c r="F225" s="44">
        <v>29.220930561448167</v>
      </c>
      <c r="G225" s="3">
        <v>29.20008632935324</v>
      </c>
      <c r="H225" s="3">
        <v>19.805708851084127</v>
      </c>
      <c r="I225" s="3">
        <v>40.535023318388944</v>
      </c>
      <c r="J225" s="11">
        <v>31</v>
      </c>
      <c r="K225" s="9">
        <v>0.94261066327252152</v>
      </c>
      <c r="L225" s="9"/>
      <c r="M225" s="9"/>
      <c r="O225" s="9"/>
    </row>
    <row r="226" spans="1:15" x14ac:dyDescent="0.25">
      <c r="A226" s="9" t="s">
        <v>10</v>
      </c>
      <c r="B226" s="9" t="s">
        <v>26</v>
      </c>
      <c r="C226" s="9" t="s">
        <v>31</v>
      </c>
      <c r="D226" s="9" t="s">
        <v>15</v>
      </c>
      <c r="E226" s="9">
        <v>2015</v>
      </c>
      <c r="F226" s="44">
        <v>65.040135765803981</v>
      </c>
      <c r="G226" s="3">
        <v>65.130987781842236</v>
      </c>
      <c r="H226" s="3">
        <v>50.380288859250768</v>
      </c>
      <c r="I226" s="3">
        <v>81.41312864846023</v>
      </c>
      <c r="J226" s="9">
        <f>99-J227-J228</f>
        <v>69</v>
      </c>
      <c r="K226" s="9">
        <v>0.94261066327252152</v>
      </c>
      <c r="L226" s="9"/>
      <c r="M226" s="9"/>
      <c r="O226" s="9"/>
    </row>
    <row r="227" spans="1:15" x14ac:dyDescent="0.25">
      <c r="A227" s="9" t="s">
        <v>10</v>
      </c>
      <c r="B227" s="9" t="s">
        <v>26</v>
      </c>
      <c r="C227" s="9" t="s">
        <v>19</v>
      </c>
      <c r="D227" s="9" t="s">
        <v>15</v>
      </c>
      <c r="E227" s="9">
        <v>2015</v>
      </c>
      <c r="F227" s="44">
        <v>24.50787724508556</v>
      </c>
      <c r="G227" s="3">
        <v>24.559750996366223</v>
      </c>
      <c r="H227" s="3">
        <v>15.846407375040434</v>
      </c>
      <c r="I227" s="3">
        <v>35.35194452470077</v>
      </c>
      <c r="J227" s="11">
        <v>26</v>
      </c>
      <c r="K227" s="9">
        <v>0.94261066327252152</v>
      </c>
      <c r="L227" s="9"/>
      <c r="M227" s="9"/>
      <c r="O227" s="9"/>
    </row>
    <row r="228" spans="1:15" x14ac:dyDescent="0.25">
      <c r="A228" s="9" t="s">
        <v>10</v>
      </c>
      <c r="B228" s="9" t="s">
        <v>26</v>
      </c>
      <c r="C228" s="9" t="s">
        <v>20</v>
      </c>
      <c r="D228" s="9" t="s">
        <v>15</v>
      </c>
      <c r="E228" s="9">
        <v>2015</v>
      </c>
      <c r="F228" s="44">
        <v>3.7704426530900861</v>
      </c>
      <c r="G228" s="3">
        <v>3.7289551471548972</v>
      </c>
      <c r="H228" s="3">
        <v>0.97936765976274309</v>
      </c>
      <c r="I228" s="3">
        <v>8.3071788696274798</v>
      </c>
      <c r="J228" s="11">
        <v>4</v>
      </c>
      <c r="K228" s="9">
        <v>0.94261066327252152</v>
      </c>
      <c r="L228" s="9"/>
      <c r="M228" s="9"/>
      <c r="O228" s="9"/>
    </row>
    <row r="229" spans="1:15" x14ac:dyDescent="0.25">
      <c r="A229" s="9" t="s">
        <v>10</v>
      </c>
      <c r="B229" s="9" t="s">
        <v>27</v>
      </c>
      <c r="C229" s="9" t="s">
        <v>11</v>
      </c>
      <c r="D229" s="9" t="s">
        <v>11</v>
      </c>
      <c r="E229" s="9">
        <v>2015</v>
      </c>
      <c r="F229" s="44">
        <v>535.40285673879225</v>
      </c>
      <c r="G229" s="3"/>
      <c r="H229" s="3"/>
      <c r="I229" s="3"/>
      <c r="J229" s="11">
        <v>568</v>
      </c>
      <c r="K229" s="9">
        <v>0.94261066327252152</v>
      </c>
      <c r="L229" s="9"/>
      <c r="M229" s="9"/>
      <c r="O229" s="9"/>
    </row>
    <row r="230" spans="1:15" x14ac:dyDescent="0.25">
      <c r="A230" s="9" t="s">
        <v>10</v>
      </c>
      <c r="B230" s="9" t="s">
        <v>27</v>
      </c>
      <c r="C230" s="9" t="s">
        <v>31</v>
      </c>
      <c r="D230" s="9" t="s">
        <v>11</v>
      </c>
      <c r="E230" s="9">
        <v>2015</v>
      </c>
      <c r="F230" s="44">
        <v>419.46174515627206</v>
      </c>
      <c r="G230" s="3">
        <v>419.34997488348426</v>
      </c>
      <c r="H230" s="3">
        <v>380.95778830371256</v>
      </c>
      <c r="I230" s="3">
        <v>460.72661977246452</v>
      </c>
      <c r="J230" s="9">
        <f>568-J231-J232</f>
        <v>445</v>
      </c>
      <c r="K230" s="9">
        <v>0.94261066327252152</v>
      </c>
      <c r="L230" s="9"/>
      <c r="M230" s="9"/>
      <c r="O230" s="9"/>
    </row>
    <row r="231" spans="1:15" x14ac:dyDescent="0.25">
      <c r="A231" s="9" t="s">
        <v>10</v>
      </c>
      <c r="B231" s="9" t="s">
        <v>27</v>
      </c>
      <c r="C231" s="9" t="s">
        <v>19</v>
      </c>
      <c r="D231" s="9" t="s">
        <v>11</v>
      </c>
      <c r="E231" s="9">
        <v>2015</v>
      </c>
      <c r="F231" s="44">
        <v>56.556639796351291</v>
      </c>
      <c r="G231" s="3">
        <v>56.471175254533499</v>
      </c>
      <c r="H231" s="3">
        <v>42.686952204373235</v>
      </c>
      <c r="I231" s="3">
        <v>72.02249460823549</v>
      </c>
      <c r="J231" s="9">
        <v>60</v>
      </c>
      <c r="K231" s="9">
        <v>0.94261066327252152</v>
      </c>
      <c r="L231" s="9"/>
      <c r="M231" s="9"/>
      <c r="O231" s="9"/>
    </row>
    <row r="232" spans="1:15" x14ac:dyDescent="0.25">
      <c r="A232" s="9" t="s">
        <v>10</v>
      </c>
      <c r="B232" s="9" t="s">
        <v>27</v>
      </c>
      <c r="C232" s="9" t="s">
        <v>20</v>
      </c>
      <c r="D232" s="9" t="s">
        <v>11</v>
      </c>
      <c r="E232" s="9">
        <v>2015</v>
      </c>
      <c r="F232" s="44">
        <v>59.384471786168859</v>
      </c>
      <c r="G232" s="3">
        <v>59.452776249509334</v>
      </c>
      <c r="H232" s="3">
        <v>45.429583757584531</v>
      </c>
      <c r="I232" s="3">
        <v>75.209831694892941</v>
      </c>
      <c r="J232" s="11">
        <v>63</v>
      </c>
      <c r="K232" s="9">
        <v>0.94261066327252152</v>
      </c>
      <c r="L232" s="9"/>
      <c r="M232" s="9"/>
      <c r="O232" s="9"/>
    </row>
    <row r="233" spans="1:15" x14ac:dyDescent="0.25">
      <c r="A233" s="9" t="s">
        <v>10</v>
      </c>
      <c r="B233" s="9" t="s">
        <v>28</v>
      </c>
      <c r="C233" s="9" t="s">
        <v>11</v>
      </c>
      <c r="D233" s="9" t="s">
        <v>12</v>
      </c>
      <c r="E233" s="9">
        <v>2015</v>
      </c>
      <c r="F233" s="44">
        <v>655.1144109744024</v>
      </c>
      <c r="G233" s="3"/>
      <c r="H233" s="3"/>
      <c r="I233" s="3"/>
      <c r="J233" s="9">
        <f>J234+J235+J236</f>
        <v>695</v>
      </c>
      <c r="K233" s="9">
        <v>0.94261066327252152</v>
      </c>
      <c r="L233" s="9"/>
      <c r="M233" s="9"/>
      <c r="O233" s="9"/>
    </row>
    <row r="234" spans="1:15" x14ac:dyDescent="0.25">
      <c r="A234" s="9" t="s">
        <v>10</v>
      </c>
      <c r="B234" s="9" t="s">
        <v>28</v>
      </c>
      <c r="C234" s="9" t="s">
        <v>31</v>
      </c>
      <c r="D234" s="9" t="s">
        <v>12</v>
      </c>
      <c r="E234" s="9">
        <v>2015</v>
      </c>
      <c r="F234" s="44">
        <v>243.19355112431055</v>
      </c>
      <c r="G234" s="3">
        <v>243.34550387408939</v>
      </c>
      <c r="H234" s="3">
        <v>213.82053744643414</v>
      </c>
      <c r="I234" s="3">
        <v>274.12540665527786</v>
      </c>
      <c r="J234" s="9">
        <f>48+4+13+125+7+2+55+4</f>
        <v>258</v>
      </c>
      <c r="K234" s="9">
        <v>0.94261066327252152</v>
      </c>
      <c r="L234" s="9"/>
      <c r="M234" s="9"/>
      <c r="O234" s="9"/>
    </row>
    <row r="235" spans="1:15" x14ac:dyDescent="0.25">
      <c r="A235" s="9" t="s">
        <v>10</v>
      </c>
      <c r="B235" s="9" t="s">
        <v>28</v>
      </c>
      <c r="C235" s="9" t="s">
        <v>19</v>
      </c>
      <c r="D235" s="9" t="s">
        <v>12</v>
      </c>
      <c r="E235" s="9">
        <v>2015</v>
      </c>
      <c r="F235" s="44">
        <v>302.57802291047943</v>
      </c>
      <c r="G235" s="3">
        <v>302.91710282176945</v>
      </c>
      <c r="H235" s="3">
        <v>269.85296359385399</v>
      </c>
      <c r="I235" s="3">
        <v>338.12372706083829</v>
      </c>
      <c r="J235" s="9">
        <f>108+11+2+200</f>
        <v>321</v>
      </c>
      <c r="K235" s="9">
        <v>0.94261066327252152</v>
      </c>
      <c r="L235" s="9"/>
      <c r="M235" s="9"/>
      <c r="O235" s="9"/>
    </row>
    <row r="236" spans="1:15" x14ac:dyDescent="0.25">
      <c r="A236" s="9" t="s">
        <v>10</v>
      </c>
      <c r="B236" s="9" t="s">
        <v>28</v>
      </c>
      <c r="C236" s="9" t="s">
        <v>20</v>
      </c>
      <c r="D236" s="9" t="s">
        <v>12</v>
      </c>
      <c r="E236" s="9">
        <v>2015</v>
      </c>
      <c r="F236" s="44">
        <v>109.3428369396125</v>
      </c>
      <c r="G236" s="3">
        <v>109.60245412638459</v>
      </c>
      <c r="H236" s="3">
        <v>90.133102274141692</v>
      </c>
      <c r="I236" s="3">
        <v>130.80694606485599</v>
      </c>
      <c r="J236" s="9">
        <f>34+1+81</f>
        <v>116</v>
      </c>
      <c r="K236" s="9">
        <v>0.94261066327252152</v>
      </c>
      <c r="L236" s="9"/>
      <c r="M236" s="9"/>
      <c r="O236" s="9"/>
    </row>
    <row r="237" spans="1:15" x14ac:dyDescent="0.25">
      <c r="A237" s="9" t="s">
        <v>10</v>
      </c>
      <c r="B237" s="9" t="s">
        <v>28</v>
      </c>
      <c r="C237" s="9" t="s">
        <v>11</v>
      </c>
      <c r="D237" s="9" t="s">
        <v>15</v>
      </c>
      <c r="E237" s="9">
        <v>2015</v>
      </c>
      <c r="F237" s="44">
        <v>670.1961815867628</v>
      </c>
      <c r="G237" s="3"/>
      <c r="H237" s="3"/>
      <c r="I237" s="3"/>
      <c r="J237" s="9">
        <f>J238+J239+J240</f>
        <v>711</v>
      </c>
      <c r="K237" s="9">
        <v>0.94261066327252152</v>
      </c>
      <c r="L237" s="9"/>
      <c r="M237" s="9"/>
      <c r="O237" s="9"/>
    </row>
    <row r="238" spans="1:15" x14ac:dyDescent="0.25">
      <c r="A238" s="9" t="s">
        <v>10</v>
      </c>
      <c r="B238" s="9" t="s">
        <v>28</v>
      </c>
      <c r="C238" s="9" t="s">
        <v>31</v>
      </c>
      <c r="D238" s="9" t="s">
        <v>15</v>
      </c>
      <c r="E238" s="9">
        <v>2015</v>
      </c>
      <c r="F238" s="44">
        <v>206.4317352566822</v>
      </c>
      <c r="G238" s="3">
        <v>206.53552209790394</v>
      </c>
      <c r="H238" s="3">
        <v>179.22807248574398</v>
      </c>
      <c r="I238" s="3">
        <v>235.65417185313359</v>
      </c>
      <c r="J238" s="9">
        <f>133+4+2+28+24+1+1+16+9+1</f>
        <v>219</v>
      </c>
      <c r="K238" s="9">
        <v>0.94261066327252152</v>
      </c>
      <c r="L238" s="9"/>
      <c r="M238" s="9"/>
      <c r="O238" s="9"/>
    </row>
    <row r="239" spans="1:15" x14ac:dyDescent="0.25">
      <c r="A239" s="9" t="s">
        <v>10</v>
      </c>
      <c r="B239" s="9" t="s">
        <v>28</v>
      </c>
      <c r="C239" s="9" t="s">
        <v>19</v>
      </c>
      <c r="D239" s="9" t="s">
        <v>15</v>
      </c>
      <c r="E239" s="9">
        <v>2015</v>
      </c>
      <c r="F239" s="44">
        <v>394.95386791118653</v>
      </c>
      <c r="G239" s="3">
        <v>394.99450109876562</v>
      </c>
      <c r="H239" s="3">
        <v>356.60606445871014</v>
      </c>
      <c r="I239" s="3">
        <v>434.32355583095574</v>
      </c>
      <c r="J239" s="9">
        <f>273+21+8+117</f>
        <v>419</v>
      </c>
      <c r="K239" s="9">
        <v>0.94261066327252152</v>
      </c>
      <c r="L239" s="9"/>
      <c r="M239" s="9"/>
      <c r="O239" s="9"/>
    </row>
    <row r="240" spans="1:15" x14ac:dyDescent="0.25">
      <c r="A240" s="9" t="s">
        <v>10</v>
      </c>
      <c r="B240" s="9" t="s">
        <v>28</v>
      </c>
      <c r="C240" s="9" t="s">
        <v>20</v>
      </c>
      <c r="D240" s="9" t="s">
        <v>15</v>
      </c>
      <c r="E240" s="9">
        <v>2015</v>
      </c>
      <c r="F240" s="44">
        <v>68.810578418894067</v>
      </c>
      <c r="G240" s="3">
        <v>68.715194187559305</v>
      </c>
      <c r="H240" s="3">
        <v>53.595621318660889</v>
      </c>
      <c r="I240" s="3">
        <v>85.642025737186032</v>
      </c>
      <c r="J240" s="9">
        <f>56+2+15</f>
        <v>73</v>
      </c>
      <c r="K240" s="9">
        <v>0.94261066327252152</v>
      </c>
      <c r="L240" s="9"/>
      <c r="M240" s="9"/>
      <c r="O240" s="9"/>
    </row>
    <row r="241" spans="1:15" x14ac:dyDescent="0.25">
      <c r="A241" s="9" t="s">
        <v>21</v>
      </c>
      <c r="B241" s="9" t="s">
        <v>11</v>
      </c>
      <c r="C241" s="9" t="s">
        <v>11</v>
      </c>
      <c r="D241" s="9" t="s">
        <v>11</v>
      </c>
      <c r="E241" s="9">
        <v>2015</v>
      </c>
      <c r="F241" s="44">
        <v>0</v>
      </c>
      <c r="G241" s="3">
        <v>227.84649999999999</v>
      </c>
      <c r="H241" s="3">
        <v>199</v>
      </c>
      <c r="I241" s="3">
        <v>258</v>
      </c>
      <c r="J241" s="69"/>
      <c r="K241" s="69">
        <v>0.96895424836601307</v>
      </c>
      <c r="L241" s="9"/>
      <c r="M241" s="9"/>
      <c r="O241" s="9"/>
    </row>
    <row r="242" spans="1:15" x14ac:dyDescent="0.25">
      <c r="A242" s="9" t="s">
        <v>21</v>
      </c>
      <c r="B242" s="9" t="s">
        <v>11</v>
      </c>
      <c r="C242" s="9" t="s">
        <v>19</v>
      </c>
      <c r="D242" s="9" t="s">
        <v>11</v>
      </c>
      <c r="E242" s="9">
        <v>2015</v>
      </c>
      <c r="F242" s="44">
        <v>0</v>
      </c>
      <c r="G242" s="3"/>
      <c r="H242" s="3"/>
      <c r="I242" s="3"/>
      <c r="J242" s="69"/>
      <c r="K242" s="69">
        <v>0.96895424836601307</v>
      </c>
      <c r="L242" s="9"/>
      <c r="M242" s="9"/>
      <c r="O242" s="9"/>
    </row>
    <row r="243" spans="1:15" x14ac:dyDescent="0.25">
      <c r="A243" s="9" t="s">
        <v>21</v>
      </c>
      <c r="B243" s="9" t="s">
        <v>24</v>
      </c>
      <c r="C243" s="9" t="s">
        <v>11</v>
      </c>
      <c r="D243" s="9" t="s">
        <v>11</v>
      </c>
      <c r="E243" s="9">
        <v>2015</v>
      </c>
      <c r="F243" s="44">
        <v>0</v>
      </c>
      <c r="G243" s="3"/>
      <c r="H243" s="3"/>
      <c r="I243" s="3"/>
      <c r="J243" s="69"/>
      <c r="K243" s="69">
        <v>0.96895424836601307</v>
      </c>
      <c r="L243" s="9"/>
      <c r="M243" s="9"/>
      <c r="O243" s="9"/>
    </row>
    <row r="244" spans="1:15" x14ac:dyDescent="0.25">
      <c r="A244" s="9" t="s">
        <v>21</v>
      </c>
      <c r="B244" s="9" t="s">
        <v>24</v>
      </c>
      <c r="C244" s="9" t="s">
        <v>31</v>
      </c>
      <c r="D244" s="9" t="s">
        <v>11</v>
      </c>
      <c r="E244" s="9">
        <v>2015</v>
      </c>
      <c r="F244" s="44">
        <v>103.23290937996819</v>
      </c>
      <c r="G244" s="3">
        <v>107.19028451065111</v>
      </c>
      <c r="H244" s="3">
        <v>87.742837234294043</v>
      </c>
      <c r="I244" s="3">
        <v>128.29520285059863</v>
      </c>
      <c r="J244" s="38">
        <v>106.54054054054053</v>
      </c>
      <c r="K244" s="69">
        <v>0.96895424836601307</v>
      </c>
      <c r="L244" s="9"/>
      <c r="M244" s="9"/>
      <c r="O244" s="9"/>
    </row>
    <row r="245" spans="1:15" x14ac:dyDescent="0.25">
      <c r="A245" s="9" t="s">
        <v>21</v>
      </c>
      <c r="B245" s="9" t="s">
        <v>24</v>
      </c>
      <c r="C245" s="9" t="s">
        <v>19</v>
      </c>
      <c r="D245" s="9" t="s">
        <v>11</v>
      </c>
      <c r="E245" s="9">
        <v>2015</v>
      </c>
      <c r="F245" s="44">
        <v>16.517265500794913</v>
      </c>
      <c r="G245" s="3">
        <v>17.141964092105109</v>
      </c>
      <c r="H245" s="3">
        <v>10.124074315389478</v>
      </c>
      <c r="I245" s="3">
        <v>26.300858086275284</v>
      </c>
      <c r="J245" s="38">
        <v>17.046486486486486</v>
      </c>
      <c r="K245" s="69">
        <v>0.96895424836601307</v>
      </c>
      <c r="L245" s="9"/>
      <c r="M245" s="9"/>
      <c r="O245" s="9"/>
    </row>
    <row r="246" spans="1:15" x14ac:dyDescent="0.25">
      <c r="A246" s="9" t="s">
        <v>21</v>
      </c>
      <c r="B246" s="9" t="s">
        <v>24</v>
      </c>
      <c r="C246" s="9" t="s">
        <v>20</v>
      </c>
      <c r="D246" s="9" t="s">
        <v>11</v>
      </c>
      <c r="E246" s="9">
        <v>2015</v>
      </c>
      <c r="F246" s="44">
        <v>21.71714538067479</v>
      </c>
      <c r="G246" s="3">
        <v>22.560633490797258</v>
      </c>
      <c r="H246" s="3">
        <v>14.317125876076767</v>
      </c>
      <c r="I246" s="3">
        <v>32.72053929476013</v>
      </c>
      <c r="J246" s="38">
        <v>22.41297297297297</v>
      </c>
      <c r="K246" s="69">
        <v>0.96895424836601307</v>
      </c>
      <c r="L246" s="9"/>
      <c r="M246" s="9"/>
      <c r="O246" s="9"/>
    </row>
    <row r="247" spans="1:15" x14ac:dyDescent="0.25">
      <c r="A247" s="9" t="s">
        <v>21</v>
      </c>
      <c r="B247" s="9" t="s">
        <v>26</v>
      </c>
      <c r="C247" s="9" t="s">
        <v>31</v>
      </c>
      <c r="D247" s="9" t="s">
        <v>12</v>
      </c>
      <c r="E247" s="9">
        <v>2015</v>
      </c>
      <c r="F247" s="44">
        <v>1.6359768072570848</v>
      </c>
      <c r="G247" s="3">
        <v>1.3145162565274842</v>
      </c>
      <c r="H247" s="3">
        <v>7.2073247130071447E-2</v>
      </c>
      <c r="I247" s="3">
        <v>4.2151344510764943</v>
      </c>
      <c r="J247" s="38">
        <v>1.6883942766295714</v>
      </c>
      <c r="K247" s="69">
        <v>0.96895424836601307</v>
      </c>
      <c r="L247" s="9"/>
      <c r="M247" s="9"/>
      <c r="O247" s="9"/>
    </row>
    <row r="248" spans="1:15" x14ac:dyDescent="0.25">
      <c r="A248" s="9" t="s">
        <v>21</v>
      </c>
      <c r="B248" s="9" t="s">
        <v>26</v>
      </c>
      <c r="C248" s="9" t="s">
        <v>19</v>
      </c>
      <c r="D248" s="9" t="s">
        <v>12</v>
      </c>
      <c r="E248" s="9">
        <v>2015</v>
      </c>
      <c r="F248" s="44">
        <v>2.8653933518293373</v>
      </c>
      <c r="G248" s="3">
        <v>2.5880907629868259</v>
      </c>
      <c r="H248" s="3">
        <v>0.44392607826180036</v>
      </c>
      <c r="I248" s="3">
        <v>6.5990924249424161</v>
      </c>
      <c r="J248" s="38">
        <v>2.9572019077901426</v>
      </c>
      <c r="K248" s="69">
        <v>0.96895424836601307</v>
      </c>
      <c r="L248" s="9"/>
      <c r="M248" s="9"/>
      <c r="O248" s="9"/>
    </row>
    <row r="249" spans="1:15" x14ac:dyDescent="0.25">
      <c r="A249" s="9" t="s">
        <v>21</v>
      </c>
      <c r="B249" s="9" t="s">
        <v>26</v>
      </c>
      <c r="C249" s="9" t="s">
        <v>20</v>
      </c>
      <c r="D249" s="9" t="s">
        <v>12</v>
      </c>
      <c r="E249" s="9">
        <v>2015</v>
      </c>
      <c r="F249" s="44">
        <v>1.3123553311096565</v>
      </c>
      <c r="G249" s="3">
        <v>0.90069293762622527</v>
      </c>
      <c r="H249" s="3">
        <v>1.6317254742322321E-2</v>
      </c>
      <c r="I249" s="3">
        <v>3.450382081592835</v>
      </c>
      <c r="J249" s="38">
        <v>1.3544038155802862</v>
      </c>
      <c r="K249" s="69">
        <v>0.96895424836601307</v>
      </c>
      <c r="L249" s="9"/>
      <c r="M249" s="9"/>
      <c r="O249" s="9"/>
    </row>
    <row r="250" spans="1:15" x14ac:dyDescent="0.25">
      <c r="A250" s="9" t="s">
        <v>21</v>
      </c>
      <c r="B250" s="9" t="s">
        <v>26</v>
      </c>
      <c r="C250" s="9" t="s">
        <v>31</v>
      </c>
      <c r="D250" s="9" t="s">
        <v>15</v>
      </c>
      <c r="E250" s="9">
        <v>2015</v>
      </c>
      <c r="F250" s="44">
        <v>0.54532560241902817</v>
      </c>
      <c r="G250" s="3">
        <v>0.53355653591272256</v>
      </c>
      <c r="H250" s="3">
        <v>8.6337957349951313E-4</v>
      </c>
      <c r="I250" s="3">
        <v>2.6327772157415632</v>
      </c>
      <c r="J250" s="38">
        <v>0.5627980922098571</v>
      </c>
      <c r="K250" s="69">
        <v>0.96895424836601307</v>
      </c>
      <c r="L250" s="9"/>
      <c r="M250" s="9"/>
      <c r="O250" s="9"/>
    </row>
    <row r="251" spans="1:15" x14ac:dyDescent="0.25">
      <c r="A251" s="9" t="s">
        <v>21</v>
      </c>
      <c r="B251" s="9" t="s">
        <v>26</v>
      </c>
      <c r="C251" s="9" t="s">
        <v>19</v>
      </c>
      <c r="D251" s="9" t="s">
        <v>15</v>
      </c>
      <c r="E251" s="9">
        <v>2015</v>
      </c>
      <c r="F251" s="44">
        <v>0.95513111727644584</v>
      </c>
      <c r="G251" s="3">
        <v>1.0451154433880476</v>
      </c>
      <c r="H251" s="3">
        <v>2.7638546155012478E-2</v>
      </c>
      <c r="I251" s="3">
        <v>3.905036301773102</v>
      </c>
      <c r="J251" s="38">
        <v>0.98573396926338086</v>
      </c>
      <c r="K251" s="69">
        <v>0.96895424836601307</v>
      </c>
      <c r="L251" s="9"/>
      <c r="M251" s="9"/>
      <c r="O251" s="9"/>
    </row>
    <row r="252" spans="1:15" x14ac:dyDescent="0.25">
      <c r="A252" s="9" t="s">
        <v>21</v>
      </c>
      <c r="B252" s="9" t="s">
        <v>26</v>
      </c>
      <c r="C252" s="9" t="s">
        <v>20</v>
      </c>
      <c r="D252" s="9" t="s">
        <v>15</v>
      </c>
      <c r="E252" s="9">
        <v>2015</v>
      </c>
      <c r="F252" s="44">
        <v>0.43745177703655214</v>
      </c>
      <c r="G252" s="3">
        <v>0.35891168130827444</v>
      </c>
      <c r="H252" s="3">
        <v>2.214708274795362E-5</v>
      </c>
      <c r="I252" s="3">
        <v>2.0733106751173671</v>
      </c>
      <c r="J252" s="38">
        <v>0.45146793852676209</v>
      </c>
      <c r="K252" s="69">
        <v>0.96895424836601307</v>
      </c>
      <c r="L252" s="9"/>
      <c r="M252" s="9"/>
      <c r="O252" s="9"/>
    </row>
    <row r="253" spans="1:15" x14ac:dyDescent="0.25">
      <c r="A253" s="9" t="s">
        <v>21</v>
      </c>
      <c r="B253" s="9" t="s">
        <v>27</v>
      </c>
      <c r="C253" s="9" t="s">
        <v>31</v>
      </c>
      <c r="D253" s="9" t="s">
        <v>11</v>
      </c>
      <c r="E253" s="9">
        <v>2015</v>
      </c>
      <c r="F253" s="44">
        <v>4.9495230524642286</v>
      </c>
      <c r="G253" s="3">
        <v>4.9190746552638336</v>
      </c>
      <c r="H253" s="3">
        <v>1.5687284052391335</v>
      </c>
      <c r="I253" s="3">
        <v>10.124480205333274</v>
      </c>
      <c r="J253" s="38">
        <v>5.1081081081081079</v>
      </c>
      <c r="K253" s="69">
        <v>0.96895424836601307</v>
      </c>
      <c r="L253" s="9"/>
      <c r="M253" s="9"/>
      <c r="O253" s="9"/>
    </row>
    <row r="254" spans="1:15" x14ac:dyDescent="0.25">
      <c r="A254" s="9" t="s">
        <v>21</v>
      </c>
      <c r="B254" s="9" t="s">
        <v>27</v>
      </c>
      <c r="C254" s="9" t="s">
        <v>19</v>
      </c>
      <c r="D254" s="9" t="s">
        <v>11</v>
      </c>
      <c r="E254" s="9">
        <v>2015</v>
      </c>
      <c r="F254" s="44">
        <v>0.79192368839427663</v>
      </c>
      <c r="G254" s="3">
        <v>0.79092515603171132</v>
      </c>
      <c r="H254" s="3">
        <v>8.407388697379772E-3</v>
      </c>
      <c r="I254" s="3">
        <v>3.1685920962961989</v>
      </c>
      <c r="J254" s="38">
        <v>0.81729729729729728</v>
      </c>
      <c r="K254" s="69">
        <v>0.96895424836601307</v>
      </c>
      <c r="L254" s="9"/>
      <c r="M254" s="9"/>
      <c r="O254" s="9"/>
    </row>
    <row r="255" spans="1:15" x14ac:dyDescent="0.25">
      <c r="A255" s="9" t="s">
        <v>21</v>
      </c>
      <c r="B255" s="9" t="s">
        <v>27</v>
      </c>
      <c r="C255" s="9" t="s">
        <v>20</v>
      </c>
      <c r="D255" s="9" t="s">
        <v>11</v>
      </c>
      <c r="E255" s="9">
        <v>2015</v>
      </c>
      <c r="F255" s="44">
        <v>1.0412329977035859</v>
      </c>
      <c r="G255" s="3">
        <v>1.0363277301275253</v>
      </c>
      <c r="H255" s="3">
        <v>2.6799901357793587E-2</v>
      </c>
      <c r="I255" s="3">
        <v>3.8189288011210003</v>
      </c>
      <c r="J255" s="38">
        <v>1.0745945945945945</v>
      </c>
      <c r="K255" s="69">
        <v>0.96895424836601307</v>
      </c>
      <c r="L255" s="9"/>
      <c r="M255" s="9"/>
      <c r="O255" s="9"/>
    </row>
    <row r="256" spans="1:15" x14ac:dyDescent="0.25">
      <c r="A256" s="9" t="s">
        <v>21</v>
      </c>
      <c r="B256" s="9" t="s">
        <v>28</v>
      </c>
      <c r="C256" s="9" t="s">
        <v>31</v>
      </c>
      <c r="D256" s="9" t="s">
        <v>12</v>
      </c>
      <c r="E256" s="9">
        <v>2015</v>
      </c>
      <c r="F256" s="44">
        <v>5.7259188253997966</v>
      </c>
      <c r="G256" s="3">
        <v>10.631467281551592</v>
      </c>
      <c r="H256" s="3">
        <v>5.2179170330798277</v>
      </c>
      <c r="I256" s="3">
        <v>17.76014200622555</v>
      </c>
      <c r="J256" s="38">
        <v>5.9093799682035</v>
      </c>
      <c r="K256" s="69">
        <v>0.96895424836601307</v>
      </c>
      <c r="L256" s="9"/>
      <c r="M256" s="9"/>
      <c r="O256" s="9"/>
    </row>
    <row r="257" spans="1:15" x14ac:dyDescent="0.25">
      <c r="A257" s="9" t="s">
        <v>21</v>
      </c>
      <c r="B257" s="9" t="s">
        <v>28</v>
      </c>
      <c r="C257" s="9" t="s">
        <v>19</v>
      </c>
      <c r="D257" s="9" t="s">
        <v>12</v>
      </c>
      <c r="E257" s="9">
        <v>2015</v>
      </c>
      <c r="F257" s="44">
        <v>10.028876731402681</v>
      </c>
      <c r="G257" s="3">
        <v>20.716021985509002</v>
      </c>
      <c r="H257" s="3">
        <v>12.700575213474092</v>
      </c>
      <c r="I257" s="3">
        <v>30.707122582558338</v>
      </c>
      <c r="J257" s="38">
        <v>10.350206677265499</v>
      </c>
      <c r="K257" s="69">
        <v>0.96895424836601307</v>
      </c>
      <c r="L257" s="9"/>
      <c r="M257" s="9"/>
      <c r="O257" s="9"/>
    </row>
    <row r="258" spans="1:15" x14ac:dyDescent="0.25">
      <c r="A258" s="9" t="s">
        <v>21</v>
      </c>
      <c r="B258" s="9" t="s">
        <v>28</v>
      </c>
      <c r="C258" s="9" t="s">
        <v>20</v>
      </c>
      <c r="D258" s="9" t="s">
        <v>12</v>
      </c>
      <c r="E258" s="9">
        <v>2015</v>
      </c>
      <c r="F258" s="44">
        <v>4.5932436588837975</v>
      </c>
      <c r="G258" s="3">
        <v>7.2531491325469641</v>
      </c>
      <c r="H258" s="3">
        <v>2.989407433678144</v>
      </c>
      <c r="I258" s="3">
        <v>13.530018532266013</v>
      </c>
      <c r="J258" s="38">
        <v>4.7404133545310021</v>
      </c>
      <c r="K258" s="69">
        <v>0.96895424836601307</v>
      </c>
      <c r="L258" s="9"/>
      <c r="M258" s="9"/>
      <c r="O258" s="9"/>
    </row>
    <row r="259" spans="1:15" x14ac:dyDescent="0.25">
      <c r="A259" s="9" t="s">
        <v>21</v>
      </c>
      <c r="B259" s="9" t="s">
        <v>28</v>
      </c>
      <c r="C259" s="9" t="s">
        <v>31</v>
      </c>
      <c r="D259" s="9" t="s">
        <v>15</v>
      </c>
      <c r="E259" s="9">
        <v>2015</v>
      </c>
      <c r="F259" s="44">
        <v>5.9985816266093099</v>
      </c>
      <c r="G259" s="3">
        <v>7.9770259702005379</v>
      </c>
      <c r="H259" s="3">
        <v>3.4451701320576125</v>
      </c>
      <c r="I259" s="3">
        <v>14.337339201124736</v>
      </c>
      <c r="J259" s="38">
        <v>6.1907790143084283</v>
      </c>
      <c r="K259" s="69">
        <v>0.96895424836601307</v>
      </c>
      <c r="L259" s="9"/>
      <c r="M259" s="9"/>
      <c r="O259" s="9"/>
    </row>
    <row r="260" spans="1:15" x14ac:dyDescent="0.25">
      <c r="A260" s="9" t="s">
        <v>21</v>
      </c>
      <c r="B260" s="9" t="s">
        <v>28</v>
      </c>
      <c r="C260" s="9" t="s">
        <v>19</v>
      </c>
      <c r="D260" s="9" t="s">
        <v>15</v>
      </c>
      <c r="E260" s="9">
        <v>2015</v>
      </c>
      <c r="F260" s="44">
        <v>10.506442290040905</v>
      </c>
      <c r="G260" s="3">
        <v>15.50226466096516</v>
      </c>
      <c r="H260" s="3">
        <v>8.8333172730088823</v>
      </c>
      <c r="I260" s="3">
        <v>23.961866502265206</v>
      </c>
      <c r="J260" s="38">
        <v>10.84307366189719</v>
      </c>
      <c r="K260" s="69">
        <v>0.96895424836601307</v>
      </c>
      <c r="L260" s="9"/>
      <c r="M260" s="9"/>
      <c r="O260" s="9"/>
    </row>
    <row r="261" spans="1:15" x14ac:dyDescent="0.25">
      <c r="A261" s="9" t="s">
        <v>21</v>
      </c>
      <c r="B261" s="9" t="s">
        <v>28</v>
      </c>
      <c r="C261" s="9" t="s">
        <v>20</v>
      </c>
      <c r="D261" s="9" t="s">
        <v>15</v>
      </c>
      <c r="E261" s="9">
        <v>2015</v>
      </c>
      <c r="F261" s="44">
        <v>4.8119695474020734</v>
      </c>
      <c r="G261" s="3">
        <v>5.3864777165006155</v>
      </c>
      <c r="H261" s="3">
        <v>1.8596702916373351</v>
      </c>
      <c r="I261" s="3">
        <v>11.049054248960839</v>
      </c>
      <c r="J261" s="38">
        <v>4.9661473237943827</v>
      </c>
      <c r="K261" s="69">
        <v>0.96895424836601307</v>
      </c>
      <c r="L261" s="9"/>
      <c r="M261" s="9"/>
      <c r="O261" s="9"/>
    </row>
    <row r="262" spans="1:15" x14ac:dyDescent="0.25">
      <c r="A262" s="9" t="s">
        <v>22</v>
      </c>
      <c r="B262" s="9" t="s">
        <v>11</v>
      </c>
      <c r="C262" s="9" t="s">
        <v>11</v>
      </c>
      <c r="D262" s="9" t="s">
        <v>11</v>
      </c>
      <c r="E262" s="9">
        <v>2015</v>
      </c>
      <c r="F262" s="44">
        <v>59.416762589928055</v>
      </c>
      <c r="G262" s="3">
        <v>59.403300000000002</v>
      </c>
      <c r="H262" s="3">
        <v>45</v>
      </c>
      <c r="I262" s="3">
        <v>75</v>
      </c>
      <c r="J262" s="38">
        <v>75.77</v>
      </c>
      <c r="K262" s="9">
        <v>0.78417266187050361</v>
      </c>
      <c r="L262" s="9"/>
      <c r="M262" s="9"/>
      <c r="O262" s="9"/>
    </row>
    <row r="263" spans="1:15" x14ac:dyDescent="0.25">
      <c r="A263" s="9" t="s">
        <v>22</v>
      </c>
      <c r="B263" s="9" t="s">
        <v>11</v>
      </c>
      <c r="C263" s="9" t="s">
        <v>19</v>
      </c>
      <c r="D263" s="9" t="s">
        <v>11</v>
      </c>
      <c r="E263" s="9">
        <v>2015</v>
      </c>
      <c r="F263" s="44">
        <v>12.436066588589597</v>
      </c>
      <c r="G263" s="3"/>
      <c r="H263" s="3"/>
      <c r="I263" s="3"/>
      <c r="J263" s="38">
        <v>15.85883720930233</v>
      </c>
      <c r="K263" s="9">
        <v>0.78417266187050361</v>
      </c>
      <c r="L263" s="9"/>
      <c r="M263" s="9"/>
      <c r="O263" s="9"/>
    </row>
    <row r="264" spans="1:15" x14ac:dyDescent="0.25">
      <c r="A264" s="9" t="s">
        <v>22</v>
      </c>
      <c r="B264" s="9" t="s">
        <v>24</v>
      </c>
      <c r="C264" s="9" t="s">
        <v>11</v>
      </c>
      <c r="D264" s="9" t="s">
        <v>11</v>
      </c>
      <c r="E264" s="9">
        <v>2015</v>
      </c>
      <c r="F264" s="44">
        <v>35.413964457573023</v>
      </c>
      <c r="G264" s="3"/>
      <c r="H264" s="3"/>
      <c r="I264" s="3"/>
      <c r="J264" s="38">
        <v>45.160927152317889</v>
      </c>
      <c r="K264" s="9">
        <v>0.78417266187050361</v>
      </c>
      <c r="L264" s="9"/>
      <c r="M264" s="9"/>
      <c r="O264" s="9"/>
    </row>
    <row r="265" spans="1:15" x14ac:dyDescent="0.25">
      <c r="A265" s="9" t="s">
        <v>22</v>
      </c>
      <c r="B265" s="9" t="s">
        <v>24</v>
      </c>
      <c r="C265" s="9" t="s">
        <v>31</v>
      </c>
      <c r="D265" s="9" t="s">
        <v>11</v>
      </c>
      <c r="E265" s="9">
        <v>2015</v>
      </c>
      <c r="F265" s="44">
        <v>25.530997632203803</v>
      </c>
      <c r="G265" s="3">
        <v>19.882906282589175</v>
      </c>
      <c r="H265" s="3">
        <v>12.005113598096258</v>
      </c>
      <c r="I265" s="3">
        <v>29.368315828350884</v>
      </c>
      <c r="J265" s="38">
        <v>32.557877714461732</v>
      </c>
      <c r="K265" s="9">
        <v>0.78417266187050361</v>
      </c>
      <c r="L265" s="9"/>
      <c r="M265" s="9"/>
      <c r="O265" s="9"/>
    </row>
    <row r="266" spans="1:15" x14ac:dyDescent="0.25">
      <c r="A266" s="9" t="s">
        <v>22</v>
      </c>
      <c r="B266" s="9" t="s">
        <v>24</v>
      </c>
      <c r="C266" s="9" t="s">
        <v>19</v>
      </c>
      <c r="D266" s="9" t="s">
        <v>11</v>
      </c>
      <c r="E266" s="9">
        <v>2015</v>
      </c>
      <c r="F266" s="44">
        <v>7.4122251190269113</v>
      </c>
      <c r="G266" s="3">
        <v>4.2628453248789251</v>
      </c>
      <c r="H266" s="3">
        <v>1.2508658546957272</v>
      </c>
      <c r="I266" s="3">
        <v>9.270650536855209</v>
      </c>
      <c r="J266" s="38">
        <v>9.452287078392116</v>
      </c>
      <c r="K266" s="9">
        <v>0.78417266187050361</v>
      </c>
      <c r="L266" s="9"/>
      <c r="M266" s="9"/>
      <c r="O266" s="9"/>
    </row>
    <row r="267" spans="1:15" x14ac:dyDescent="0.25">
      <c r="A267" s="9" t="s">
        <v>22</v>
      </c>
      <c r="B267" s="9" t="s">
        <v>24</v>
      </c>
      <c r="C267" s="9" t="s">
        <v>20</v>
      </c>
      <c r="D267" s="9" t="s">
        <v>11</v>
      </c>
      <c r="E267" s="9">
        <v>2015</v>
      </c>
      <c r="F267" s="44">
        <v>2.4707417063423036</v>
      </c>
      <c r="G267" s="3">
        <v>2.7380241036550532</v>
      </c>
      <c r="H267" s="3">
        <v>0.50606950147023722</v>
      </c>
      <c r="I267" s="3">
        <v>6.8839085587817728</v>
      </c>
      <c r="J267" s="38">
        <v>3.1507623594640384</v>
      </c>
      <c r="K267" s="9">
        <v>0.78417266187050361</v>
      </c>
      <c r="L267" s="9"/>
      <c r="M267" s="9"/>
      <c r="O267" s="9"/>
    </row>
    <row r="268" spans="1:15" x14ac:dyDescent="0.25">
      <c r="A268" s="9" t="s">
        <v>22</v>
      </c>
      <c r="B268" s="9" t="s">
        <v>26</v>
      </c>
      <c r="C268" s="9" t="s">
        <v>31</v>
      </c>
      <c r="D268" s="9" t="s">
        <v>12</v>
      </c>
      <c r="E268" s="9">
        <v>2015</v>
      </c>
      <c r="F268" s="44">
        <v>3.6938464659358692</v>
      </c>
      <c r="G268" s="3">
        <v>4.1614055530503862</v>
      </c>
      <c r="H268" s="3">
        <v>1.1713111046165703</v>
      </c>
      <c r="I268" s="3">
        <v>8.9670828328965406</v>
      </c>
      <c r="J268" s="38">
        <v>4.7105014565604204</v>
      </c>
      <c r="K268" s="9">
        <v>0.78417266187050361</v>
      </c>
      <c r="L268" s="9"/>
      <c r="M268" s="9"/>
      <c r="O268" s="9"/>
    </row>
    <row r="269" spans="1:15" x14ac:dyDescent="0.25">
      <c r="A269" s="9" t="s">
        <v>22</v>
      </c>
      <c r="B269" s="9" t="s">
        <v>26</v>
      </c>
      <c r="C269" s="9" t="s">
        <v>19</v>
      </c>
      <c r="D269" s="9" t="s">
        <v>12</v>
      </c>
      <c r="E269" s="9">
        <v>2015</v>
      </c>
      <c r="F269" s="44">
        <v>1.0724070384975106</v>
      </c>
      <c r="G269" s="3">
        <v>0.89577142182890135</v>
      </c>
      <c r="H269" s="3">
        <v>1.6503462800052656E-2</v>
      </c>
      <c r="I269" s="3">
        <v>3.4283326266578542</v>
      </c>
      <c r="J269" s="38">
        <v>1.3675649390014126</v>
      </c>
      <c r="K269" s="9">
        <v>0.78417266187050361</v>
      </c>
      <c r="L269" s="9"/>
      <c r="M269" s="9"/>
      <c r="O269" s="9"/>
    </row>
    <row r="270" spans="1:15" x14ac:dyDescent="0.25">
      <c r="A270" s="9" t="s">
        <v>22</v>
      </c>
      <c r="B270" s="9" t="s">
        <v>26</v>
      </c>
      <c r="C270" s="9" t="s">
        <v>20</v>
      </c>
      <c r="D270" s="9" t="s">
        <v>12</v>
      </c>
      <c r="E270" s="9">
        <v>2015</v>
      </c>
      <c r="F270" s="44">
        <v>0.35746901283250354</v>
      </c>
      <c r="G270" s="3">
        <v>0.5618325430399238</v>
      </c>
      <c r="H270" s="3">
        <v>1.2563759672003119E-3</v>
      </c>
      <c r="I270" s="3">
        <v>2.6391091404821303</v>
      </c>
      <c r="J270" s="38">
        <v>0.45585497966713756</v>
      </c>
      <c r="K270" s="9">
        <v>0.78417266187050361</v>
      </c>
      <c r="L270" s="9"/>
      <c r="M270" s="9"/>
      <c r="O270" s="9"/>
    </row>
    <row r="271" spans="1:15" x14ac:dyDescent="0.25">
      <c r="A271" s="9" t="s">
        <v>22</v>
      </c>
      <c r="B271" s="37" t="s">
        <v>26</v>
      </c>
      <c r="C271" s="37" t="s">
        <v>31</v>
      </c>
      <c r="D271" s="37" t="s">
        <v>15</v>
      </c>
      <c r="E271" s="37">
        <v>2015</v>
      </c>
      <c r="F271" s="44">
        <v>1.4123530605048913</v>
      </c>
      <c r="G271" s="3">
        <v>1.8265840664935999</v>
      </c>
      <c r="H271" s="3">
        <v>0.19281151846249181</v>
      </c>
      <c r="I271" s="3">
        <v>5.2899601037332591</v>
      </c>
      <c r="J271" s="14">
        <v>1.8010740863319255</v>
      </c>
      <c r="K271" s="37">
        <v>0.78417266187050361</v>
      </c>
      <c r="O271" s="9"/>
    </row>
    <row r="272" spans="1:15" x14ac:dyDescent="0.25">
      <c r="A272" s="9" t="s">
        <v>22</v>
      </c>
      <c r="B272" s="37" t="s">
        <v>26</v>
      </c>
      <c r="C272" s="37" t="s">
        <v>19</v>
      </c>
      <c r="D272" s="37" t="s">
        <v>15</v>
      </c>
      <c r="E272" s="37">
        <v>2015</v>
      </c>
      <c r="F272" s="44">
        <v>0.41003798530787167</v>
      </c>
      <c r="G272" s="3">
        <v>0.39457758095420753</v>
      </c>
      <c r="H272" s="3">
        <v>5.6634355600671502E-5</v>
      </c>
      <c r="I272" s="3">
        <v>2.2276927004567293</v>
      </c>
      <c r="J272" s="14">
        <v>0.52289247667701066</v>
      </c>
      <c r="K272" s="37">
        <v>0.78417266187050361</v>
      </c>
      <c r="O272" s="9"/>
    </row>
    <row r="273" spans="1:23" x14ac:dyDescent="0.25">
      <c r="A273" s="9" t="s">
        <v>22</v>
      </c>
      <c r="B273" s="37" t="s">
        <v>26</v>
      </c>
      <c r="C273" s="37" t="s">
        <v>20</v>
      </c>
      <c r="D273" s="37" t="s">
        <v>15</v>
      </c>
      <c r="E273" s="37">
        <v>2015</v>
      </c>
      <c r="F273" s="44">
        <v>0.13667932843595723</v>
      </c>
      <c r="G273" s="3">
        <v>0.2522644816502575</v>
      </c>
      <c r="H273" s="3">
        <v>2.6210222942670088E-7</v>
      </c>
      <c r="I273" s="3">
        <v>1.6926840711696614</v>
      </c>
      <c r="J273" s="14">
        <v>0.17429749222567023</v>
      </c>
      <c r="K273" s="37">
        <v>0.78417266187050361</v>
      </c>
      <c r="O273" s="9"/>
    </row>
    <row r="274" spans="1:23" x14ac:dyDescent="0.25">
      <c r="A274" s="9" t="s">
        <v>22</v>
      </c>
      <c r="B274" s="9" t="s">
        <v>27</v>
      </c>
      <c r="C274" s="9" t="s">
        <v>31</v>
      </c>
      <c r="D274" s="9" t="s">
        <v>11</v>
      </c>
      <c r="E274" s="9">
        <v>2015</v>
      </c>
      <c r="F274" s="44">
        <v>3.9714885205650368</v>
      </c>
      <c r="G274" s="3">
        <v>6.3373776842207539</v>
      </c>
      <c r="H274" s="3">
        <v>2.3556618337485689</v>
      </c>
      <c r="I274" s="3">
        <v>12.01386970837723</v>
      </c>
      <c r="J274" s="14">
        <v>5.0645587555829366</v>
      </c>
      <c r="K274" s="37">
        <v>0.78417266187050361</v>
      </c>
      <c r="O274" s="9"/>
    </row>
    <row r="275" spans="1:23" x14ac:dyDescent="0.25">
      <c r="A275" s="9" t="s">
        <v>22</v>
      </c>
      <c r="B275" s="9" t="s">
        <v>27</v>
      </c>
      <c r="C275" s="9" t="s">
        <v>19</v>
      </c>
      <c r="D275" s="9" t="s">
        <v>11</v>
      </c>
      <c r="E275" s="9">
        <v>2015</v>
      </c>
      <c r="F275" s="44">
        <v>1.1530127962930752</v>
      </c>
      <c r="G275" s="3">
        <v>1.3614418794612753</v>
      </c>
      <c r="H275" s="3">
        <v>7.8492285915115062E-2</v>
      </c>
      <c r="I275" s="3">
        <v>4.4205290546404843</v>
      </c>
      <c r="J275" s="14">
        <v>1.4703557677498849</v>
      </c>
      <c r="K275" s="37">
        <v>0.78417266187050361</v>
      </c>
      <c r="O275" s="9"/>
    </row>
    <row r="276" spans="1:23" x14ac:dyDescent="0.25">
      <c r="A276" s="9" t="s">
        <v>22</v>
      </c>
      <c r="B276" s="9" t="s">
        <v>27</v>
      </c>
      <c r="C276" s="9" t="s">
        <v>20</v>
      </c>
      <c r="D276" s="9" t="s">
        <v>11</v>
      </c>
      <c r="E276" s="9">
        <v>2015</v>
      </c>
      <c r="F276" s="44">
        <v>0.3843375987643583</v>
      </c>
      <c r="G276" s="3">
        <v>0.85287963764418717</v>
      </c>
      <c r="H276" s="3">
        <v>1.3210871563835056E-2</v>
      </c>
      <c r="I276" s="3">
        <v>3.3616105747490526</v>
      </c>
      <c r="J276" s="14">
        <v>0.49011858924996149</v>
      </c>
      <c r="K276" s="37">
        <v>0.78417266187050361</v>
      </c>
      <c r="O276" s="9"/>
    </row>
    <row r="277" spans="1:23" x14ac:dyDescent="0.25">
      <c r="A277" s="9" t="s">
        <v>22</v>
      </c>
      <c r="B277" s="9" t="s">
        <v>28</v>
      </c>
      <c r="C277" s="9" t="s">
        <v>31</v>
      </c>
      <c r="D277" s="9" t="s">
        <v>12</v>
      </c>
      <c r="E277" s="9">
        <v>2015</v>
      </c>
      <c r="F277" s="44">
        <v>5.9511970840077897</v>
      </c>
      <c r="G277" s="3">
        <v>8.1733441932099815</v>
      </c>
      <c r="H277" s="3">
        <v>3.5500548551187756</v>
      </c>
      <c r="I277" s="3">
        <v>14.685584730474249</v>
      </c>
      <c r="J277" s="14">
        <v>7.5891412355695671</v>
      </c>
      <c r="K277" s="37">
        <v>0.78417266187050361</v>
      </c>
      <c r="O277" s="9"/>
    </row>
    <row r="278" spans="1:23" x14ac:dyDescent="0.25">
      <c r="A278" s="9" t="s">
        <v>22</v>
      </c>
      <c r="B278" s="9" t="s">
        <v>28</v>
      </c>
      <c r="C278" s="9" t="s">
        <v>19</v>
      </c>
      <c r="D278" s="9" t="s">
        <v>12</v>
      </c>
      <c r="E278" s="9">
        <v>2015</v>
      </c>
      <c r="F278" s="44">
        <v>1.7277668953571004</v>
      </c>
      <c r="G278" s="3">
        <v>1.7746735170937225</v>
      </c>
      <c r="H278" s="3">
        <v>0.16096100038952868</v>
      </c>
      <c r="I278" s="3">
        <v>5.3182143314583632</v>
      </c>
      <c r="J278" s="14">
        <v>2.2032990683911646</v>
      </c>
      <c r="K278" s="37">
        <v>0.78417266187050361</v>
      </c>
      <c r="O278" s="9"/>
    </row>
    <row r="279" spans="1:23" x14ac:dyDescent="0.25">
      <c r="A279" s="9" t="s">
        <v>22</v>
      </c>
      <c r="B279" s="9" t="s">
        <v>28</v>
      </c>
      <c r="C279" s="9" t="s">
        <v>20</v>
      </c>
      <c r="D279" s="9" t="s">
        <v>12</v>
      </c>
      <c r="E279" s="9">
        <v>2015</v>
      </c>
      <c r="F279" s="44">
        <v>0.57592229845236675</v>
      </c>
      <c r="G279" s="3">
        <v>1.1123303868504983</v>
      </c>
      <c r="H279" s="3">
        <v>3.4038356524423469E-2</v>
      </c>
      <c r="I279" s="3">
        <v>3.8955961110689987</v>
      </c>
      <c r="J279" s="14">
        <v>0.73443302279705491</v>
      </c>
      <c r="K279" s="37">
        <v>0.78417266187050361</v>
      </c>
      <c r="O279" s="9"/>
    </row>
    <row r="280" spans="1:23" x14ac:dyDescent="0.25">
      <c r="A280" s="9" t="s">
        <v>22</v>
      </c>
      <c r="B280" s="37" t="s">
        <v>28</v>
      </c>
      <c r="C280" s="37" t="s">
        <v>31</v>
      </c>
      <c r="D280" s="37" t="s">
        <v>15</v>
      </c>
      <c r="E280" s="37">
        <v>2015</v>
      </c>
      <c r="F280" s="44">
        <v>2.275457708591214</v>
      </c>
      <c r="G280" s="3">
        <v>3.5848519200942026</v>
      </c>
      <c r="H280" s="3">
        <v>0.88741472816084532</v>
      </c>
      <c r="I280" s="3">
        <v>8.2105936019964396</v>
      </c>
      <c r="J280" s="14">
        <v>2.9017304724236581</v>
      </c>
      <c r="K280" s="37">
        <v>0.78417266187050361</v>
      </c>
      <c r="O280" s="9"/>
    </row>
    <row r="281" spans="1:23" x14ac:dyDescent="0.25">
      <c r="A281" s="9" t="s">
        <v>22</v>
      </c>
      <c r="B281" s="37" t="s">
        <v>28</v>
      </c>
      <c r="C281" s="37" t="s">
        <v>19</v>
      </c>
      <c r="D281" s="37" t="s">
        <v>15</v>
      </c>
      <c r="E281" s="37">
        <v>2015</v>
      </c>
      <c r="F281" s="44">
        <v>0.66061675410712661</v>
      </c>
      <c r="G281" s="3">
        <v>0.75382146829495822</v>
      </c>
      <c r="H281" s="3">
        <v>7.0385339151710748E-3</v>
      </c>
      <c r="I281" s="3">
        <v>3.1798962845079028</v>
      </c>
      <c r="J281" s="14">
        <v>0.84243787909073942</v>
      </c>
      <c r="K281" s="37">
        <v>0.78417266187050361</v>
      </c>
      <c r="O281" s="9"/>
    </row>
    <row r="282" spans="1:23" ht="15.75" thickBot="1" x14ac:dyDescent="0.3">
      <c r="A282" s="6" t="s">
        <v>22</v>
      </c>
      <c r="B282" s="6" t="s">
        <v>28</v>
      </c>
      <c r="C282" s="6" t="s">
        <v>20</v>
      </c>
      <c r="D282" s="6" t="s">
        <v>15</v>
      </c>
      <c r="E282" s="6">
        <v>2015</v>
      </c>
      <c r="F282" s="45">
        <v>0.22020558470237556</v>
      </c>
      <c r="G282" s="12">
        <v>0.47636795498999068</v>
      </c>
      <c r="H282" s="12">
        <v>3.6312464508757736E-4</v>
      </c>
      <c r="I282" s="12">
        <v>2.4510115293868178</v>
      </c>
      <c r="J282" s="65">
        <v>0.28081262636357984</v>
      </c>
      <c r="K282" s="6">
        <v>0.78417266187050361</v>
      </c>
      <c r="L282" s="6"/>
      <c r="M282" s="6"/>
      <c r="N282" s="6"/>
      <c r="O282" s="9"/>
    </row>
    <row r="283" spans="1:23" x14ac:dyDescent="0.25">
      <c r="A283" s="9"/>
      <c r="B283" s="9"/>
      <c r="C283" s="9"/>
      <c r="D283" s="9"/>
      <c r="E283" s="9"/>
      <c r="F283" s="44" t="s">
        <v>62</v>
      </c>
      <c r="G283" s="3"/>
      <c r="H283" s="3"/>
      <c r="I283" s="3"/>
      <c r="J283" s="9" t="s">
        <v>63</v>
      </c>
      <c r="K283" s="9" t="s">
        <v>64</v>
      </c>
      <c r="L283" s="9"/>
      <c r="M283" s="9"/>
      <c r="N283" s="9"/>
      <c r="O283" s="57"/>
      <c r="P283" s="58"/>
      <c r="Q283" s="58"/>
      <c r="R283" s="58"/>
      <c r="S283" s="58"/>
      <c r="T283" s="58" t="s">
        <v>62</v>
      </c>
      <c r="U283" s="58" t="s">
        <v>63</v>
      </c>
      <c r="V283" s="58" t="s">
        <v>64</v>
      </c>
      <c r="W283" s="62" t="s">
        <v>69</v>
      </c>
    </row>
    <row r="284" spans="1:23" x14ac:dyDescent="0.25">
      <c r="A284" s="11" t="s">
        <v>61</v>
      </c>
      <c r="B284" s="11" t="s">
        <v>11</v>
      </c>
      <c r="C284" s="37" t="s">
        <v>11</v>
      </c>
      <c r="D284" s="11" t="s">
        <v>11</v>
      </c>
      <c r="E284" s="9"/>
      <c r="F284" s="44">
        <v>245.33333333333334</v>
      </c>
      <c r="G284" s="3"/>
      <c r="H284" s="3"/>
      <c r="I284" s="3"/>
      <c r="J284" s="3">
        <f>J285+J286</f>
        <v>168.66666666666666</v>
      </c>
      <c r="K284" s="3">
        <f t="shared" ref="K284" si="0">K285+K286</f>
        <v>322</v>
      </c>
      <c r="L284" s="9"/>
      <c r="M284" s="9"/>
      <c r="N284" s="9"/>
      <c r="O284" s="57"/>
      <c r="P284" s="58"/>
      <c r="Q284" s="58"/>
      <c r="R284" s="58"/>
      <c r="S284" s="58"/>
      <c r="T284" s="58"/>
      <c r="U284" s="58"/>
      <c r="V284" s="58"/>
      <c r="W284" s="62"/>
    </row>
    <row r="285" spans="1:23" x14ac:dyDescent="0.25">
      <c r="A285" s="11" t="s">
        <v>61</v>
      </c>
      <c r="B285" s="11" t="s">
        <v>11</v>
      </c>
      <c r="C285" s="37" t="s">
        <v>11</v>
      </c>
      <c r="D285" s="11" t="s">
        <v>12</v>
      </c>
      <c r="E285" s="11">
        <v>2012</v>
      </c>
      <c r="F285" s="47">
        <v>208.4848484848485</v>
      </c>
      <c r="G285" s="2"/>
      <c r="H285" s="2"/>
      <c r="I285" s="2"/>
      <c r="J285" s="3">
        <v>143.33333333333331</v>
      </c>
      <c r="K285" s="3">
        <v>273.63636363636363</v>
      </c>
      <c r="O285" s="57" t="s">
        <v>61</v>
      </c>
      <c r="P285" s="58" t="s">
        <v>11</v>
      </c>
      <c r="Q285" s="58" t="s">
        <v>11</v>
      </c>
      <c r="R285" s="58" t="s">
        <v>12</v>
      </c>
      <c r="S285" s="58">
        <v>2012</v>
      </c>
      <c r="T285" s="58">
        <v>274.65517241379308</v>
      </c>
      <c r="U285" s="58">
        <v>213.62068965517241</v>
      </c>
      <c r="V285" s="58">
        <v>330.60344827586209</v>
      </c>
    </row>
    <row r="286" spans="1:23" x14ac:dyDescent="0.25">
      <c r="A286" s="11" t="s">
        <v>61</v>
      </c>
      <c r="B286" s="37" t="s">
        <v>11</v>
      </c>
      <c r="C286" s="37" t="s">
        <v>11</v>
      </c>
      <c r="D286" s="11" t="s">
        <v>15</v>
      </c>
      <c r="E286" s="11">
        <v>2012</v>
      </c>
      <c r="F286" s="47">
        <v>36.848484848484851</v>
      </c>
      <c r="G286" s="2"/>
      <c r="H286" s="2"/>
      <c r="I286" s="2"/>
      <c r="J286" s="3">
        <v>25.333333333333332</v>
      </c>
      <c r="K286" s="3">
        <v>48.36363636363636</v>
      </c>
      <c r="O286" s="57" t="s">
        <v>61</v>
      </c>
      <c r="P286" s="58" t="s">
        <v>11</v>
      </c>
      <c r="Q286" s="58" t="s">
        <v>11</v>
      </c>
      <c r="R286" s="58" t="s">
        <v>15</v>
      </c>
      <c r="S286" s="58">
        <v>2012</v>
      </c>
      <c r="T286" s="58">
        <v>58.189655172413794</v>
      </c>
      <c r="U286" s="58">
        <v>45.258620689655174</v>
      </c>
      <c r="V286" s="58">
        <v>70.043103448275872</v>
      </c>
    </row>
    <row r="287" spans="1:23" x14ac:dyDescent="0.25">
      <c r="A287" s="11" t="s">
        <v>61</v>
      </c>
      <c r="B287" s="37" t="s">
        <v>11</v>
      </c>
      <c r="C287" s="37" t="s">
        <v>31</v>
      </c>
      <c r="D287" s="37" t="s">
        <v>11</v>
      </c>
      <c r="E287" s="11">
        <v>2012</v>
      </c>
      <c r="F287" s="47">
        <v>176.4848484848485</v>
      </c>
      <c r="G287" s="2"/>
      <c r="H287" s="2"/>
      <c r="I287" s="2"/>
      <c r="J287" s="3">
        <v>121.33333333333333</v>
      </c>
      <c r="K287" s="3">
        <v>231.63636363636363</v>
      </c>
      <c r="O287" s="57" t="s">
        <v>61</v>
      </c>
      <c r="P287" s="58" t="s">
        <v>11</v>
      </c>
      <c r="Q287" s="58" t="s">
        <v>31</v>
      </c>
      <c r="R287" s="58" t="s">
        <v>11</v>
      </c>
      <c r="S287" s="58">
        <v>2012</v>
      </c>
      <c r="T287" s="58">
        <v>230.43103448275861</v>
      </c>
      <c r="U287" s="58">
        <v>179.22413793103448</v>
      </c>
      <c r="V287" s="58">
        <v>277.37068965517244</v>
      </c>
    </row>
    <row r="288" spans="1:23" x14ac:dyDescent="0.25">
      <c r="A288" s="11" t="s">
        <v>61</v>
      </c>
      <c r="B288" s="37" t="s">
        <v>11</v>
      </c>
      <c r="C288" s="37" t="s">
        <v>19</v>
      </c>
      <c r="D288" s="37" t="s">
        <v>11</v>
      </c>
      <c r="E288" s="11">
        <v>2012</v>
      </c>
      <c r="F288" s="47">
        <v>40.727272727272727</v>
      </c>
      <c r="G288" s="2"/>
      <c r="H288" s="2"/>
      <c r="I288" s="2"/>
      <c r="J288" s="3">
        <v>28</v>
      </c>
      <c r="K288" s="3">
        <v>53.454545454545453</v>
      </c>
      <c r="O288" s="57" t="s">
        <v>61</v>
      </c>
      <c r="P288" s="58" t="s">
        <v>11</v>
      </c>
      <c r="Q288" s="58" t="s">
        <v>19</v>
      </c>
      <c r="R288" s="58" t="s">
        <v>11</v>
      </c>
      <c r="S288" s="58">
        <v>2012</v>
      </c>
      <c r="T288" s="58">
        <v>66.336206896551715</v>
      </c>
      <c r="U288" s="58">
        <v>51.594827586206897</v>
      </c>
      <c r="V288" s="58">
        <v>79.849137931034491</v>
      </c>
    </row>
    <row r="289" spans="1:22" x14ac:dyDescent="0.25">
      <c r="A289" s="11" t="s">
        <v>61</v>
      </c>
      <c r="B289" s="37" t="s">
        <v>11</v>
      </c>
      <c r="C289" s="37" t="s">
        <v>20</v>
      </c>
      <c r="D289" s="37" t="s">
        <v>11</v>
      </c>
      <c r="E289" s="11">
        <v>2012</v>
      </c>
      <c r="F289" s="47">
        <v>28.121212121212121</v>
      </c>
      <c r="G289" s="2"/>
      <c r="H289" s="2"/>
      <c r="I289" s="2"/>
      <c r="J289" s="3">
        <v>19.333333333333332</v>
      </c>
      <c r="K289" s="3">
        <v>36.909090909090907</v>
      </c>
      <c r="O289" s="57" t="s">
        <v>61</v>
      </c>
      <c r="P289" s="58" t="s">
        <v>11</v>
      </c>
      <c r="Q289" s="58" t="s">
        <v>20</v>
      </c>
      <c r="R289" s="58" t="s">
        <v>11</v>
      </c>
      <c r="S289" s="58">
        <v>2012</v>
      </c>
      <c r="T289" s="58">
        <v>36.077586206896548</v>
      </c>
      <c r="U289" s="58">
        <v>28.060344827586206</v>
      </c>
      <c r="V289" s="58">
        <v>43.426724137931039</v>
      </c>
    </row>
    <row r="290" spans="1:22" x14ac:dyDescent="0.25">
      <c r="A290" s="11" t="s">
        <v>61</v>
      </c>
      <c r="B290" s="37" t="s">
        <v>24</v>
      </c>
      <c r="C290" s="37" t="s">
        <v>11</v>
      </c>
      <c r="D290" s="37" t="s">
        <v>11</v>
      </c>
      <c r="E290" s="11">
        <v>2012</v>
      </c>
      <c r="F290" s="44">
        <v>158.06060606060606</v>
      </c>
      <c r="G290" s="3"/>
      <c r="H290" s="3"/>
      <c r="I290" s="3"/>
      <c r="J290" s="3">
        <v>108.66666666666666</v>
      </c>
      <c r="K290" s="3">
        <v>207.45454545454544</v>
      </c>
      <c r="M290" s="21"/>
      <c r="O290" s="57" t="s">
        <v>61</v>
      </c>
      <c r="P290" s="58" t="s">
        <v>24</v>
      </c>
      <c r="Q290" s="58" t="s">
        <v>11</v>
      </c>
      <c r="R290" s="58" t="s">
        <v>11</v>
      </c>
      <c r="S290" s="58">
        <v>2012</v>
      </c>
      <c r="T290" s="58">
        <v>197.84482758620689</v>
      </c>
      <c r="U290" s="58">
        <v>153.87931034482759</v>
      </c>
      <c r="V290" s="58">
        <v>238.14655172413794</v>
      </c>
    </row>
    <row r="291" spans="1:22" x14ac:dyDescent="0.25">
      <c r="A291" s="11"/>
      <c r="E291" s="11"/>
      <c r="F291" s="44">
        <v>233.38600451467269</v>
      </c>
      <c r="G291" s="3"/>
      <c r="H291" s="3"/>
      <c r="I291" s="3"/>
      <c r="J291" s="3">
        <f t="shared" ref="J291" si="1">J292+J293</f>
        <v>152.4153498871332</v>
      </c>
      <c r="K291" s="3">
        <f t="shared" ref="K291" si="2">K292+K293</f>
        <v>319.11963882618505</v>
      </c>
      <c r="M291" s="21"/>
      <c r="O291" s="57"/>
      <c r="P291" s="58"/>
      <c r="Q291" s="58"/>
      <c r="R291" s="58"/>
      <c r="S291" s="58"/>
      <c r="T291" s="58"/>
      <c r="U291" s="58"/>
      <c r="V291" s="58"/>
    </row>
    <row r="292" spans="1:22" x14ac:dyDescent="0.25">
      <c r="A292" s="11" t="s">
        <v>61</v>
      </c>
      <c r="B292" s="11" t="s">
        <v>11</v>
      </c>
      <c r="C292" s="37" t="s">
        <v>11</v>
      </c>
      <c r="D292" s="11" t="s">
        <v>12</v>
      </c>
      <c r="E292" s="11">
        <v>2013</v>
      </c>
      <c r="F292" s="44">
        <v>204.627539503386</v>
      </c>
      <c r="G292" s="3"/>
      <c r="H292" s="3"/>
      <c r="I292" s="3"/>
      <c r="J292" s="3">
        <v>133.63431151241537</v>
      </c>
      <c r="K292" s="3">
        <v>279.7968397291196</v>
      </c>
      <c r="M292" s="1"/>
      <c r="O292" s="57" t="s">
        <v>61</v>
      </c>
      <c r="P292" s="58" t="s">
        <v>11</v>
      </c>
      <c r="Q292" s="58" t="s">
        <v>11</v>
      </c>
      <c r="R292" s="58" t="s">
        <v>12</v>
      </c>
      <c r="S292" s="58">
        <v>2013</v>
      </c>
      <c r="T292" s="58">
        <v>248.46982758620689</v>
      </c>
      <c r="U292" s="58">
        <v>193.25431034482759</v>
      </c>
      <c r="V292" s="58">
        <v>299.08405172413796</v>
      </c>
    </row>
    <row r="293" spans="1:22" x14ac:dyDescent="0.25">
      <c r="A293" s="11" t="s">
        <v>61</v>
      </c>
      <c r="B293" s="37" t="s">
        <v>11</v>
      </c>
      <c r="C293" s="37" t="s">
        <v>11</v>
      </c>
      <c r="D293" s="11" t="s">
        <v>15</v>
      </c>
      <c r="E293" s="11">
        <v>2013</v>
      </c>
      <c r="F293" s="44">
        <v>28.758465011286681</v>
      </c>
      <c r="G293" s="3"/>
      <c r="H293" s="3"/>
      <c r="I293" s="3"/>
      <c r="J293" s="3">
        <v>18.781038374717834</v>
      </c>
      <c r="K293" s="3">
        <v>39.322799097065463</v>
      </c>
      <c r="M293" s="1"/>
      <c r="O293" s="57" t="s">
        <v>61</v>
      </c>
      <c r="P293" s="58" t="s">
        <v>11</v>
      </c>
      <c r="Q293" s="58" t="s">
        <v>11</v>
      </c>
      <c r="R293" s="58" t="s">
        <v>15</v>
      </c>
      <c r="S293" s="58">
        <v>2013</v>
      </c>
      <c r="T293" s="58">
        <v>44.806034482758619</v>
      </c>
      <c r="U293" s="58">
        <v>34.849137931034484</v>
      </c>
      <c r="V293" s="58">
        <v>53.93318965517242</v>
      </c>
    </row>
    <row r="294" spans="1:22" x14ac:dyDescent="0.25">
      <c r="A294" s="11" t="s">
        <v>61</v>
      </c>
      <c r="B294" s="37" t="s">
        <v>11</v>
      </c>
      <c r="C294" s="37" t="s">
        <v>31</v>
      </c>
      <c r="D294" s="37" t="s">
        <v>11</v>
      </c>
      <c r="E294" s="11">
        <v>2013</v>
      </c>
      <c r="F294" s="44">
        <v>155.95936794582391</v>
      </c>
      <c r="G294" s="3"/>
      <c r="H294" s="3"/>
      <c r="I294" s="3"/>
      <c r="J294" s="3">
        <v>101.85101580135441</v>
      </c>
      <c r="K294" s="3">
        <v>213.25056433408577</v>
      </c>
      <c r="M294" s="1"/>
      <c r="O294" s="57" t="s">
        <v>61</v>
      </c>
      <c r="P294" s="58" t="s">
        <v>11</v>
      </c>
      <c r="Q294" s="58" t="s">
        <v>31</v>
      </c>
      <c r="R294" s="58" t="s">
        <v>11</v>
      </c>
      <c r="S294" s="58">
        <v>2013</v>
      </c>
      <c r="T294" s="58">
        <v>185.04310344827584</v>
      </c>
      <c r="U294" s="58">
        <v>143.92241379310343</v>
      </c>
      <c r="V294" s="58">
        <v>222.73706896551727</v>
      </c>
    </row>
    <row r="295" spans="1:22" x14ac:dyDescent="0.25">
      <c r="A295" s="11" t="s">
        <v>61</v>
      </c>
      <c r="B295" s="37" t="s">
        <v>11</v>
      </c>
      <c r="C295" s="37" t="s">
        <v>19</v>
      </c>
      <c r="D295" s="37" t="s">
        <v>11</v>
      </c>
      <c r="E295" s="11">
        <v>2013</v>
      </c>
      <c r="F295" s="44">
        <v>39.819413092550789</v>
      </c>
      <c r="G295" s="3"/>
      <c r="H295" s="3"/>
      <c r="I295" s="3"/>
      <c r="J295" s="3">
        <v>26.004514672686231</v>
      </c>
      <c r="K295" s="3">
        <v>54.446952595936793</v>
      </c>
      <c r="M295" s="1"/>
      <c r="O295" s="57" t="s">
        <v>61</v>
      </c>
      <c r="P295" s="58" t="s">
        <v>11</v>
      </c>
      <c r="Q295" s="58" t="s">
        <v>19</v>
      </c>
      <c r="R295" s="58" t="s">
        <v>11</v>
      </c>
      <c r="S295" s="58">
        <v>2013</v>
      </c>
      <c r="T295" s="58">
        <v>61.681034482758619</v>
      </c>
      <c r="U295" s="58">
        <v>47.974137931034484</v>
      </c>
      <c r="V295" s="58">
        <v>74.245689655172413</v>
      </c>
    </row>
    <row r="296" spans="1:22" x14ac:dyDescent="0.25">
      <c r="A296" s="11" t="s">
        <v>61</v>
      </c>
      <c r="B296" s="37" t="s">
        <v>11</v>
      </c>
      <c r="C296" s="37" t="s">
        <v>20</v>
      </c>
      <c r="D296" s="37" t="s">
        <v>11</v>
      </c>
      <c r="E296" s="11">
        <v>2013</v>
      </c>
      <c r="F296" s="44">
        <v>37.607223476297968</v>
      </c>
      <c r="G296" s="3"/>
      <c r="H296" s="3"/>
      <c r="I296" s="3"/>
      <c r="J296" s="3">
        <v>24.559819413092551</v>
      </c>
      <c r="K296" s="3">
        <v>51.422121896162523</v>
      </c>
      <c r="M296" s="1"/>
      <c r="O296" s="57" t="s">
        <v>61</v>
      </c>
      <c r="P296" s="58" t="s">
        <v>11</v>
      </c>
      <c r="Q296" s="58" t="s">
        <v>20</v>
      </c>
      <c r="R296" s="58" t="s">
        <v>11</v>
      </c>
      <c r="S296" s="58">
        <v>2013</v>
      </c>
      <c r="T296" s="58">
        <v>46.551724137931032</v>
      </c>
      <c r="U296" s="58">
        <v>36.206896551724135</v>
      </c>
      <c r="V296" s="58">
        <v>56.034482758620697</v>
      </c>
    </row>
    <row r="297" spans="1:22" x14ac:dyDescent="0.25">
      <c r="A297" s="11" t="s">
        <v>61</v>
      </c>
      <c r="B297" s="37" t="s">
        <v>24</v>
      </c>
      <c r="C297" s="37" t="s">
        <v>11</v>
      </c>
      <c r="D297" s="37" t="s">
        <v>11</v>
      </c>
      <c r="E297" s="11">
        <v>2013</v>
      </c>
      <c r="F297" s="44">
        <v>162.5959367945824</v>
      </c>
      <c r="G297" s="3"/>
      <c r="H297" s="3"/>
      <c r="I297" s="3"/>
      <c r="J297" s="3">
        <v>106.18510158013544</v>
      </c>
      <c r="K297" s="3">
        <v>222.32505643340858</v>
      </c>
      <c r="M297" s="1"/>
      <c r="O297" s="58" t="s">
        <v>61</v>
      </c>
      <c r="P297" s="58" t="s">
        <v>24</v>
      </c>
      <c r="Q297" s="58" t="s">
        <v>11</v>
      </c>
      <c r="R297" s="58" t="s">
        <v>11</v>
      </c>
      <c r="S297" s="58">
        <v>2013</v>
      </c>
      <c r="T297" s="58">
        <v>187.37068965517241</v>
      </c>
      <c r="U297" s="58">
        <v>145.73275862068965</v>
      </c>
      <c r="V297" s="58">
        <v>225.53879310344828</v>
      </c>
    </row>
    <row r="298" spans="1:22" x14ac:dyDescent="0.25">
      <c r="A298" s="11"/>
      <c r="E298" s="11"/>
      <c r="F298" s="44">
        <v>205.67505720823797</v>
      </c>
      <c r="G298" s="3"/>
      <c r="H298" s="3"/>
      <c r="I298" s="3"/>
      <c r="J298" s="3">
        <f t="shared" ref="J298" si="3">J299+J300</f>
        <v>112.63157894736842</v>
      </c>
      <c r="K298" s="3">
        <f t="shared" ref="K298" si="4">K299+K300</f>
        <v>293.82151029748286</v>
      </c>
      <c r="M298" s="1"/>
      <c r="O298" s="58"/>
      <c r="P298" s="58"/>
      <c r="Q298" s="58"/>
      <c r="R298" s="58"/>
      <c r="S298" s="58"/>
      <c r="T298" s="58"/>
      <c r="U298" s="58"/>
      <c r="V298" s="58"/>
    </row>
    <row r="299" spans="1:22" x14ac:dyDescent="0.25">
      <c r="A299" s="37" t="s">
        <v>61</v>
      </c>
      <c r="B299" s="37" t="s">
        <v>11</v>
      </c>
      <c r="C299" s="37" t="s">
        <v>11</v>
      </c>
      <c r="D299" s="37" t="s">
        <v>12</v>
      </c>
      <c r="E299" s="37">
        <v>2014</v>
      </c>
      <c r="F299" s="47">
        <v>182.60869565217391</v>
      </c>
      <c r="G299" s="2"/>
      <c r="H299" s="2"/>
      <c r="I299" s="2"/>
      <c r="J299" s="1">
        <v>100</v>
      </c>
      <c r="K299" s="1">
        <v>260.86956521739131</v>
      </c>
      <c r="M299" s="1"/>
      <c r="O299" s="58" t="s">
        <v>61</v>
      </c>
      <c r="P299" s="58" t="s">
        <v>11</v>
      </c>
      <c r="Q299" s="58" t="s">
        <v>11</v>
      </c>
      <c r="R299" s="58" t="s">
        <v>12</v>
      </c>
      <c r="S299" s="58">
        <v>2014</v>
      </c>
      <c r="T299" s="58">
        <v>268.83620689655169</v>
      </c>
      <c r="U299" s="58">
        <v>209.09482758620689</v>
      </c>
      <c r="V299" s="58">
        <v>323.59913793103453</v>
      </c>
    </row>
    <row r="300" spans="1:22" x14ac:dyDescent="0.25">
      <c r="A300" s="37" t="s">
        <v>61</v>
      </c>
      <c r="B300" s="37" t="s">
        <v>11</v>
      </c>
      <c r="C300" s="37" t="s">
        <v>11</v>
      </c>
      <c r="D300" s="37" t="s">
        <v>15</v>
      </c>
      <c r="E300" s="37">
        <v>2014</v>
      </c>
      <c r="F300" s="47">
        <v>23.066361556064074</v>
      </c>
      <c r="G300" s="2"/>
      <c r="H300" s="2"/>
      <c r="I300" s="2"/>
      <c r="J300" s="1">
        <v>12.631578947368421</v>
      </c>
      <c r="K300" s="1">
        <v>32.951945080091534</v>
      </c>
      <c r="M300" s="1"/>
      <c r="O300" s="58" t="s">
        <v>61</v>
      </c>
      <c r="P300" s="58" t="s">
        <v>11</v>
      </c>
      <c r="Q300" s="58" t="s">
        <v>11</v>
      </c>
      <c r="R300" s="58" t="s">
        <v>15</v>
      </c>
      <c r="S300" s="58">
        <v>2014</v>
      </c>
      <c r="T300" s="58">
        <v>47.71551724137931</v>
      </c>
      <c r="U300" s="58">
        <v>37.112068965517238</v>
      </c>
      <c r="V300" s="58">
        <v>57.435344827586214</v>
      </c>
    </row>
    <row r="301" spans="1:22" x14ac:dyDescent="0.25">
      <c r="A301" s="37" t="s">
        <v>61</v>
      </c>
      <c r="B301" s="37" t="s">
        <v>11</v>
      </c>
      <c r="C301" s="37" t="s">
        <v>31</v>
      </c>
      <c r="D301" s="37" t="s">
        <v>11</v>
      </c>
      <c r="E301" s="37">
        <v>2014</v>
      </c>
      <c r="F301" s="47">
        <v>138.39816933638446</v>
      </c>
      <c r="G301" s="2"/>
      <c r="H301" s="2"/>
      <c r="I301" s="2"/>
      <c r="J301" s="1">
        <v>75.78947368421052</v>
      </c>
      <c r="K301" s="1">
        <v>197.7116704805492</v>
      </c>
      <c r="O301" s="58" t="s">
        <v>61</v>
      </c>
      <c r="P301" s="58" t="s">
        <v>11</v>
      </c>
      <c r="Q301" s="58" t="s">
        <v>31</v>
      </c>
      <c r="R301" s="58" t="s">
        <v>11</v>
      </c>
      <c r="S301" s="58">
        <v>2014</v>
      </c>
      <c r="T301" s="58">
        <v>201.33620689655172</v>
      </c>
      <c r="U301" s="58">
        <v>156.59482758620689</v>
      </c>
      <c r="V301" s="58">
        <v>242.34913793103451</v>
      </c>
    </row>
    <row r="302" spans="1:22" x14ac:dyDescent="0.25">
      <c r="A302" s="37" t="s">
        <v>61</v>
      </c>
      <c r="B302" s="37" t="s">
        <v>11</v>
      </c>
      <c r="C302" s="37" t="s">
        <v>19</v>
      </c>
      <c r="D302" s="37" t="s">
        <v>11</v>
      </c>
      <c r="E302" s="37">
        <v>2014</v>
      </c>
      <c r="F302" s="47">
        <v>42.288329519450798</v>
      </c>
      <c r="G302" s="2"/>
      <c r="H302" s="2"/>
      <c r="I302" s="2"/>
      <c r="J302" s="1">
        <v>23.157894736842103</v>
      </c>
      <c r="K302" s="1">
        <v>60.411899313501145</v>
      </c>
      <c r="O302" s="58" t="s">
        <v>61</v>
      </c>
      <c r="P302" s="58" t="s">
        <v>11</v>
      </c>
      <c r="Q302" s="58" t="s">
        <v>19</v>
      </c>
      <c r="R302" s="58" t="s">
        <v>11</v>
      </c>
      <c r="S302" s="58">
        <v>2014</v>
      </c>
      <c r="T302" s="58">
        <v>79.137931034482762</v>
      </c>
      <c r="U302" s="58">
        <v>61.551724137931032</v>
      </c>
      <c r="V302" s="58">
        <v>95.258620689655174</v>
      </c>
    </row>
    <row r="303" spans="1:22" x14ac:dyDescent="0.25">
      <c r="A303" s="37" t="s">
        <v>61</v>
      </c>
      <c r="B303" s="37" t="s">
        <v>11</v>
      </c>
      <c r="C303" s="37" t="s">
        <v>20</v>
      </c>
      <c r="D303" s="37" t="s">
        <v>11</v>
      </c>
      <c r="E303" s="37">
        <v>2014</v>
      </c>
      <c r="F303" s="47">
        <v>25.949656750572082</v>
      </c>
      <c r="G303" s="2"/>
      <c r="H303" s="2"/>
      <c r="I303" s="2"/>
      <c r="J303" s="1">
        <v>14.210526315789473</v>
      </c>
      <c r="K303" s="1">
        <v>37.070938215102977</v>
      </c>
      <c r="O303" s="58" t="s">
        <v>61</v>
      </c>
      <c r="P303" s="58" t="s">
        <v>11</v>
      </c>
      <c r="Q303" s="58" t="s">
        <v>20</v>
      </c>
      <c r="R303" s="58" t="s">
        <v>11</v>
      </c>
      <c r="S303" s="58">
        <v>2014</v>
      </c>
      <c r="T303" s="58">
        <v>36.077586206896548</v>
      </c>
      <c r="U303" s="58">
        <v>28.060344827586206</v>
      </c>
      <c r="V303" s="58">
        <v>43.426724137931039</v>
      </c>
    </row>
    <row r="304" spans="1:22" x14ac:dyDescent="0.25">
      <c r="A304" s="37" t="s">
        <v>61</v>
      </c>
      <c r="B304" s="37" t="s">
        <v>24</v>
      </c>
      <c r="C304" s="37" t="s">
        <v>11</v>
      </c>
      <c r="D304" s="37" t="s">
        <v>11</v>
      </c>
      <c r="E304" s="37">
        <v>2014</v>
      </c>
      <c r="F304" s="47">
        <v>145.1258581235698</v>
      </c>
      <c r="G304" s="2"/>
      <c r="H304" s="2"/>
      <c r="I304" s="2"/>
      <c r="J304" s="1">
        <v>79.473684210526315</v>
      </c>
      <c r="K304" s="1">
        <v>207.32265446224255</v>
      </c>
      <c r="O304" s="58" t="s">
        <v>61</v>
      </c>
      <c r="P304" s="58" t="s">
        <v>24</v>
      </c>
      <c r="Q304" s="58" t="s">
        <v>11</v>
      </c>
      <c r="R304" s="58" t="s">
        <v>11</v>
      </c>
      <c r="S304" s="58">
        <v>2014</v>
      </c>
      <c r="T304" s="58">
        <v>196.68103448275861</v>
      </c>
      <c r="U304" s="58">
        <v>152.97413793103448</v>
      </c>
      <c r="V304" s="58">
        <v>236.74568965517244</v>
      </c>
    </row>
    <row r="305" spans="1:22" x14ac:dyDescent="0.25">
      <c r="F305" s="44">
        <v>197</v>
      </c>
      <c r="G305" s="3"/>
      <c r="H305" s="3"/>
      <c r="I305" s="3"/>
      <c r="J305" s="3">
        <f t="shared" ref="J305" si="5">J306+J307</f>
        <v>91.933333333333337</v>
      </c>
      <c r="K305" s="3">
        <f t="shared" ref="K305" si="6">K306+K307</f>
        <v>297.68888888888887</v>
      </c>
      <c r="O305" s="58"/>
      <c r="P305" s="58"/>
      <c r="Q305" s="58"/>
      <c r="R305" s="58"/>
      <c r="S305" s="58"/>
      <c r="T305" s="58"/>
      <c r="U305" s="58"/>
      <c r="V305" s="58"/>
    </row>
    <row r="306" spans="1:22" x14ac:dyDescent="0.25">
      <c r="A306" s="37" t="s">
        <v>61</v>
      </c>
      <c r="B306" s="37" t="s">
        <v>11</v>
      </c>
      <c r="C306" s="37" t="s">
        <v>11</v>
      </c>
      <c r="D306" s="37" t="s">
        <v>12</v>
      </c>
      <c r="E306" s="37">
        <v>2015</v>
      </c>
      <c r="F306" s="47">
        <v>174</v>
      </c>
      <c r="G306" s="2"/>
      <c r="H306" s="2"/>
      <c r="I306" s="2"/>
      <c r="J306" s="1">
        <v>81.2</v>
      </c>
      <c r="K306" s="1">
        <v>262.93333333333334</v>
      </c>
      <c r="O306" s="58" t="s">
        <v>61</v>
      </c>
      <c r="P306" s="58" t="s">
        <v>11</v>
      </c>
      <c r="Q306" s="58" t="s">
        <v>11</v>
      </c>
      <c r="R306" s="58" t="s">
        <v>12</v>
      </c>
      <c r="S306" s="58">
        <v>2015</v>
      </c>
      <c r="T306" s="58">
        <v>238.57758620689654</v>
      </c>
      <c r="U306" s="58">
        <v>185.56034482758619</v>
      </c>
      <c r="V306" s="58">
        <v>287.17672413793105</v>
      </c>
    </row>
    <row r="307" spans="1:22" x14ac:dyDescent="0.25">
      <c r="A307" s="37" t="s">
        <v>61</v>
      </c>
      <c r="B307" s="37" t="s">
        <v>11</v>
      </c>
      <c r="C307" s="37" t="s">
        <v>11</v>
      </c>
      <c r="D307" s="37" t="s">
        <v>15</v>
      </c>
      <c r="E307" s="37">
        <v>2015</v>
      </c>
      <c r="F307" s="47">
        <v>23</v>
      </c>
      <c r="G307" s="2"/>
      <c r="H307" s="2"/>
      <c r="I307" s="2"/>
      <c r="J307" s="1">
        <v>10.733333333333334</v>
      </c>
      <c r="K307" s="1">
        <v>34.755555555555553</v>
      </c>
      <c r="O307" s="58" t="s">
        <v>61</v>
      </c>
      <c r="P307" s="58" t="s">
        <v>11</v>
      </c>
      <c r="Q307" s="58" t="s">
        <v>11</v>
      </c>
      <c r="R307" s="58" t="s">
        <v>15</v>
      </c>
      <c r="S307" s="58">
        <v>2015</v>
      </c>
      <c r="T307" s="58">
        <v>37.241379310344826</v>
      </c>
      <c r="U307" s="58">
        <v>28.96551724137931</v>
      </c>
      <c r="V307" s="58">
        <v>44.827586206896555</v>
      </c>
    </row>
    <row r="308" spans="1:22" x14ac:dyDescent="0.25">
      <c r="A308" s="37" t="s">
        <v>61</v>
      </c>
      <c r="B308" s="37" t="s">
        <v>11</v>
      </c>
      <c r="C308" s="37" t="s">
        <v>31</v>
      </c>
      <c r="D308" s="37" t="s">
        <v>11</v>
      </c>
      <c r="E308" s="37">
        <v>2015</v>
      </c>
      <c r="F308" s="47">
        <v>122</v>
      </c>
      <c r="G308" s="2"/>
      <c r="H308" s="2"/>
      <c r="I308" s="2"/>
      <c r="J308" s="1">
        <v>56.933333333333337</v>
      </c>
      <c r="K308" s="1">
        <v>184.35555555555555</v>
      </c>
      <c r="O308" s="58" t="s">
        <v>61</v>
      </c>
      <c r="P308" s="58" t="s">
        <v>11</v>
      </c>
      <c r="Q308" s="58" t="s">
        <v>31</v>
      </c>
      <c r="R308" s="58" t="s">
        <v>11</v>
      </c>
      <c r="S308" s="58">
        <v>2015</v>
      </c>
      <c r="T308" s="58">
        <v>160.60344827586206</v>
      </c>
      <c r="U308" s="58">
        <v>124.91379310344827</v>
      </c>
      <c r="V308" s="58">
        <v>193.31896551724139</v>
      </c>
    </row>
    <row r="309" spans="1:22" x14ac:dyDescent="0.25">
      <c r="A309" s="37" t="s">
        <v>61</v>
      </c>
      <c r="B309" s="37" t="s">
        <v>11</v>
      </c>
      <c r="C309" s="37" t="s">
        <v>19</v>
      </c>
      <c r="D309" s="37" t="s">
        <v>11</v>
      </c>
      <c r="E309" s="37">
        <v>2015</v>
      </c>
      <c r="F309" s="47">
        <v>42</v>
      </c>
      <c r="G309" s="2"/>
      <c r="H309" s="2"/>
      <c r="I309" s="2"/>
      <c r="J309" s="1">
        <v>19.600000000000001</v>
      </c>
      <c r="K309" s="1">
        <v>63.466666666666669</v>
      </c>
      <c r="O309" s="58" t="s">
        <v>61</v>
      </c>
      <c r="P309" s="58" t="s">
        <v>11</v>
      </c>
      <c r="Q309" s="58" t="s">
        <v>19</v>
      </c>
      <c r="R309" s="58" t="s">
        <v>11</v>
      </c>
      <c r="S309" s="58">
        <v>2015</v>
      </c>
      <c r="T309" s="58">
        <v>69.827586206896541</v>
      </c>
      <c r="U309" s="58">
        <v>54.310344827586206</v>
      </c>
      <c r="V309" s="58">
        <v>84.051724137931046</v>
      </c>
    </row>
    <row r="310" spans="1:22" x14ac:dyDescent="0.25">
      <c r="A310" s="37" t="s">
        <v>61</v>
      </c>
      <c r="B310" s="37" t="s">
        <v>11</v>
      </c>
      <c r="C310" s="37" t="s">
        <v>20</v>
      </c>
      <c r="D310" s="37" t="s">
        <v>11</v>
      </c>
      <c r="E310" s="37">
        <v>2015</v>
      </c>
      <c r="F310" s="47">
        <v>34</v>
      </c>
      <c r="G310" s="2"/>
      <c r="H310" s="2"/>
      <c r="I310" s="2"/>
      <c r="J310" s="1">
        <v>15.866666666666667</v>
      </c>
      <c r="K310" s="1">
        <v>51.37777777777778</v>
      </c>
      <c r="O310" s="58" t="s">
        <v>61</v>
      </c>
      <c r="P310" s="58" t="s">
        <v>11</v>
      </c>
      <c r="Q310" s="58" t="s">
        <v>20</v>
      </c>
      <c r="R310" s="58" t="s">
        <v>11</v>
      </c>
      <c r="S310" s="58">
        <v>2015</v>
      </c>
      <c r="T310" s="58">
        <v>45.387931034482754</v>
      </c>
      <c r="U310" s="58">
        <v>35.301724137931032</v>
      </c>
      <c r="V310" s="58">
        <v>54.633620689655174</v>
      </c>
    </row>
    <row r="311" spans="1:22" x14ac:dyDescent="0.25">
      <c r="A311" s="37" t="s">
        <v>61</v>
      </c>
      <c r="B311" s="37" t="s">
        <v>24</v>
      </c>
      <c r="C311" s="37" t="s">
        <v>11</v>
      </c>
      <c r="D311" s="37" t="s">
        <v>11</v>
      </c>
      <c r="E311" s="37">
        <v>2015</v>
      </c>
      <c r="F311" s="47">
        <v>141</v>
      </c>
      <c r="G311" s="2"/>
      <c r="H311" s="2"/>
      <c r="I311" s="2"/>
      <c r="J311" s="1">
        <v>65.8</v>
      </c>
      <c r="K311" s="1">
        <v>213.06666666666666</v>
      </c>
      <c r="O311" s="58" t="s">
        <v>61</v>
      </c>
      <c r="P311" s="58" t="s">
        <v>24</v>
      </c>
      <c r="Q311" s="58" t="s">
        <v>11</v>
      </c>
      <c r="R311" s="58" t="s">
        <v>11</v>
      </c>
      <c r="S311" s="58">
        <v>2015</v>
      </c>
      <c r="T311" s="58">
        <v>178.06034482758619</v>
      </c>
      <c r="U311" s="58">
        <v>138.49137931034483</v>
      </c>
      <c r="V311" s="58">
        <v>214.33189655172416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857"/>
  <sheetViews>
    <sheetView zoomScale="80" zoomScaleNormal="80" workbookViewId="0">
      <pane ySplit="1" topLeftCell="A2" activePane="bottomLeft" state="frozen"/>
      <selection activeCell="E872" sqref="E872"/>
      <selection pane="bottomLeft" activeCell="M870" sqref="M870"/>
    </sheetView>
  </sheetViews>
  <sheetFormatPr defaultRowHeight="15" x14ac:dyDescent="0.25"/>
  <cols>
    <col min="1" max="1" width="28.5703125" bestFit="1" customWidth="1"/>
    <col min="2" max="2" width="22.85546875" customWidth="1"/>
    <col min="3" max="3" width="13.85546875" bestFit="1" customWidth="1"/>
    <col min="4" max="4" width="13.28515625" customWidth="1"/>
    <col min="6" max="6" width="9" customWidth="1"/>
    <col min="7" max="8" width="6.140625" customWidth="1"/>
  </cols>
  <sheetData>
    <row r="1" spans="1:10" x14ac:dyDescent="0.25">
      <c r="A1" t="s">
        <v>0</v>
      </c>
      <c r="B1" t="s">
        <v>1</v>
      </c>
      <c r="C1" t="s">
        <v>2</v>
      </c>
      <c r="D1" t="s">
        <v>3</v>
      </c>
      <c r="E1" t="s">
        <v>4</v>
      </c>
      <c r="F1" t="s">
        <v>5</v>
      </c>
      <c r="G1" t="s">
        <v>6</v>
      </c>
      <c r="H1" t="s">
        <v>7</v>
      </c>
      <c r="I1" t="s">
        <v>8</v>
      </c>
      <c r="J1" t="s">
        <v>9</v>
      </c>
    </row>
    <row r="2" spans="1:10" hidden="1" x14ac:dyDescent="0.25">
      <c r="A2" t="s">
        <v>10</v>
      </c>
      <c r="B2" t="s">
        <v>11</v>
      </c>
      <c r="C2" t="s">
        <v>11</v>
      </c>
      <c r="D2" t="s">
        <v>12</v>
      </c>
      <c r="E2">
        <v>2010</v>
      </c>
      <c r="F2" s="1">
        <f>81144-168-10376*0.43</f>
        <v>76514.320000000007</v>
      </c>
      <c r="G2" s="1"/>
      <c r="H2" s="1"/>
      <c r="I2" t="s">
        <v>13</v>
      </c>
      <c r="J2" t="s">
        <v>14</v>
      </c>
    </row>
    <row r="3" spans="1:10" hidden="1" x14ac:dyDescent="0.25">
      <c r="A3" t="s">
        <v>10</v>
      </c>
      <c r="B3" t="s">
        <v>11</v>
      </c>
      <c r="C3" t="s">
        <v>11</v>
      </c>
      <c r="D3" t="s">
        <v>15</v>
      </c>
      <c r="E3">
        <v>2010</v>
      </c>
      <c r="F3" s="1">
        <f>32374-174-3510*0.43</f>
        <v>30690.7</v>
      </c>
      <c r="G3" s="1"/>
      <c r="H3" s="1"/>
      <c r="I3" t="s">
        <v>13</v>
      </c>
      <c r="J3" t="s">
        <v>14</v>
      </c>
    </row>
    <row r="4" spans="1:10" hidden="1" x14ac:dyDescent="0.25">
      <c r="A4" t="s">
        <v>10</v>
      </c>
      <c r="B4" t="s">
        <v>11</v>
      </c>
      <c r="C4" t="s">
        <v>11</v>
      </c>
      <c r="D4" t="s">
        <v>12</v>
      </c>
      <c r="E4">
        <v>2011</v>
      </c>
      <c r="F4" s="1">
        <f>82582-125-11617*0.43</f>
        <v>77461.69</v>
      </c>
      <c r="G4" s="1"/>
      <c r="H4" s="1"/>
      <c r="I4" t="s">
        <v>13</v>
      </c>
      <c r="J4" t="s">
        <v>14</v>
      </c>
    </row>
    <row r="5" spans="1:10" hidden="1" x14ac:dyDescent="0.25">
      <c r="A5" t="s">
        <v>10</v>
      </c>
      <c r="B5" t="s">
        <v>11</v>
      </c>
      <c r="C5" t="s">
        <v>11</v>
      </c>
      <c r="D5" t="s">
        <v>15</v>
      </c>
      <c r="E5">
        <v>2011</v>
      </c>
      <c r="F5" s="1">
        <f>33669-143-4028*0.43</f>
        <v>31793.96</v>
      </c>
      <c r="G5" s="1"/>
      <c r="H5" s="1"/>
      <c r="I5" t="s">
        <v>13</v>
      </c>
      <c r="J5" t="s">
        <v>14</v>
      </c>
    </row>
    <row r="6" spans="1:10" hidden="1" x14ac:dyDescent="0.25">
      <c r="A6" t="s">
        <v>10</v>
      </c>
      <c r="B6" t="s">
        <v>11</v>
      </c>
      <c r="C6" t="s">
        <v>11</v>
      </c>
      <c r="D6" t="s">
        <v>12</v>
      </c>
      <c r="E6">
        <v>2012</v>
      </c>
      <c r="F6" s="1">
        <f>84044-95-13042*0.44</f>
        <v>78210.52</v>
      </c>
      <c r="G6" s="1"/>
      <c r="H6" s="1"/>
      <c r="I6" t="s">
        <v>13</v>
      </c>
      <c r="J6" t="s">
        <v>16</v>
      </c>
    </row>
    <row r="7" spans="1:10" hidden="1" x14ac:dyDescent="0.25">
      <c r="A7" t="s">
        <v>10</v>
      </c>
      <c r="B7" t="s">
        <v>11</v>
      </c>
      <c r="C7" t="s">
        <v>11</v>
      </c>
      <c r="D7" t="s">
        <v>15</v>
      </c>
      <c r="E7">
        <v>2012</v>
      </c>
      <c r="F7" s="1">
        <f>33846-111-4599*0.44</f>
        <v>31711.439999999999</v>
      </c>
      <c r="G7" s="1"/>
      <c r="H7" s="1"/>
      <c r="I7" t="s">
        <v>13</v>
      </c>
      <c r="J7" t="s">
        <v>16</v>
      </c>
    </row>
    <row r="8" spans="1:10" hidden="1" x14ac:dyDescent="0.25">
      <c r="A8" t="s">
        <v>10</v>
      </c>
      <c r="B8" t="s">
        <v>11</v>
      </c>
      <c r="C8" t="s">
        <v>11</v>
      </c>
      <c r="D8" t="s">
        <v>12</v>
      </c>
      <c r="E8">
        <v>2013</v>
      </c>
      <c r="F8" s="1">
        <f>85290-81-14558*0.45</f>
        <v>78657.899999999994</v>
      </c>
      <c r="G8" s="1"/>
      <c r="H8" s="1"/>
      <c r="I8" t="s">
        <v>13</v>
      </c>
      <c r="J8" t="s">
        <v>17</v>
      </c>
    </row>
    <row r="9" spans="1:10" hidden="1" x14ac:dyDescent="0.25">
      <c r="A9" t="s">
        <v>10</v>
      </c>
      <c r="B9" t="s">
        <v>11</v>
      </c>
      <c r="C9" t="s">
        <v>11</v>
      </c>
      <c r="D9" t="s">
        <v>15</v>
      </c>
      <c r="E9">
        <v>2013</v>
      </c>
      <c r="F9" s="1">
        <f>33950-91-5176*0.45</f>
        <v>31529.8</v>
      </c>
      <c r="G9" s="1"/>
      <c r="H9" s="1"/>
      <c r="I9" t="s">
        <v>13</v>
      </c>
      <c r="J9" t="s">
        <v>17</v>
      </c>
    </row>
    <row r="10" spans="1:10" hidden="1" x14ac:dyDescent="0.25">
      <c r="A10" t="s">
        <v>10</v>
      </c>
      <c r="B10" t="s">
        <v>11</v>
      </c>
      <c r="C10" t="s">
        <v>11</v>
      </c>
      <c r="D10" t="s">
        <v>12</v>
      </c>
      <c r="E10">
        <v>2014</v>
      </c>
      <c r="F10" s="1">
        <f>86488-67-16195*0.45</f>
        <v>79133.25</v>
      </c>
      <c r="G10" s="1"/>
      <c r="H10" s="1"/>
      <c r="I10" t="s">
        <v>13</v>
      </c>
      <c r="J10" t="s">
        <v>17</v>
      </c>
    </row>
    <row r="11" spans="1:10" hidden="1" x14ac:dyDescent="0.25">
      <c r="A11" t="s">
        <v>10</v>
      </c>
      <c r="B11" t="s">
        <v>11</v>
      </c>
      <c r="C11" t="s">
        <v>11</v>
      </c>
      <c r="D11" t="s">
        <v>15</v>
      </c>
      <c r="E11">
        <v>2014</v>
      </c>
      <c r="F11" s="1">
        <f>34060-76-5847*0.45</f>
        <v>31352.85</v>
      </c>
      <c r="G11" s="1"/>
      <c r="H11" s="1"/>
      <c r="I11" t="s">
        <v>13</v>
      </c>
      <c r="J11" t="s">
        <v>17</v>
      </c>
    </row>
    <row r="12" spans="1:10" hidden="1" x14ac:dyDescent="0.25">
      <c r="A12" t="s">
        <v>10</v>
      </c>
      <c r="B12" t="s">
        <v>11</v>
      </c>
      <c r="C12" t="s">
        <v>11</v>
      </c>
      <c r="D12" t="s">
        <v>12</v>
      </c>
      <c r="E12">
        <v>2015</v>
      </c>
      <c r="F12" s="1">
        <f>87505-61-17907*0.46</f>
        <v>79206.78</v>
      </c>
      <c r="G12" s="1"/>
      <c r="H12" s="1"/>
      <c r="I12" t="s">
        <v>13</v>
      </c>
      <c r="J12" t="s">
        <v>18</v>
      </c>
    </row>
    <row r="13" spans="1:10" hidden="1" x14ac:dyDescent="0.25">
      <c r="A13" t="s">
        <v>10</v>
      </c>
      <c r="B13" t="s">
        <v>11</v>
      </c>
      <c r="C13" t="s">
        <v>11</v>
      </c>
      <c r="D13" t="s">
        <v>15</v>
      </c>
      <c r="E13">
        <v>2015</v>
      </c>
      <c r="F13" s="1">
        <f>34111-56-6607*0.46</f>
        <v>31015.78</v>
      </c>
      <c r="G13" s="1"/>
      <c r="H13" s="1"/>
      <c r="I13" t="s">
        <v>13</v>
      </c>
      <c r="J13" t="s">
        <v>18</v>
      </c>
    </row>
    <row r="14" spans="1:10" hidden="1" x14ac:dyDescent="0.25">
      <c r="A14" t="s">
        <v>10</v>
      </c>
      <c r="B14" t="s">
        <v>11</v>
      </c>
      <c r="C14" t="s">
        <v>19</v>
      </c>
      <c r="D14" t="s">
        <v>12</v>
      </c>
      <c r="E14">
        <v>2010</v>
      </c>
      <c r="F14" s="1">
        <f>31813-106-4250*0.43</f>
        <v>29879.5</v>
      </c>
      <c r="G14" s="1"/>
      <c r="H14" s="1"/>
      <c r="I14" t="s">
        <v>13</v>
      </c>
      <c r="J14" t="s">
        <v>14</v>
      </c>
    </row>
    <row r="15" spans="1:10" hidden="1" x14ac:dyDescent="0.25">
      <c r="A15" t="s">
        <v>10</v>
      </c>
      <c r="B15" t="s">
        <v>11</v>
      </c>
      <c r="C15" t="s">
        <v>19</v>
      </c>
      <c r="D15" t="s">
        <v>15</v>
      </c>
      <c r="E15">
        <v>2010</v>
      </c>
      <c r="F15" s="1">
        <f>18817-102-1903*0.43</f>
        <v>17896.71</v>
      </c>
      <c r="G15" s="1"/>
      <c r="H15" s="1"/>
      <c r="I15" t="s">
        <v>13</v>
      </c>
      <c r="J15" t="s">
        <v>14</v>
      </c>
    </row>
    <row r="16" spans="1:10" hidden="1" x14ac:dyDescent="0.25">
      <c r="A16" t="s">
        <v>10</v>
      </c>
      <c r="B16" t="s">
        <v>11</v>
      </c>
      <c r="C16" t="s">
        <v>19</v>
      </c>
      <c r="D16" t="s">
        <v>12</v>
      </c>
      <c r="E16">
        <v>2011</v>
      </c>
      <c r="F16" s="1">
        <f>32269-76-4736*0.43</f>
        <v>30156.52</v>
      </c>
      <c r="G16" s="1"/>
      <c r="H16" s="1"/>
      <c r="I16" t="s">
        <v>13</v>
      </c>
      <c r="J16" t="s">
        <v>14</v>
      </c>
    </row>
    <row r="17" spans="1:10" hidden="1" x14ac:dyDescent="0.25">
      <c r="A17" t="s">
        <v>10</v>
      </c>
      <c r="B17" t="s">
        <v>11</v>
      </c>
      <c r="C17" t="s">
        <v>19</v>
      </c>
      <c r="D17" t="s">
        <v>15</v>
      </c>
      <c r="E17">
        <v>2011</v>
      </c>
      <c r="F17" s="1">
        <f>19490-80-2205*0.43</f>
        <v>18461.849999999999</v>
      </c>
      <c r="G17" s="1"/>
      <c r="H17" s="1"/>
      <c r="I17" t="s">
        <v>13</v>
      </c>
      <c r="J17" t="s">
        <v>14</v>
      </c>
    </row>
    <row r="18" spans="1:10" hidden="1" x14ac:dyDescent="0.25">
      <c r="A18" t="s">
        <v>10</v>
      </c>
      <c r="B18" t="s">
        <v>11</v>
      </c>
      <c r="C18" t="s">
        <v>19</v>
      </c>
      <c r="D18" t="s">
        <v>12</v>
      </c>
      <c r="E18">
        <v>2012</v>
      </c>
      <c r="F18" s="1">
        <f>32691-62-5293*0.43</f>
        <v>30353.010000000002</v>
      </c>
      <c r="G18" s="1"/>
      <c r="H18" s="1"/>
      <c r="I18" t="s">
        <v>13</v>
      </c>
      <c r="J18" t="s">
        <v>16</v>
      </c>
    </row>
    <row r="19" spans="1:10" hidden="1" x14ac:dyDescent="0.25">
      <c r="A19" t="s">
        <v>10</v>
      </c>
      <c r="B19" t="s">
        <v>11</v>
      </c>
      <c r="C19" t="s">
        <v>19</v>
      </c>
      <c r="D19" t="s">
        <v>15</v>
      </c>
      <c r="E19">
        <v>2012</v>
      </c>
      <c r="F19" s="1">
        <f>19621-67-2536*0.43</f>
        <v>18463.52</v>
      </c>
      <c r="G19" s="1"/>
      <c r="H19" s="1"/>
      <c r="I19" t="s">
        <v>13</v>
      </c>
      <c r="J19" t="s">
        <v>16</v>
      </c>
    </row>
    <row r="20" spans="1:10" hidden="1" x14ac:dyDescent="0.25">
      <c r="A20" t="s">
        <v>10</v>
      </c>
      <c r="B20" t="s">
        <v>11</v>
      </c>
      <c r="C20" t="s">
        <v>19</v>
      </c>
      <c r="D20" t="s">
        <v>12</v>
      </c>
      <c r="E20">
        <v>2013</v>
      </c>
      <c r="F20" s="1">
        <f>33042-53-5862*0.43</f>
        <v>30468.34</v>
      </c>
      <c r="G20" s="1"/>
      <c r="H20" s="1"/>
      <c r="I20" t="s">
        <v>13</v>
      </c>
      <c r="J20" t="s">
        <v>17</v>
      </c>
    </row>
    <row r="21" spans="1:10" hidden="1" x14ac:dyDescent="0.25">
      <c r="A21" t="s">
        <v>10</v>
      </c>
      <c r="B21" t="s">
        <v>11</v>
      </c>
      <c r="C21" t="s">
        <v>19</v>
      </c>
      <c r="D21" t="s">
        <v>15</v>
      </c>
      <c r="E21">
        <v>2013</v>
      </c>
      <c r="F21" s="1">
        <f>19685-55-2854*0.43</f>
        <v>18402.78</v>
      </c>
      <c r="G21" s="1"/>
      <c r="H21" s="1"/>
      <c r="I21" t="s">
        <v>13</v>
      </c>
      <c r="J21" t="s">
        <v>17</v>
      </c>
    </row>
    <row r="22" spans="1:10" hidden="1" x14ac:dyDescent="0.25">
      <c r="A22" t="s">
        <v>10</v>
      </c>
      <c r="B22" t="s">
        <v>11</v>
      </c>
      <c r="C22" t="s">
        <v>19</v>
      </c>
      <c r="D22" t="s">
        <v>12</v>
      </c>
      <c r="E22">
        <v>2014</v>
      </c>
      <c r="F22" s="1">
        <f>33393-43-6475*0.43</f>
        <v>30565.75</v>
      </c>
      <c r="G22" s="1"/>
      <c r="H22" s="1"/>
      <c r="I22" t="s">
        <v>13</v>
      </c>
      <c r="J22" t="s">
        <v>17</v>
      </c>
    </row>
    <row r="23" spans="1:10" hidden="1" x14ac:dyDescent="0.25">
      <c r="A23" t="s">
        <v>10</v>
      </c>
      <c r="B23" t="s">
        <v>11</v>
      </c>
      <c r="C23" t="s">
        <v>19</v>
      </c>
      <c r="D23" t="s">
        <v>15</v>
      </c>
      <c r="E23">
        <v>2014</v>
      </c>
      <c r="F23" s="1">
        <f>19780-46-3246*0.43</f>
        <v>18338.22</v>
      </c>
      <c r="G23" s="1"/>
      <c r="H23" s="1"/>
      <c r="I23" t="s">
        <v>13</v>
      </c>
      <c r="J23" t="s">
        <v>17</v>
      </c>
    </row>
    <row r="24" spans="1:10" hidden="1" x14ac:dyDescent="0.25">
      <c r="A24" t="s">
        <v>10</v>
      </c>
      <c r="B24" t="s">
        <v>11</v>
      </c>
      <c r="C24" t="s">
        <v>19</v>
      </c>
      <c r="D24" t="s">
        <v>12</v>
      </c>
      <c r="E24">
        <v>2015</v>
      </c>
      <c r="F24" s="1">
        <f>33633-39-7129*0.43</f>
        <v>30528.53</v>
      </c>
      <c r="G24" s="1"/>
      <c r="H24" s="1"/>
      <c r="I24" t="s">
        <v>13</v>
      </c>
      <c r="J24" t="s">
        <v>18</v>
      </c>
    </row>
    <row r="25" spans="1:10" hidden="1" x14ac:dyDescent="0.25">
      <c r="A25" t="s">
        <v>10</v>
      </c>
      <c r="B25" t="s">
        <v>11</v>
      </c>
      <c r="C25" t="s">
        <v>19</v>
      </c>
      <c r="D25" t="s">
        <v>15</v>
      </c>
      <c r="E25">
        <v>2015</v>
      </c>
      <c r="F25" s="1">
        <f>19829-30-3671*0.43</f>
        <v>18220.47</v>
      </c>
      <c r="G25" s="1"/>
      <c r="H25" s="1"/>
      <c r="I25" t="s">
        <v>13</v>
      </c>
      <c r="J25" t="s">
        <v>18</v>
      </c>
    </row>
    <row r="26" spans="1:10" hidden="1" x14ac:dyDescent="0.25">
      <c r="A26" t="s">
        <v>10</v>
      </c>
      <c r="B26" t="s">
        <v>11</v>
      </c>
      <c r="C26" t="s">
        <v>20</v>
      </c>
      <c r="D26" t="s">
        <v>12</v>
      </c>
      <c r="E26">
        <v>2010</v>
      </c>
      <c r="F26" s="1">
        <v>25012.35</v>
      </c>
      <c r="G26" s="1"/>
      <c r="H26" s="1"/>
      <c r="I26" t="s">
        <v>13</v>
      </c>
      <c r="J26" t="s">
        <v>14</v>
      </c>
    </row>
    <row r="27" spans="1:10" hidden="1" x14ac:dyDescent="0.25">
      <c r="A27" t="s">
        <v>10</v>
      </c>
      <c r="B27" t="s">
        <v>11</v>
      </c>
      <c r="C27" t="s">
        <v>20</v>
      </c>
      <c r="D27" t="s">
        <v>15</v>
      </c>
      <c r="E27">
        <v>2010</v>
      </c>
      <c r="F27" s="1">
        <v>9975.2000000000007</v>
      </c>
      <c r="G27" s="1"/>
      <c r="H27" s="1"/>
      <c r="I27" t="s">
        <v>13</v>
      </c>
      <c r="J27" t="s">
        <v>14</v>
      </c>
    </row>
    <row r="28" spans="1:10" hidden="1" x14ac:dyDescent="0.25">
      <c r="A28" t="s">
        <v>10</v>
      </c>
      <c r="B28" t="s">
        <v>11</v>
      </c>
      <c r="C28" t="s">
        <v>20</v>
      </c>
      <c r="D28" t="s">
        <v>12</v>
      </c>
      <c r="E28">
        <v>2011</v>
      </c>
      <c r="F28" s="1">
        <f>26657-41-3316*0.43</f>
        <v>25190.12</v>
      </c>
      <c r="G28" s="1"/>
      <c r="H28" s="1"/>
      <c r="I28" t="s">
        <v>13</v>
      </c>
      <c r="J28" t="s">
        <v>14</v>
      </c>
    </row>
    <row r="29" spans="1:10" hidden="1" x14ac:dyDescent="0.25">
      <c r="A29" t="s">
        <v>10</v>
      </c>
      <c r="B29" t="s">
        <v>11</v>
      </c>
      <c r="C29" t="s">
        <v>20</v>
      </c>
      <c r="D29" t="s">
        <v>15</v>
      </c>
      <c r="E29">
        <v>2011</v>
      </c>
      <c r="F29" s="1">
        <f>11075-55-1431*0.43</f>
        <v>10404.67</v>
      </c>
      <c r="G29" s="1"/>
      <c r="H29" s="1"/>
      <c r="I29" t="s">
        <v>13</v>
      </c>
      <c r="J29" t="s">
        <v>14</v>
      </c>
    </row>
    <row r="30" spans="1:10" hidden="1" x14ac:dyDescent="0.25">
      <c r="A30" t="s">
        <v>10</v>
      </c>
      <c r="B30" t="s">
        <v>11</v>
      </c>
      <c r="C30" t="s">
        <v>20</v>
      </c>
      <c r="D30" t="s">
        <v>12</v>
      </c>
      <c r="E30">
        <v>2012</v>
      </c>
      <c r="F30" s="1">
        <f>27174-28-3704*0.44</f>
        <v>25516.240000000002</v>
      </c>
      <c r="G30" s="1"/>
      <c r="H30" s="1"/>
      <c r="I30" t="s">
        <v>13</v>
      </c>
      <c r="J30" t="s">
        <v>16</v>
      </c>
    </row>
    <row r="31" spans="1:10" hidden="1" x14ac:dyDescent="0.25">
      <c r="A31" t="s">
        <v>10</v>
      </c>
      <c r="B31" t="s">
        <v>11</v>
      </c>
      <c r="C31" t="s">
        <v>20</v>
      </c>
      <c r="D31" t="s">
        <v>15</v>
      </c>
      <c r="E31">
        <v>2012</v>
      </c>
      <c r="F31" s="1">
        <f>11097-39-1612*0.44</f>
        <v>10348.719999999999</v>
      </c>
      <c r="G31" s="1"/>
      <c r="H31" s="1"/>
      <c r="I31" t="s">
        <v>13</v>
      </c>
      <c r="J31" t="s">
        <v>16</v>
      </c>
    </row>
    <row r="32" spans="1:10" hidden="1" x14ac:dyDescent="0.25">
      <c r="A32" t="s">
        <v>10</v>
      </c>
      <c r="B32" t="s">
        <v>11</v>
      </c>
      <c r="C32" t="s">
        <v>20</v>
      </c>
      <c r="D32" t="s">
        <v>12</v>
      </c>
      <c r="E32">
        <v>2013</v>
      </c>
      <c r="F32" s="1">
        <f>27608-22-4139*0.45</f>
        <v>25723.45</v>
      </c>
      <c r="G32" s="1"/>
      <c r="H32" s="1"/>
      <c r="I32" t="s">
        <v>13</v>
      </c>
      <c r="J32" t="s">
        <v>17</v>
      </c>
    </row>
    <row r="33" spans="1:10" hidden="1" x14ac:dyDescent="0.25">
      <c r="A33" t="s">
        <v>10</v>
      </c>
      <c r="B33" t="s">
        <v>11</v>
      </c>
      <c r="C33" t="s">
        <v>20</v>
      </c>
      <c r="D33" t="s">
        <v>15</v>
      </c>
      <c r="E33">
        <v>2013</v>
      </c>
      <c r="F33" s="1">
        <f>11123-32-1806*0.45</f>
        <v>10278.299999999999</v>
      </c>
      <c r="G33" s="1"/>
      <c r="H33" s="1"/>
      <c r="I33" t="s">
        <v>13</v>
      </c>
      <c r="J33" t="s">
        <v>17</v>
      </c>
    </row>
    <row r="34" spans="1:10" hidden="1" x14ac:dyDescent="0.25">
      <c r="A34" t="s">
        <v>10</v>
      </c>
      <c r="B34" t="s">
        <v>11</v>
      </c>
      <c r="C34" t="s">
        <v>20</v>
      </c>
      <c r="D34" t="s">
        <v>12</v>
      </c>
      <c r="E34">
        <v>2014</v>
      </c>
      <c r="F34" s="1">
        <f>28018-18-4624*0.45</f>
        <v>25919.200000000001</v>
      </c>
      <c r="G34" s="1"/>
      <c r="H34" s="1"/>
      <c r="I34" t="s">
        <v>13</v>
      </c>
      <c r="J34" t="s">
        <v>17</v>
      </c>
    </row>
    <row r="35" spans="1:10" hidden="1" x14ac:dyDescent="0.25">
      <c r="A35" t="s">
        <v>10</v>
      </c>
      <c r="B35" t="s">
        <v>11</v>
      </c>
      <c r="C35" t="s">
        <v>20</v>
      </c>
      <c r="D35" t="s">
        <v>15</v>
      </c>
      <c r="E35">
        <v>2014</v>
      </c>
      <c r="F35" s="1">
        <f>11123-26-2007*0.45</f>
        <v>10193.85</v>
      </c>
      <c r="G35" s="1"/>
      <c r="H35" s="1"/>
      <c r="I35" t="s">
        <v>13</v>
      </c>
      <c r="J35" t="s">
        <v>17</v>
      </c>
    </row>
    <row r="36" spans="1:10" hidden="1" x14ac:dyDescent="0.25">
      <c r="A36" t="s">
        <v>10</v>
      </c>
      <c r="B36" t="s">
        <v>11</v>
      </c>
      <c r="C36" t="s">
        <v>20</v>
      </c>
      <c r="D36" t="s">
        <v>12</v>
      </c>
      <c r="E36">
        <v>2015</v>
      </c>
      <c r="F36" s="1">
        <f>28466-16-5178*0.46</f>
        <v>26068.12</v>
      </c>
      <c r="G36" s="1"/>
      <c r="H36" s="1"/>
      <c r="I36" t="s">
        <v>13</v>
      </c>
      <c r="J36" t="s">
        <v>18</v>
      </c>
    </row>
    <row r="37" spans="1:10" hidden="1" x14ac:dyDescent="0.25">
      <c r="A37" t="s">
        <v>10</v>
      </c>
      <c r="B37" t="s">
        <v>11</v>
      </c>
      <c r="C37" t="s">
        <v>20</v>
      </c>
      <c r="D37" t="s">
        <v>15</v>
      </c>
      <c r="E37">
        <v>2015</v>
      </c>
      <c r="F37" s="1">
        <f>11124-23-2261*0.46</f>
        <v>10060.94</v>
      </c>
      <c r="G37" s="1"/>
      <c r="H37" s="1"/>
      <c r="I37" t="s">
        <v>13</v>
      </c>
      <c r="J37" t="s">
        <v>18</v>
      </c>
    </row>
    <row r="38" spans="1:10" hidden="1" x14ac:dyDescent="0.25">
      <c r="A38" t="s">
        <v>21</v>
      </c>
      <c r="B38" t="s">
        <v>11</v>
      </c>
      <c r="C38" t="s">
        <v>11</v>
      </c>
      <c r="D38" t="s">
        <v>12</v>
      </c>
      <c r="E38">
        <v>2011</v>
      </c>
      <c r="F38" s="2">
        <f>2597-1-80*0.43</f>
        <v>2561.6</v>
      </c>
      <c r="G38" s="2"/>
      <c r="H38" s="2"/>
      <c r="I38" t="s">
        <v>13</v>
      </c>
      <c r="J38" t="s">
        <v>14</v>
      </c>
    </row>
    <row r="39" spans="1:10" hidden="1" x14ac:dyDescent="0.25">
      <c r="A39" t="s">
        <v>21</v>
      </c>
      <c r="B39" t="s">
        <v>11</v>
      </c>
      <c r="C39" t="s">
        <v>11</v>
      </c>
      <c r="D39" t="s">
        <v>15</v>
      </c>
      <c r="E39">
        <v>2011</v>
      </c>
      <c r="F39" s="2">
        <f>789-6-57*0.43</f>
        <v>758.49</v>
      </c>
      <c r="G39" s="2"/>
      <c r="H39" s="2"/>
      <c r="I39" t="s">
        <v>13</v>
      </c>
      <c r="J39" t="s">
        <v>14</v>
      </c>
    </row>
    <row r="40" spans="1:10" hidden="1" x14ac:dyDescent="0.25">
      <c r="A40" t="s">
        <v>21</v>
      </c>
      <c r="B40" t="s">
        <v>11</v>
      </c>
      <c r="C40" t="s">
        <v>11</v>
      </c>
      <c r="D40" t="s">
        <v>12</v>
      </c>
      <c r="E40">
        <v>2012</v>
      </c>
      <c r="F40" s="2">
        <f>2442-5-102*0.44</f>
        <v>2392.12</v>
      </c>
      <c r="G40" s="2"/>
      <c r="H40" s="2"/>
      <c r="I40" t="s">
        <v>13</v>
      </c>
      <c r="J40" t="s">
        <v>16</v>
      </c>
    </row>
    <row r="41" spans="1:10" hidden="1" x14ac:dyDescent="0.25">
      <c r="A41" t="s">
        <v>21</v>
      </c>
      <c r="B41" t="s">
        <v>11</v>
      </c>
      <c r="C41" t="s">
        <v>11</v>
      </c>
      <c r="D41" t="s">
        <v>15</v>
      </c>
      <c r="E41">
        <v>2012</v>
      </c>
      <c r="F41" s="2">
        <f>670-1-51*0.44</f>
        <v>646.55999999999995</v>
      </c>
      <c r="G41" s="2"/>
      <c r="H41" s="2"/>
      <c r="I41" t="s">
        <v>13</v>
      </c>
      <c r="J41" t="s">
        <v>16</v>
      </c>
    </row>
    <row r="42" spans="1:10" hidden="1" x14ac:dyDescent="0.25">
      <c r="A42" t="s">
        <v>21</v>
      </c>
      <c r="B42" t="s">
        <v>11</v>
      </c>
      <c r="C42" t="s">
        <v>11</v>
      </c>
      <c r="D42" t="s">
        <v>12</v>
      </c>
      <c r="E42">
        <v>2013</v>
      </c>
      <c r="F42" s="2">
        <f>2266-1-93*0.45</f>
        <v>2223.15</v>
      </c>
      <c r="G42" s="2"/>
      <c r="H42" s="2"/>
      <c r="I42" t="s">
        <v>13</v>
      </c>
      <c r="J42" t="s">
        <v>17</v>
      </c>
    </row>
    <row r="43" spans="1:10" hidden="1" x14ac:dyDescent="0.25">
      <c r="A43" t="s">
        <v>21</v>
      </c>
      <c r="B43" t="s">
        <v>11</v>
      </c>
      <c r="C43" t="s">
        <v>11</v>
      </c>
      <c r="D43" t="s">
        <v>15</v>
      </c>
      <c r="E43">
        <v>2013</v>
      </c>
      <c r="F43" s="2">
        <f>592-1-53*0.45</f>
        <v>567.15</v>
      </c>
      <c r="G43" s="2"/>
      <c r="H43" s="2"/>
      <c r="I43" t="s">
        <v>13</v>
      </c>
      <c r="J43" t="s">
        <v>17</v>
      </c>
    </row>
    <row r="44" spans="1:10" hidden="1" x14ac:dyDescent="0.25">
      <c r="A44" t="s">
        <v>21</v>
      </c>
      <c r="B44" t="s">
        <v>11</v>
      </c>
      <c r="C44" t="s">
        <v>11</v>
      </c>
      <c r="D44" t="s">
        <v>12</v>
      </c>
      <c r="E44">
        <v>2014</v>
      </c>
      <c r="F44" s="2">
        <f>2182-4-94*0.45</f>
        <v>2135.6999999999998</v>
      </c>
      <c r="G44" s="2"/>
      <c r="H44" s="2"/>
      <c r="I44" t="s">
        <v>13</v>
      </c>
      <c r="J44" t="s">
        <v>17</v>
      </c>
    </row>
    <row r="45" spans="1:10" hidden="1" x14ac:dyDescent="0.25">
      <c r="A45" t="s">
        <v>21</v>
      </c>
      <c r="B45" t="s">
        <v>11</v>
      </c>
      <c r="C45" t="s">
        <v>11</v>
      </c>
      <c r="D45" t="s">
        <v>15</v>
      </c>
      <c r="E45">
        <v>2014</v>
      </c>
      <c r="F45" s="2">
        <f>572-1-51*0.45</f>
        <v>548.04999999999995</v>
      </c>
      <c r="G45" s="2"/>
      <c r="H45" s="2"/>
      <c r="I45" t="s">
        <v>13</v>
      </c>
      <c r="J45" t="s">
        <v>17</v>
      </c>
    </row>
    <row r="46" spans="1:10" hidden="1" x14ac:dyDescent="0.25">
      <c r="A46" t="s">
        <v>21</v>
      </c>
      <c r="B46" t="s">
        <v>11</v>
      </c>
      <c r="C46" t="s">
        <v>11</v>
      </c>
      <c r="D46" t="s">
        <v>12</v>
      </c>
      <c r="E46">
        <v>2015</v>
      </c>
      <c r="F46" s="2">
        <f>2011-3-94*0.46</f>
        <v>1964.76</v>
      </c>
      <c r="G46" s="2"/>
      <c r="H46" s="2"/>
      <c r="I46" t="s">
        <v>13</v>
      </c>
      <c r="J46" t="s">
        <v>18</v>
      </c>
    </row>
    <row r="47" spans="1:10" hidden="1" x14ac:dyDescent="0.25">
      <c r="A47" t="s">
        <v>21</v>
      </c>
      <c r="B47" t="s">
        <v>11</v>
      </c>
      <c r="C47" t="s">
        <v>11</v>
      </c>
      <c r="D47" t="s">
        <v>15</v>
      </c>
      <c r="E47">
        <v>2015</v>
      </c>
      <c r="F47" s="2">
        <f>482-52*0.46</f>
        <v>458.08</v>
      </c>
      <c r="G47" s="2"/>
      <c r="H47" s="2"/>
      <c r="I47" t="s">
        <v>13</v>
      </c>
      <c r="J47" t="s">
        <v>18</v>
      </c>
    </row>
    <row r="48" spans="1:10" hidden="1" x14ac:dyDescent="0.25">
      <c r="A48" t="s">
        <v>21</v>
      </c>
      <c r="B48" t="s">
        <v>11</v>
      </c>
      <c r="C48" t="s">
        <v>19</v>
      </c>
      <c r="D48" t="s">
        <v>12</v>
      </c>
      <c r="E48">
        <v>2011</v>
      </c>
      <c r="F48" s="2">
        <f>1043-1-38*0.43</f>
        <v>1025.6600000000001</v>
      </c>
      <c r="G48" s="2"/>
      <c r="H48" s="2"/>
      <c r="I48" t="s">
        <v>13</v>
      </c>
      <c r="J48" t="s">
        <v>14</v>
      </c>
    </row>
    <row r="49" spans="1:10" hidden="1" x14ac:dyDescent="0.25">
      <c r="A49" t="s">
        <v>21</v>
      </c>
      <c r="B49" t="s">
        <v>11</v>
      </c>
      <c r="C49" t="s">
        <v>19</v>
      </c>
      <c r="D49" t="s">
        <v>15</v>
      </c>
      <c r="E49">
        <v>2011</v>
      </c>
      <c r="F49" s="2">
        <f>489-1-36*0.43</f>
        <v>472.52</v>
      </c>
      <c r="G49" s="2"/>
      <c r="H49" s="2"/>
      <c r="I49" t="s">
        <v>13</v>
      </c>
      <c r="J49" t="s">
        <v>14</v>
      </c>
    </row>
    <row r="50" spans="1:10" hidden="1" x14ac:dyDescent="0.25">
      <c r="A50" t="s">
        <v>21</v>
      </c>
      <c r="B50" t="s">
        <v>11</v>
      </c>
      <c r="C50" t="s">
        <v>19</v>
      </c>
      <c r="D50" t="s">
        <v>12</v>
      </c>
      <c r="E50">
        <v>2012</v>
      </c>
      <c r="F50" s="2">
        <f>924-5-49*0.44</f>
        <v>897.44</v>
      </c>
      <c r="G50" s="2"/>
      <c r="H50" s="2"/>
      <c r="I50" t="s">
        <v>13</v>
      </c>
      <c r="J50" t="s">
        <v>16</v>
      </c>
    </row>
    <row r="51" spans="1:10" hidden="1" x14ac:dyDescent="0.25">
      <c r="A51" t="s">
        <v>21</v>
      </c>
      <c r="B51" t="s">
        <v>11</v>
      </c>
      <c r="C51" t="s">
        <v>19</v>
      </c>
      <c r="D51" t="s">
        <v>15</v>
      </c>
      <c r="E51">
        <v>2012</v>
      </c>
      <c r="F51" s="2">
        <f>418-1-30*0.44</f>
        <v>403.8</v>
      </c>
      <c r="G51" s="2"/>
      <c r="H51" s="2"/>
      <c r="I51" t="s">
        <v>13</v>
      </c>
      <c r="J51" t="s">
        <v>16</v>
      </c>
    </row>
    <row r="52" spans="1:10" hidden="1" x14ac:dyDescent="0.25">
      <c r="A52" t="s">
        <v>21</v>
      </c>
      <c r="B52" t="s">
        <v>11</v>
      </c>
      <c r="C52" t="s">
        <v>19</v>
      </c>
      <c r="D52" t="s">
        <v>12</v>
      </c>
      <c r="E52">
        <v>2013</v>
      </c>
      <c r="F52" s="2">
        <f>826-44*0.45</f>
        <v>806.2</v>
      </c>
      <c r="G52" s="2"/>
      <c r="H52" s="2"/>
      <c r="I52" t="s">
        <v>13</v>
      </c>
      <c r="J52" t="s">
        <v>17</v>
      </c>
    </row>
    <row r="53" spans="1:10" hidden="1" x14ac:dyDescent="0.25">
      <c r="A53" t="s">
        <v>21</v>
      </c>
      <c r="B53" t="s">
        <v>11</v>
      </c>
      <c r="C53" t="s">
        <v>19</v>
      </c>
      <c r="D53" t="s">
        <v>15</v>
      </c>
      <c r="E53">
        <v>2013</v>
      </c>
      <c r="F53" s="2">
        <f>343-1-24*0.45</f>
        <v>331.2</v>
      </c>
      <c r="G53" s="2"/>
      <c r="H53" s="2"/>
      <c r="I53" t="s">
        <v>13</v>
      </c>
      <c r="J53" t="s">
        <v>17</v>
      </c>
    </row>
    <row r="54" spans="1:10" hidden="1" x14ac:dyDescent="0.25">
      <c r="A54" t="s">
        <v>21</v>
      </c>
      <c r="B54" t="s">
        <v>11</v>
      </c>
      <c r="C54" t="s">
        <v>19</v>
      </c>
      <c r="D54" t="s">
        <v>12</v>
      </c>
      <c r="E54">
        <v>2014</v>
      </c>
      <c r="F54" s="2">
        <f>823-4-52*0.45</f>
        <v>795.6</v>
      </c>
      <c r="G54" s="2"/>
      <c r="H54" s="2"/>
      <c r="I54" t="s">
        <v>13</v>
      </c>
      <c r="J54" t="s">
        <v>17</v>
      </c>
    </row>
    <row r="55" spans="1:10" hidden="1" x14ac:dyDescent="0.25">
      <c r="A55" t="s">
        <v>21</v>
      </c>
      <c r="B55" t="s">
        <v>11</v>
      </c>
      <c r="C55" t="s">
        <v>19</v>
      </c>
      <c r="D55" t="s">
        <v>15</v>
      </c>
      <c r="E55">
        <v>2014</v>
      </c>
      <c r="F55" s="2">
        <f>361-34*0.45</f>
        <v>345.7</v>
      </c>
      <c r="G55" s="2"/>
      <c r="H55" s="2"/>
      <c r="I55" t="s">
        <v>13</v>
      </c>
      <c r="J55" t="s">
        <v>17</v>
      </c>
    </row>
    <row r="56" spans="1:10" hidden="1" x14ac:dyDescent="0.25">
      <c r="A56" t="s">
        <v>21</v>
      </c>
      <c r="B56" t="s">
        <v>11</v>
      </c>
      <c r="C56" t="s">
        <v>19</v>
      </c>
      <c r="D56" t="s">
        <v>12</v>
      </c>
      <c r="E56">
        <v>2015</v>
      </c>
      <c r="F56" s="2">
        <f>745-2-52*0.46</f>
        <v>719.08</v>
      </c>
      <c r="G56" s="2"/>
      <c r="H56" s="2"/>
      <c r="I56" t="s">
        <v>13</v>
      </c>
      <c r="J56" t="s">
        <v>18</v>
      </c>
    </row>
    <row r="57" spans="1:10" hidden="1" x14ac:dyDescent="0.25">
      <c r="A57" t="s">
        <v>21</v>
      </c>
      <c r="B57" t="s">
        <v>11</v>
      </c>
      <c r="C57" t="s">
        <v>19</v>
      </c>
      <c r="D57" t="s">
        <v>15</v>
      </c>
      <c r="E57">
        <v>2015</v>
      </c>
      <c r="F57" s="2">
        <f>295-31*0.46</f>
        <v>280.74</v>
      </c>
      <c r="G57" s="2"/>
      <c r="H57" s="2"/>
      <c r="I57" t="s">
        <v>13</v>
      </c>
      <c r="J57" t="s">
        <v>18</v>
      </c>
    </row>
    <row r="58" spans="1:10" hidden="1" x14ac:dyDescent="0.25">
      <c r="A58" t="s">
        <v>21</v>
      </c>
      <c r="B58" t="s">
        <v>11</v>
      </c>
      <c r="C58" t="s">
        <v>20</v>
      </c>
      <c r="D58" t="s">
        <v>12</v>
      </c>
      <c r="E58">
        <v>2011</v>
      </c>
      <c r="F58" s="2">
        <f>848-20*0.43</f>
        <v>839.4</v>
      </c>
      <c r="G58" s="2"/>
      <c r="H58" s="2"/>
      <c r="I58" t="s">
        <v>13</v>
      </c>
      <c r="J58" t="s">
        <v>14</v>
      </c>
    </row>
    <row r="59" spans="1:10" hidden="1" x14ac:dyDescent="0.25">
      <c r="A59" t="s">
        <v>21</v>
      </c>
      <c r="B59" t="s">
        <v>11</v>
      </c>
      <c r="C59" t="s">
        <v>20</v>
      </c>
      <c r="D59" t="s">
        <v>15</v>
      </c>
      <c r="E59">
        <v>2011</v>
      </c>
      <c r="F59" s="2">
        <f>237-5-15*0.43</f>
        <v>225.55</v>
      </c>
      <c r="G59" s="2"/>
      <c r="H59" s="2"/>
      <c r="I59" t="s">
        <v>13</v>
      </c>
      <c r="J59" t="s">
        <v>14</v>
      </c>
    </row>
    <row r="60" spans="1:10" hidden="1" x14ac:dyDescent="0.25">
      <c r="A60" t="s">
        <v>21</v>
      </c>
      <c r="B60" t="s">
        <v>11</v>
      </c>
      <c r="C60" t="s">
        <v>20</v>
      </c>
      <c r="D60" t="s">
        <v>12</v>
      </c>
      <c r="E60">
        <v>2012</v>
      </c>
      <c r="F60" s="2">
        <f>834-26*0.44</f>
        <v>822.56</v>
      </c>
      <c r="G60" s="2"/>
      <c r="H60" s="2"/>
      <c r="I60" t="s">
        <v>13</v>
      </c>
      <c r="J60" t="s">
        <v>16</v>
      </c>
    </row>
    <row r="61" spans="1:10" hidden="1" x14ac:dyDescent="0.25">
      <c r="A61" t="s">
        <v>21</v>
      </c>
      <c r="B61" t="s">
        <v>11</v>
      </c>
      <c r="C61" t="s">
        <v>20</v>
      </c>
      <c r="D61" t="s">
        <v>15</v>
      </c>
      <c r="E61">
        <v>2012</v>
      </c>
      <c r="F61" s="2">
        <f>190-15*0.44</f>
        <v>183.4</v>
      </c>
      <c r="G61" s="2"/>
      <c r="H61" s="2"/>
      <c r="I61" t="s">
        <v>13</v>
      </c>
      <c r="J61" t="s">
        <v>16</v>
      </c>
    </row>
    <row r="62" spans="1:10" hidden="1" x14ac:dyDescent="0.25">
      <c r="A62" t="s">
        <v>21</v>
      </c>
      <c r="B62" t="s">
        <v>11</v>
      </c>
      <c r="C62" t="s">
        <v>20</v>
      </c>
      <c r="D62" t="s">
        <v>12</v>
      </c>
      <c r="E62">
        <v>2013</v>
      </c>
      <c r="F62" s="2">
        <f>804-25*0.45</f>
        <v>792.75</v>
      </c>
      <c r="G62" s="2"/>
      <c r="H62" s="2"/>
      <c r="I62" t="s">
        <v>13</v>
      </c>
      <c r="J62" t="s">
        <v>17</v>
      </c>
    </row>
    <row r="63" spans="1:10" hidden="1" x14ac:dyDescent="0.25">
      <c r="A63" t="s">
        <v>21</v>
      </c>
      <c r="B63" t="s">
        <v>11</v>
      </c>
      <c r="C63" t="s">
        <v>20</v>
      </c>
      <c r="D63" t="s">
        <v>15</v>
      </c>
      <c r="E63">
        <v>2013</v>
      </c>
      <c r="F63" s="2">
        <f>187-21*0.45</f>
        <v>177.55</v>
      </c>
      <c r="G63" s="2"/>
      <c r="H63" s="2"/>
      <c r="I63" t="s">
        <v>13</v>
      </c>
      <c r="J63" t="s">
        <v>17</v>
      </c>
    </row>
    <row r="64" spans="1:10" hidden="1" x14ac:dyDescent="0.25">
      <c r="A64" t="s">
        <v>21</v>
      </c>
      <c r="B64" t="s">
        <v>11</v>
      </c>
      <c r="C64" t="s">
        <v>20</v>
      </c>
      <c r="D64" t="s">
        <v>12</v>
      </c>
      <c r="E64">
        <v>2014</v>
      </c>
      <c r="F64" s="2">
        <f>736-17*0.45</f>
        <v>728.35</v>
      </c>
      <c r="G64" s="2"/>
      <c r="H64" s="2"/>
      <c r="I64" t="s">
        <v>13</v>
      </c>
      <c r="J64" t="s">
        <v>17</v>
      </c>
    </row>
    <row r="65" spans="1:10" hidden="1" x14ac:dyDescent="0.25">
      <c r="A65" t="s">
        <v>21</v>
      </c>
      <c r="B65" t="s">
        <v>11</v>
      </c>
      <c r="C65" t="s">
        <v>20</v>
      </c>
      <c r="D65" t="s">
        <v>15</v>
      </c>
      <c r="E65">
        <v>2014</v>
      </c>
      <c r="F65" s="2">
        <f>161-15*0.45</f>
        <v>154.25</v>
      </c>
      <c r="G65" s="2"/>
      <c r="H65" s="2"/>
      <c r="I65" t="s">
        <v>13</v>
      </c>
      <c r="J65" t="s">
        <v>17</v>
      </c>
    </row>
    <row r="66" spans="1:10" hidden="1" x14ac:dyDescent="0.25">
      <c r="A66" t="s">
        <v>21</v>
      </c>
      <c r="B66" t="s">
        <v>11</v>
      </c>
      <c r="C66" t="s">
        <v>20</v>
      </c>
      <c r="D66" t="s">
        <v>12</v>
      </c>
      <c r="E66">
        <v>2015</v>
      </c>
      <c r="F66" s="2">
        <f>759-1-24*0.46</f>
        <v>746.96</v>
      </c>
      <c r="G66" s="2"/>
      <c r="H66" s="2"/>
      <c r="I66" t="s">
        <v>13</v>
      </c>
      <c r="J66" t="s">
        <v>18</v>
      </c>
    </row>
    <row r="67" spans="1:10" hidden="1" x14ac:dyDescent="0.25">
      <c r="A67" t="s">
        <v>21</v>
      </c>
      <c r="B67" t="s">
        <v>11</v>
      </c>
      <c r="C67" t="s">
        <v>20</v>
      </c>
      <c r="D67" t="s">
        <v>15</v>
      </c>
      <c r="E67">
        <v>2015</v>
      </c>
      <c r="F67" s="2">
        <f>143-14*0.46</f>
        <v>136.56</v>
      </c>
      <c r="G67" s="2"/>
      <c r="H67" s="2"/>
      <c r="I67" t="s">
        <v>13</v>
      </c>
      <c r="J67" t="s">
        <v>18</v>
      </c>
    </row>
    <row r="68" spans="1:10" hidden="1" x14ac:dyDescent="0.25">
      <c r="A68" t="s">
        <v>22</v>
      </c>
      <c r="B68" t="s">
        <v>11</v>
      </c>
      <c r="C68" t="s">
        <v>11</v>
      </c>
      <c r="D68" t="s">
        <v>12</v>
      </c>
      <c r="E68">
        <v>2011</v>
      </c>
      <c r="F68" s="2">
        <f>1423-426*0.52</f>
        <v>1201.48</v>
      </c>
      <c r="G68" s="2"/>
      <c r="H68" s="2"/>
      <c r="I68" t="s">
        <v>13</v>
      </c>
      <c r="J68" t="s">
        <v>23</v>
      </c>
    </row>
    <row r="69" spans="1:10" hidden="1" x14ac:dyDescent="0.25">
      <c r="A69" t="s">
        <v>22</v>
      </c>
      <c r="B69" t="s">
        <v>11</v>
      </c>
      <c r="C69" t="s">
        <v>11</v>
      </c>
      <c r="D69" t="s">
        <v>15</v>
      </c>
      <c r="E69">
        <v>2011</v>
      </c>
      <c r="F69" s="2">
        <f>617-129*0.52</f>
        <v>549.91999999999996</v>
      </c>
      <c r="G69" s="2"/>
      <c r="H69" s="2"/>
      <c r="I69" t="s">
        <v>13</v>
      </c>
      <c r="J69" t="s">
        <v>23</v>
      </c>
    </row>
    <row r="70" spans="1:10" hidden="1" x14ac:dyDescent="0.25">
      <c r="A70" t="s">
        <v>22</v>
      </c>
      <c r="B70" t="s">
        <v>11</v>
      </c>
      <c r="C70" t="s">
        <v>11</v>
      </c>
      <c r="D70" t="s">
        <v>12</v>
      </c>
      <c r="E70">
        <v>2012</v>
      </c>
      <c r="F70" s="2">
        <f>1327-1-416*0.52</f>
        <v>1109.68</v>
      </c>
      <c r="G70" s="2"/>
      <c r="H70" s="2"/>
      <c r="I70" t="s">
        <v>13</v>
      </c>
      <c r="J70" t="s">
        <v>23</v>
      </c>
    </row>
    <row r="71" spans="1:10" hidden="1" x14ac:dyDescent="0.25">
      <c r="A71" t="s">
        <v>22</v>
      </c>
      <c r="B71" t="s">
        <v>11</v>
      </c>
      <c r="C71" t="s">
        <v>11</v>
      </c>
      <c r="D71" t="s">
        <v>15</v>
      </c>
      <c r="E71">
        <v>2012</v>
      </c>
      <c r="F71" s="2">
        <f>573-1-144*0.52</f>
        <v>497.12</v>
      </c>
      <c r="G71" s="2"/>
      <c r="H71" s="2"/>
      <c r="I71" t="s">
        <v>13</v>
      </c>
      <c r="J71" t="s">
        <v>23</v>
      </c>
    </row>
    <row r="72" spans="1:10" hidden="1" x14ac:dyDescent="0.25">
      <c r="A72" t="s">
        <v>22</v>
      </c>
      <c r="B72" t="s">
        <v>11</v>
      </c>
      <c r="C72" t="s">
        <v>11</v>
      </c>
      <c r="D72" t="s">
        <v>12</v>
      </c>
      <c r="E72">
        <v>2013</v>
      </c>
      <c r="F72" s="2">
        <f>1279-454*0.52</f>
        <v>1042.92</v>
      </c>
      <c r="G72" s="2"/>
      <c r="H72" s="2"/>
      <c r="I72" t="s">
        <v>13</v>
      </c>
      <c r="J72" t="s">
        <v>23</v>
      </c>
    </row>
    <row r="73" spans="1:10" hidden="1" x14ac:dyDescent="0.25">
      <c r="A73" t="s">
        <v>22</v>
      </c>
      <c r="B73" t="s">
        <v>11</v>
      </c>
      <c r="C73" t="s">
        <v>11</v>
      </c>
      <c r="D73" t="s">
        <v>15</v>
      </c>
      <c r="E73">
        <v>2013</v>
      </c>
      <c r="F73" s="2">
        <f>545-158*0.52</f>
        <v>462.84000000000003</v>
      </c>
      <c r="G73" s="2"/>
      <c r="H73" s="2"/>
      <c r="I73" t="s">
        <v>13</v>
      </c>
      <c r="J73" t="s">
        <v>23</v>
      </c>
    </row>
    <row r="74" spans="1:10" hidden="1" x14ac:dyDescent="0.25">
      <c r="A74" t="s">
        <v>22</v>
      </c>
      <c r="B74" t="s">
        <v>11</v>
      </c>
      <c r="C74" t="s">
        <v>11</v>
      </c>
      <c r="D74" t="s">
        <v>12</v>
      </c>
      <c r="E74">
        <v>2014</v>
      </c>
      <c r="F74" s="2">
        <f>1216-466*0.52</f>
        <v>973.68</v>
      </c>
      <c r="G74" s="2"/>
      <c r="H74" s="2"/>
      <c r="I74" t="s">
        <v>13</v>
      </c>
      <c r="J74" t="s">
        <v>23</v>
      </c>
    </row>
    <row r="75" spans="1:10" hidden="1" x14ac:dyDescent="0.25">
      <c r="A75" t="s">
        <v>22</v>
      </c>
      <c r="B75" t="s">
        <v>11</v>
      </c>
      <c r="C75" t="s">
        <v>11</v>
      </c>
      <c r="D75" t="s">
        <v>15</v>
      </c>
      <c r="E75">
        <v>2014</v>
      </c>
      <c r="F75" s="2">
        <f>535-161*0.52</f>
        <v>451.28</v>
      </c>
      <c r="G75" s="2"/>
      <c r="H75" s="2"/>
      <c r="I75" t="s">
        <v>13</v>
      </c>
      <c r="J75" t="s">
        <v>23</v>
      </c>
    </row>
    <row r="76" spans="1:10" hidden="1" x14ac:dyDescent="0.25">
      <c r="A76" t="s">
        <v>22</v>
      </c>
      <c r="B76" t="s">
        <v>11</v>
      </c>
      <c r="C76" t="s">
        <v>11</v>
      </c>
      <c r="D76" t="s">
        <v>12</v>
      </c>
      <c r="E76">
        <v>2015</v>
      </c>
      <c r="F76" s="2">
        <f>1185-505*0.52</f>
        <v>922.4</v>
      </c>
      <c r="G76" s="2"/>
      <c r="H76" s="2"/>
      <c r="I76" t="s">
        <v>13</v>
      </c>
      <c r="J76" t="s">
        <v>23</v>
      </c>
    </row>
    <row r="77" spans="1:10" hidden="1" x14ac:dyDescent="0.25">
      <c r="A77" t="s">
        <v>22</v>
      </c>
      <c r="B77" t="s">
        <v>11</v>
      </c>
      <c r="C77" t="s">
        <v>11</v>
      </c>
      <c r="D77" t="s">
        <v>15</v>
      </c>
      <c r="E77">
        <v>2015</v>
      </c>
      <c r="F77" s="2">
        <f>493-159*0.52</f>
        <v>410.32</v>
      </c>
      <c r="G77" s="2"/>
      <c r="H77" s="2"/>
      <c r="I77" t="s">
        <v>13</v>
      </c>
      <c r="J77" t="s">
        <v>23</v>
      </c>
    </row>
    <row r="78" spans="1:10" hidden="1" x14ac:dyDescent="0.25">
      <c r="A78" t="s">
        <v>22</v>
      </c>
      <c r="B78" t="s">
        <v>11</v>
      </c>
      <c r="C78" t="s">
        <v>19</v>
      </c>
      <c r="D78" t="s">
        <v>12</v>
      </c>
      <c r="E78">
        <v>2011</v>
      </c>
      <c r="F78" s="2">
        <f>649-191*0.52</f>
        <v>549.67999999999995</v>
      </c>
      <c r="G78" s="2"/>
      <c r="H78" s="2"/>
      <c r="I78" t="s">
        <v>13</v>
      </c>
      <c r="J78" t="s">
        <v>23</v>
      </c>
    </row>
    <row r="79" spans="1:10" hidden="1" x14ac:dyDescent="0.25">
      <c r="A79" t="s">
        <v>22</v>
      </c>
      <c r="B79" t="s">
        <v>11</v>
      </c>
      <c r="C79" t="s">
        <v>19</v>
      </c>
      <c r="D79" t="s">
        <v>15</v>
      </c>
      <c r="E79">
        <v>2011</v>
      </c>
      <c r="F79" s="2">
        <f>354-74*0.52</f>
        <v>315.52</v>
      </c>
      <c r="G79" s="2"/>
      <c r="H79" s="2"/>
      <c r="I79" t="s">
        <v>13</v>
      </c>
      <c r="J79" t="s">
        <v>23</v>
      </c>
    </row>
    <row r="80" spans="1:10" hidden="1" x14ac:dyDescent="0.25">
      <c r="A80" t="s">
        <v>22</v>
      </c>
      <c r="B80" t="s">
        <v>11</v>
      </c>
      <c r="C80" t="s">
        <v>19</v>
      </c>
      <c r="D80" t="s">
        <v>12</v>
      </c>
      <c r="E80">
        <v>2012</v>
      </c>
      <c r="F80" s="2">
        <f>635-1-211*0.52</f>
        <v>524.28</v>
      </c>
      <c r="G80" s="2"/>
      <c r="H80" s="2"/>
      <c r="I80" t="s">
        <v>13</v>
      </c>
      <c r="J80" t="s">
        <v>23</v>
      </c>
    </row>
    <row r="81" spans="1:10" hidden="1" x14ac:dyDescent="0.25">
      <c r="A81" t="s">
        <v>22</v>
      </c>
      <c r="B81" t="s">
        <v>11</v>
      </c>
      <c r="C81" t="s">
        <v>19</v>
      </c>
      <c r="D81" t="s">
        <v>15</v>
      </c>
      <c r="E81">
        <v>2012</v>
      </c>
      <c r="F81" s="2">
        <f>339-1-84*0.52</f>
        <v>294.32</v>
      </c>
      <c r="G81" s="2"/>
      <c r="H81" s="2"/>
      <c r="I81" t="s">
        <v>13</v>
      </c>
      <c r="J81" t="s">
        <v>23</v>
      </c>
    </row>
    <row r="82" spans="1:10" hidden="1" x14ac:dyDescent="0.25">
      <c r="A82" t="s">
        <v>22</v>
      </c>
      <c r="B82" t="s">
        <v>11</v>
      </c>
      <c r="C82" t="s">
        <v>19</v>
      </c>
      <c r="D82" t="s">
        <v>12</v>
      </c>
      <c r="E82">
        <v>2013</v>
      </c>
      <c r="F82" s="2">
        <f>547-225*0.52</f>
        <v>430</v>
      </c>
      <c r="G82" s="2"/>
      <c r="H82" s="2"/>
      <c r="I82" t="s">
        <v>13</v>
      </c>
      <c r="J82" t="s">
        <v>23</v>
      </c>
    </row>
    <row r="83" spans="1:10" hidden="1" x14ac:dyDescent="0.25">
      <c r="A83" t="s">
        <v>22</v>
      </c>
      <c r="B83" t="s">
        <v>11</v>
      </c>
      <c r="C83" t="s">
        <v>19</v>
      </c>
      <c r="D83" t="s">
        <v>15</v>
      </c>
      <c r="E83">
        <v>2013</v>
      </c>
      <c r="F83" s="2">
        <f>311-97*0.52</f>
        <v>260.56</v>
      </c>
      <c r="G83" s="2"/>
      <c r="H83" s="2"/>
      <c r="I83" t="s">
        <v>13</v>
      </c>
      <c r="J83" t="s">
        <v>23</v>
      </c>
    </row>
    <row r="84" spans="1:10" hidden="1" x14ac:dyDescent="0.25">
      <c r="A84" t="s">
        <v>22</v>
      </c>
      <c r="B84" t="s">
        <v>11</v>
      </c>
      <c r="C84" t="s">
        <v>19</v>
      </c>
      <c r="D84" t="s">
        <v>12</v>
      </c>
      <c r="E84">
        <v>2014</v>
      </c>
      <c r="F84" s="2">
        <f>558-234*0.52</f>
        <v>436.32</v>
      </c>
      <c r="G84" s="2"/>
      <c r="H84" s="2"/>
      <c r="I84" t="s">
        <v>13</v>
      </c>
      <c r="J84" t="s">
        <v>23</v>
      </c>
    </row>
    <row r="85" spans="1:10" hidden="1" x14ac:dyDescent="0.25">
      <c r="A85" t="s">
        <v>22</v>
      </c>
      <c r="B85" t="s">
        <v>11</v>
      </c>
      <c r="C85" t="s">
        <v>19</v>
      </c>
      <c r="D85" t="s">
        <v>15</v>
      </c>
      <c r="E85">
        <v>2014</v>
      </c>
      <c r="F85" s="2">
        <f>315-93*0.43</f>
        <v>275.01</v>
      </c>
      <c r="G85" s="2"/>
      <c r="H85" s="2"/>
      <c r="I85" t="s">
        <v>13</v>
      </c>
      <c r="J85" t="s">
        <v>23</v>
      </c>
    </row>
    <row r="86" spans="1:10" hidden="1" x14ac:dyDescent="0.25">
      <c r="A86" t="s">
        <v>22</v>
      </c>
      <c r="B86" t="s">
        <v>11</v>
      </c>
      <c r="C86" t="s">
        <v>19</v>
      </c>
      <c r="D86" t="s">
        <v>12</v>
      </c>
      <c r="E86">
        <v>2015</v>
      </c>
      <c r="F86" s="3">
        <f>584-261*0.52</f>
        <v>448.28</v>
      </c>
      <c r="G86" s="3"/>
      <c r="H86" s="3"/>
      <c r="I86" t="s">
        <v>13</v>
      </c>
      <c r="J86" t="s">
        <v>23</v>
      </c>
    </row>
    <row r="87" spans="1:10" hidden="1" x14ac:dyDescent="0.25">
      <c r="A87" t="s">
        <v>22</v>
      </c>
      <c r="B87" t="s">
        <v>11</v>
      </c>
      <c r="C87" t="s">
        <v>19</v>
      </c>
      <c r="D87" t="s">
        <v>15</v>
      </c>
      <c r="E87">
        <v>2015</v>
      </c>
      <c r="F87" s="3">
        <f>283-96*0.52</f>
        <v>233.07999999999998</v>
      </c>
      <c r="G87" s="3"/>
      <c r="H87" s="3"/>
      <c r="I87" t="s">
        <v>13</v>
      </c>
      <c r="J87" t="s">
        <v>23</v>
      </c>
    </row>
    <row r="88" spans="1:10" hidden="1" x14ac:dyDescent="0.25">
      <c r="A88" t="s">
        <v>22</v>
      </c>
      <c r="B88" t="s">
        <v>11</v>
      </c>
      <c r="C88" t="s">
        <v>20</v>
      </c>
      <c r="D88" t="s">
        <v>12</v>
      </c>
      <c r="E88">
        <v>2011</v>
      </c>
      <c r="F88" s="2">
        <f>479-131*0.52</f>
        <v>410.88</v>
      </c>
      <c r="G88" s="2"/>
      <c r="H88" s="2"/>
      <c r="I88" t="s">
        <v>13</v>
      </c>
      <c r="J88" t="s">
        <v>23</v>
      </c>
    </row>
    <row r="89" spans="1:10" hidden="1" x14ac:dyDescent="0.25">
      <c r="A89" t="s">
        <v>22</v>
      </c>
      <c r="B89" t="s">
        <v>11</v>
      </c>
      <c r="C89" t="s">
        <v>20</v>
      </c>
      <c r="D89" t="s">
        <v>15</v>
      </c>
      <c r="E89">
        <v>2011</v>
      </c>
      <c r="F89" s="2">
        <f>200-43*0.52</f>
        <v>177.64</v>
      </c>
      <c r="G89" s="2"/>
      <c r="H89" s="2"/>
      <c r="I89" t="s">
        <v>13</v>
      </c>
      <c r="J89" t="s">
        <v>23</v>
      </c>
    </row>
    <row r="90" spans="1:10" hidden="1" x14ac:dyDescent="0.25">
      <c r="A90" t="s">
        <v>22</v>
      </c>
      <c r="B90" t="s">
        <v>11</v>
      </c>
      <c r="C90" t="s">
        <v>20</v>
      </c>
      <c r="D90" t="s">
        <v>12</v>
      </c>
      <c r="E90">
        <v>2012</v>
      </c>
      <c r="F90" s="2">
        <f>410-113*0.52</f>
        <v>351.24</v>
      </c>
      <c r="G90" s="2"/>
      <c r="H90" s="2"/>
      <c r="I90" t="s">
        <v>13</v>
      </c>
      <c r="J90" t="s">
        <v>23</v>
      </c>
    </row>
    <row r="91" spans="1:10" hidden="1" x14ac:dyDescent="0.25">
      <c r="A91" t="s">
        <v>22</v>
      </c>
      <c r="B91" t="s">
        <v>11</v>
      </c>
      <c r="C91" t="s">
        <v>20</v>
      </c>
      <c r="D91" t="s">
        <v>15</v>
      </c>
      <c r="E91">
        <v>2012</v>
      </c>
      <c r="F91" s="2">
        <f>184-44*0.52</f>
        <v>161.12</v>
      </c>
      <c r="G91" s="2"/>
      <c r="H91" s="2"/>
      <c r="I91" t="s">
        <v>13</v>
      </c>
      <c r="J91" t="s">
        <v>23</v>
      </c>
    </row>
    <row r="92" spans="1:10" hidden="1" x14ac:dyDescent="0.25">
      <c r="A92" t="s">
        <v>22</v>
      </c>
      <c r="B92" t="s">
        <v>11</v>
      </c>
      <c r="C92" t="s">
        <v>20</v>
      </c>
      <c r="D92" t="s">
        <v>12</v>
      </c>
      <c r="E92">
        <v>2013</v>
      </c>
      <c r="F92" s="2">
        <f>444-138*0.52</f>
        <v>372.24</v>
      </c>
      <c r="G92" s="2"/>
      <c r="H92" s="2"/>
      <c r="I92" t="s">
        <v>13</v>
      </c>
      <c r="J92" t="s">
        <v>23</v>
      </c>
    </row>
    <row r="93" spans="1:10" hidden="1" x14ac:dyDescent="0.25">
      <c r="A93" t="s">
        <v>22</v>
      </c>
      <c r="B93" t="s">
        <v>11</v>
      </c>
      <c r="C93" t="s">
        <v>20</v>
      </c>
      <c r="D93" t="s">
        <v>15</v>
      </c>
      <c r="E93">
        <v>2013</v>
      </c>
      <c r="F93" s="2">
        <f>179-50*0.52</f>
        <v>153</v>
      </c>
      <c r="G93" s="2"/>
      <c r="H93" s="2"/>
      <c r="I93" t="s">
        <v>13</v>
      </c>
      <c r="J93" t="s">
        <v>23</v>
      </c>
    </row>
    <row r="94" spans="1:10" hidden="1" x14ac:dyDescent="0.25">
      <c r="A94" t="s">
        <v>22</v>
      </c>
      <c r="B94" t="s">
        <v>11</v>
      </c>
      <c r="C94" t="s">
        <v>20</v>
      </c>
      <c r="D94" t="s">
        <v>12</v>
      </c>
      <c r="E94">
        <v>2014</v>
      </c>
      <c r="F94" s="2">
        <f>407-136*0.52</f>
        <v>336.28</v>
      </c>
      <c r="G94" s="2"/>
      <c r="H94" s="2"/>
      <c r="I94" t="s">
        <v>13</v>
      </c>
      <c r="J94" t="s">
        <v>23</v>
      </c>
    </row>
    <row r="95" spans="1:10" hidden="1" x14ac:dyDescent="0.25">
      <c r="A95" t="s">
        <v>22</v>
      </c>
      <c r="B95" t="s">
        <v>11</v>
      </c>
      <c r="C95" t="s">
        <v>20</v>
      </c>
      <c r="D95" t="s">
        <v>15</v>
      </c>
      <c r="E95">
        <v>2014</v>
      </c>
      <c r="F95" s="4">
        <f>178-50*0.52</f>
        <v>152</v>
      </c>
      <c r="G95" s="4"/>
      <c r="H95" s="4"/>
      <c r="I95" t="s">
        <v>13</v>
      </c>
      <c r="J95" t="s">
        <v>23</v>
      </c>
    </row>
    <row r="96" spans="1:10" hidden="1" x14ac:dyDescent="0.25">
      <c r="A96" t="s">
        <v>22</v>
      </c>
      <c r="B96" t="s">
        <v>11</v>
      </c>
      <c r="C96" t="s">
        <v>20</v>
      </c>
      <c r="D96" t="s">
        <v>12</v>
      </c>
      <c r="E96">
        <v>2015</v>
      </c>
      <c r="F96" s="2">
        <f>361-129*0.52</f>
        <v>293.92</v>
      </c>
      <c r="G96" s="2"/>
      <c r="H96" s="2"/>
      <c r="I96" t="s">
        <v>13</v>
      </c>
      <c r="J96" t="s">
        <v>23</v>
      </c>
    </row>
    <row r="97" spans="1:10" hidden="1" x14ac:dyDescent="0.25">
      <c r="A97" t="s">
        <v>22</v>
      </c>
      <c r="B97" t="s">
        <v>11</v>
      </c>
      <c r="C97" t="s">
        <v>20</v>
      </c>
      <c r="D97" t="s">
        <v>15</v>
      </c>
      <c r="E97">
        <v>2015</v>
      </c>
      <c r="F97" s="2">
        <f>160-45*0.52</f>
        <v>136.6</v>
      </c>
      <c r="G97" s="2"/>
      <c r="H97" s="2"/>
      <c r="I97" t="s">
        <v>13</v>
      </c>
      <c r="J97" t="s">
        <v>23</v>
      </c>
    </row>
    <row r="98" spans="1:10" hidden="1" x14ac:dyDescent="0.25">
      <c r="A98" t="s">
        <v>21</v>
      </c>
      <c r="B98" t="s">
        <v>24</v>
      </c>
      <c r="C98" t="s">
        <v>19</v>
      </c>
      <c r="D98" t="s">
        <v>12</v>
      </c>
      <c r="E98">
        <v>2011</v>
      </c>
      <c r="F98">
        <v>616</v>
      </c>
      <c r="I98" t="s">
        <v>25</v>
      </c>
    </row>
    <row r="99" spans="1:10" hidden="1" x14ac:dyDescent="0.25">
      <c r="A99" t="s">
        <v>21</v>
      </c>
      <c r="B99" t="s">
        <v>26</v>
      </c>
      <c r="C99" t="s">
        <v>19</v>
      </c>
      <c r="D99" t="s">
        <v>12</v>
      </c>
      <c r="E99">
        <v>2011</v>
      </c>
      <c r="F99">
        <v>20</v>
      </c>
      <c r="I99" t="s">
        <v>25</v>
      </c>
    </row>
    <row r="100" spans="1:10" hidden="1" x14ac:dyDescent="0.25">
      <c r="A100" t="s">
        <v>21</v>
      </c>
      <c r="B100" t="s">
        <v>27</v>
      </c>
      <c r="C100" t="s">
        <v>19</v>
      </c>
      <c r="D100" t="s">
        <v>12</v>
      </c>
      <c r="E100">
        <v>2011</v>
      </c>
      <c r="F100">
        <v>19</v>
      </c>
      <c r="I100" t="s">
        <v>25</v>
      </c>
    </row>
    <row r="101" spans="1:10" hidden="1" x14ac:dyDescent="0.25">
      <c r="A101" t="s">
        <v>21</v>
      </c>
      <c r="B101" t="s">
        <v>28</v>
      </c>
      <c r="C101" t="s">
        <v>19</v>
      </c>
      <c r="D101" t="s">
        <v>12</v>
      </c>
      <c r="E101">
        <v>2011</v>
      </c>
      <c r="F101">
        <v>101</v>
      </c>
      <c r="I101" t="s">
        <v>25</v>
      </c>
    </row>
    <row r="102" spans="1:10" hidden="1" x14ac:dyDescent="0.25">
      <c r="A102" t="s">
        <v>21</v>
      </c>
      <c r="B102" t="s">
        <v>29</v>
      </c>
      <c r="C102" t="s">
        <v>19</v>
      </c>
      <c r="D102" t="s">
        <v>12</v>
      </c>
      <c r="E102">
        <v>2011</v>
      </c>
      <c r="F102">
        <v>0</v>
      </c>
      <c r="I102" t="s">
        <v>25</v>
      </c>
    </row>
    <row r="103" spans="1:10" hidden="1" x14ac:dyDescent="0.25">
      <c r="A103" t="s">
        <v>21</v>
      </c>
      <c r="B103" t="s">
        <v>30</v>
      </c>
      <c r="C103" t="s">
        <v>19</v>
      </c>
      <c r="D103" t="s">
        <v>12</v>
      </c>
      <c r="E103">
        <v>2011</v>
      </c>
      <c r="F103">
        <v>286</v>
      </c>
      <c r="I103" t="s">
        <v>25</v>
      </c>
    </row>
    <row r="104" spans="1:10" hidden="1" x14ac:dyDescent="0.25">
      <c r="A104" t="s">
        <v>10</v>
      </c>
      <c r="B104" t="s">
        <v>24</v>
      </c>
      <c r="C104" t="s">
        <v>19</v>
      </c>
      <c r="D104" t="s">
        <v>12</v>
      </c>
      <c r="E104">
        <v>2011</v>
      </c>
      <c r="F104">
        <v>12644</v>
      </c>
      <c r="I104" t="s">
        <v>25</v>
      </c>
    </row>
    <row r="105" spans="1:10" hidden="1" x14ac:dyDescent="0.25">
      <c r="A105" t="s">
        <v>10</v>
      </c>
      <c r="B105" t="s">
        <v>26</v>
      </c>
      <c r="C105" t="s">
        <v>19</v>
      </c>
      <c r="D105" t="s">
        <v>12</v>
      </c>
      <c r="E105">
        <v>2011</v>
      </c>
      <c r="F105">
        <v>4812</v>
      </c>
      <c r="I105" t="s">
        <v>25</v>
      </c>
    </row>
    <row r="106" spans="1:10" hidden="1" x14ac:dyDescent="0.25">
      <c r="A106" t="s">
        <v>10</v>
      </c>
      <c r="B106" t="s">
        <v>27</v>
      </c>
      <c r="C106" t="s">
        <v>19</v>
      </c>
      <c r="D106" t="s">
        <v>12</v>
      </c>
      <c r="E106">
        <v>2011</v>
      </c>
      <c r="F106">
        <v>995</v>
      </c>
      <c r="I106" t="s">
        <v>25</v>
      </c>
    </row>
    <row r="107" spans="1:10" hidden="1" x14ac:dyDescent="0.25">
      <c r="A107" t="s">
        <v>10</v>
      </c>
      <c r="B107" t="s">
        <v>28</v>
      </c>
      <c r="C107" t="s">
        <v>19</v>
      </c>
      <c r="D107" t="s">
        <v>12</v>
      </c>
      <c r="E107">
        <v>2011</v>
      </c>
      <c r="F107">
        <v>3257</v>
      </c>
      <c r="I107" t="s">
        <v>25</v>
      </c>
    </row>
    <row r="108" spans="1:10" hidden="1" x14ac:dyDescent="0.25">
      <c r="A108" t="s">
        <v>10</v>
      </c>
      <c r="B108" t="s">
        <v>29</v>
      </c>
      <c r="C108" t="s">
        <v>19</v>
      </c>
      <c r="D108" t="s">
        <v>12</v>
      </c>
      <c r="E108">
        <v>2011</v>
      </c>
      <c r="F108">
        <f>4+697+35-76</f>
        <v>660</v>
      </c>
      <c r="I108" t="s">
        <v>25</v>
      </c>
    </row>
    <row r="109" spans="1:10" hidden="1" x14ac:dyDescent="0.25">
      <c r="A109" t="s">
        <v>10</v>
      </c>
      <c r="B109" t="s">
        <v>30</v>
      </c>
      <c r="C109" t="s">
        <v>19</v>
      </c>
      <c r="D109" t="s">
        <v>12</v>
      </c>
      <c r="E109">
        <v>2011</v>
      </c>
      <c r="F109">
        <v>9825</v>
      </c>
      <c r="I109" t="s">
        <v>25</v>
      </c>
    </row>
    <row r="110" spans="1:10" hidden="1" x14ac:dyDescent="0.25">
      <c r="A110" t="s">
        <v>22</v>
      </c>
      <c r="B110" t="s">
        <v>24</v>
      </c>
      <c r="C110" t="s">
        <v>19</v>
      </c>
      <c r="D110" t="s">
        <v>12</v>
      </c>
      <c r="E110">
        <v>2011</v>
      </c>
      <c r="F110">
        <v>129</v>
      </c>
      <c r="I110" t="s">
        <v>25</v>
      </c>
    </row>
    <row r="111" spans="1:10" hidden="1" x14ac:dyDescent="0.25">
      <c r="A111" t="s">
        <v>22</v>
      </c>
      <c r="B111" t="s">
        <v>26</v>
      </c>
      <c r="C111" t="s">
        <v>19</v>
      </c>
      <c r="D111" t="s">
        <v>12</v>
      </c>
      <c r="E111">
        <v>2011</v>
      </c>
      <c r="F111">
        <v>184</v>
      </c>
      <c r="I111" t="s">
        <v>25</v>
      </c>
    </row>
    <row r="112" spans="1:10" hidden="1" x14ac:dyDescent="0.25">
      <c r="A112" t="s">
        <v>22</v>
      </c>
      <c r="B112" t="s">
        <v>27</v>
      </c>
      <c r="C112" t="s">
        <v>19</v>
      </c>
      <c r="D112" t="s">
        <v>12</v>
      </c>
      <c r="E112">
        <v>2011</v>
      </c>
      <c r="F112">
        <v>32</v>
      </c>
      <c r="I112" t="s">
        <v>25</v>
      </c>
    </row>
    <row r="113" spans="1:9" hidden="1" x14ac:dyDescent="0.25">
      <c r="A113" t="s">
        <v>22</v>
      </c>
      <c r="B113" t="s">
        <v>28</v>
      </c>
      <c r="C113" t="s">
        <v>19</v>
      </c>
      <c r="D113" t="s">
        <v>12</v>
      </c>
      <c r="E113">
        <v>2011</v>
      </c>
      <c r="F113">
        <v>75</v>
      </c>
      <c r="I113" t="s">
        <v>25</v>
      </c>
    </row>
    <row r="114" spans="1:9" hidden="1" x14ac:dyDescent="0.25">
      <c r="A114" t="s">
        <v>22</v>
      </c>
      <c r="B114" t="s">
        <v>29</v>
      </c>
      <c r="C114" t="s">
        <v>19</v>
      </c>
      <c r="D114" t="s">
        <v>12</v>
      </c>
      <c r="E114">
        <v>2011</v>
      </c>
      <c r="F114">
        <f>8+2</f>
        <v>10</v>
      </c>
      <c r="I114" t="s">
        <v>25</v>
      </c>
    </row>
    <row r="115" spans="1:9" hidden="1" x14ac:dyDescent="0.25">
      <c r="A115" t="s">
        <v>22</v>
      </c>
      <c r="B115" t="s">
        <v>30</v>
      </c>
      <c r="C115" t="s">
        <v>19</v>
      </c>
      <c r="D115" t="s">
        <v>12</v>
      </c>
      <c r="E115">
        <v>2011</v>
      </c>
      <c r="F115">
        <v>219</v>
      </c>
      <c r="I115" t="s">
        <v>25</v>
      </c>
    </row>
    <row r="116" spans="1:9" hidden="1" x14ac:dyDescent="0.25">
      <c r="A116" t="s">
        <v>21</v>
      </c>
      <c r="B116" t="s">
        <v>26</v>
      </c>
      <c r="C116" t="s">
        <v>19</v>
      </c>
      <c r="D116" t="s">
        <v>15</v>
      </c>
      <c r="E116">
        <v>2011</v>
      </c>
      <c r="F116">
        <v>19</v>
      </c>
      <c r="I116" t="s">
        <v>25</v>
      </c>
    </row>
    <row r="117" spans="1:9" hidden="1" x14ac:dyDescent="0.25">
      <c r="A117" t="s">
        <v>21</v>
      </c>
      <c r="B117" t="s">
        <v>28</v>
      </c>
      <c r="C117" t="s">
        <v>19</v>
      </c>
      <c r="D117" t="s">
        <v>15</v>
      </c>
      <c r="E117">
        <v>2011</v>
      </c>
      <c r="F117">
        <v>368</v>
      </c>
      <c r="I117" t="s">
        <v>25</v>
      </c>
    </row>
    <row r="118" spans="1:9" hidden="1" x14ac:dyDescent="0.25">
      <c r="A118" t="s">
        <v>21</v>
      </c>
      <c r="B118" t="s">
        <v>29</v>
      </c>
      <c r="C118" t="s">
        <v>19</v>
      </c>
      <c r="D118" t="s">
        <v>15</v>
      </c>
      <c r="E118">
        <v>2011</v>
      </c>
      <c r="F118">
        <f>23-1</f>
        <v>22</v>
      </c>
      <c r="I118" t="s">
        <v>25</v>
      </c>
    </row>
    <row r="119" spans="1:9" hidden="1" x14ac:dyDescent="0.25">
      <c r="A119" t="s">
        <v>21</v>
      </c>
      <c r="B119" t="s">
        <v>30</v>
      </c>
      <c r="C119" t="s">
        <v>19</v>
      </c>
      <c r="D119" t="s">
        <v>15</v>
      </c>
      <c r="E119">
        <v>2011</v>
      </c>
      <c r="F119">
        <v>79</v>
      </c>
      <c r="I119" t="s">
        <v>25</v>
      </c>
    </row>
    <row r="120" spans="1:9" hidden="1" x14ac:dyDescent="0.25">
      <c r="A120" t="s">
        <v>10</v>
      </c>
      <c r="B120" t="s">
        <v>26</v>
      </c>
      <c r="C120" t="s">
        <v>19</v>
      </c>
      <c r="D120" t="s">
        <v>15</v>
      </c>
      <c r="E120">
        <v>2011</v>
      </c>
      <c r="F120">
        <v>2868</v>
      </c>
      <c r="I120" t="s">
        <v>25</v>
      </c>
    </row>
    <row r="121" spans="1:9" hidden="1" x14ac:dyDescent="0.25">
      <c r="A121" t="s">
        <v>10</v>
      </c>
      <c r="B121" t="s">
        <v>28</v>
      </c>
      <c r="C121" t="s">
        <v>19</v>
      </c>
      <c r="D121" t="s">
        <v>15</v>
      </c>
      <c r="E121">
        <v>2011</v>
      </c>
      <c r="F121">
        <v>10188</v>
      </c>
      <c r="I121" t="s">
        <v>25</v>
      </c>
    </row>
    <row r="122" spans="1:9" hidden="1" x14ac:dyDescent="0.25">
      <c r="A122" t="s">
        <v>10</v>
      </c>
      <c r="B122" t="s">
        <v>29</v>
      </c>
      <c r="C122" t="s">
        <v>19</v>
      </c>
      <c r="D122" t="s">
        <v>15</v>
      </c>
      <c r="E122">
        <v>2011</v>
      </c>
      <c r="F122">
        <f>383+758+52-80</f>
        <v>1113</v>
      </c>
      <c r="I122" t="s">
        <v>25</v>
      </c>
    </row>
    <row r="123" spans="1:9" hidden="1" x14ac:dyDescent="0.25">
      <c r="A123" t="s">
        <v>10</v>
      </c>
      <c r="B123" t="s">
        <v>30</v>
      </c>
      <c r="C123" t="s">
        <v>19</v>
      </c>
      <c r="D123" t="s">
        <v>15</v>
      </c>
      <c r="E123">
        <v>2011</v>
      </c>
      <c r="F123">
        <v>5241</v>
      </c>
      <c r="I123" t="s">
        <v>25</v>
      </c>
    </row>
    <row r="124" spans="1:9" hidden="1" x14ac:dyDescent="0.25">
      <c r="A124" t="s">
        <v>22</v>
      </c>
      <c r="B124" t="s">
        <v>26</v>
      </c>
      <c r="C124" t="s">
        <v>19</v>
      </c>
      <c r="D124" t="s">
        <v>15</v>
      </c>
      <c r="E124">
        <v>2011</v>
      </c>
      <c r="F124">
        <v>103</v>
      </c>
      <c r="I124" t="s">
        <v>25</v>
      </c>
    </row>
    <row r="125" spans="1:9" hidden="1" x14ac:dyDescent="0.25">
      <c r="A125" t="s">
        <v>22</v>
      </c>
      <c r="B125" t="s">
        <v>28</v>
      </c>
      <c r="C125" t="s">
        <v>19</v>
      </c>
      <c r="D125" t="s">
        <v>15</v>
      </c>
      <c r="E125">
        <v>2011</v>
      </c>
      <c r="F125">
        <v>159</v>
      </c>
      <c r="I125" t="s">
        <v>25</v>
      </c>
    </row>
    <row r="126" spans="1:9" hidden="1" x14ac:dyDescent="0.25">
      <c r="A126" t="s">
        <v>22</v>
      </c>
      <c r="B126" t="s">
        <v>29</v>
      </c>
      <c r="C126" t="s">
        <v>19</v>
      </c>
      <c r="D126" t="s">
        <v>15</v>
      </c>
      <c r="E126">
        <v>2011</v>
      </c>
      <c r="F126">
        <v>13</v>
      </c>
      <c r="I126" t="s">
        <v>25</v>
      </c>
    </row>
    <row r="127" spans="1:9" hidden="1" x14ac:dyDescent="0.25">
      <c r="A127" t="s">
        <v>22</v>
      </c>
      <c r="B127" t="s">
        <v>30</v>
      </c>
      <c r="C127" t="s">
        <v>19</v>
      </c>
      <c r="D127" t="s">
        <v>15</v>
      </c>
      <c r="E127">
        <v>2011</v>
      </c>
      <c r="F127">
        <v>79</v>
      </c>
      <c r="I127" t="s">
        <v>25</v>
      </c>
    </row>
    <row r="128" spans="1:9" hidden="1" x14ac:dyDescent="0.25">
      <c r="A128" t="s">
        <v>21</v>
      </c>
      <c r="B128" t="s">
        <v>24</v>
      </c>
      <c r="C128" t="s">
        <v>20</v>
      </c>
      <c r="D128" t="s">
        <v>12</v>
      </c>
      <c r="E128">
        <v>2011</v>
      </c>
      <c r="F128">
        <v>581</v>
      </c>
      <c r="I128" t="s">
        <v>25</v>
      </c>
    </row>
    <row r="129" spans="1:9" hidden="1" x14ac:dyDescent="0.25">
      <c r="A129" t="s">
        <v>21</v>
      </c>
      <c r="B129" t="s">
        <v>26</v>
      </c>
      <c r="C129" t="s">
        <v>20</v>
      </c>
      <c r="D129" t="s">
        <v>12</v>
      </c>
      <c r="E129">
        <v>2011</v>
      </c>
      <c r="F129">
        <v>37</v>
      </c>
      <c r="I129" t="s">
        <v>25</v>
      </c>
    </row>
    <row r="130" spans="1:9" hidden="1" x14ac:dyDescent="0.25">
      <c r="A130" t="s">
        <v>21</v>
      </c>
      <c r="B130" t="s">
        <v>27</v>
      </c>
      <c r="C130" t="s">
        <v>20</v>
      </c>
      <c r="D130" t="s">
        <v>12</v>
      </c>
      <c r="E130">
        <v>2011</v>
      </c>
      <c r="F130">
        <v>17</v>
      </c>
      <c r="I130" t="s">
        <v>25</v>
      </c>
    </row>
    <row r="131" spans="1:9" hidden="1" x14ac:dyDescent="0.25">
      <c r="A131" t="s">
        <v>21</v>
      </c>
      <c r="B131" t="s">
        <v>28</v>
      </c>
      <c r="C131" t="s">
        <v>20</v>
      </c>
      <c r="D131" t="s">
        <v>12</v>
      </c>
      <c r="E131">
        <v>2011</v>
      </c>
      <c r="F131">
        <v>44</v>
      </c>
      <c r="I131" t="s">
        <v>25</v>
      </c>
    </row>
    <row r="132" spans="1:9" hidden="1" x14ac:dyDescent="0.25">
      <c r="A132" t="s">
        <v>21</v>
      </c>
      <c r="B132" t="s">
        <v>29</v>
      </c>
      <c r="C132" t="s">
        <v>20</v>
      </c>
      <c r="D132" t="s">
        <v>12</v>
      </c>
      <c r="E132">
        <v>2011</v>
      </c>
      <c r="F132">
        <v>1</v>
      </c>
      <c r="I132" t="s">
        <v>25</v>
      </c>
    </row>
    <row r="133" spans="1:9" hidden="1" x14ac:dyDescent="0.25">
      <c r="A133" t="s">
        <v>21</v>
      </c>
      <c r="B133" t="s">
        <v>30</v>
      </c>
      <c r="C133" t="s">
        <v>20</v>
      </c>
      <c r="D133" t="s">
        <v>12</v>
      </c>
      <c r="E133">
        <v>2011</v>
      </c>
      <c r="F133">
        <v>168</v>
      </c>
      <c r="I133" t="s">
        <v>25</v>
      </c>
    </row>
    <row r="134" spans="1:9" hidden="1" x14ac:dyDescent="0.25">
      <c r="A134" t="s">
        <v>10</v>
      </c>
      <c r="B134" t="s">
        <v>24</v>
      </c>
      <c r="C134" t="s">
        <v>20</v>
      </c>
      <c r="D134" t="s">
        <v>12</v>
      </c>
      <c r="E134">
        <v>2011</v>
      </c>
      <c r="F134">
        <v>11832</v>
      </c>
      <c r="I134" t="s">
        <v>25</v>
      </c>
    </row>
    <row r="135" spans="1:9" hidden="1" x14ac:dyDescent="0.25">
      <c r="A135" t="s">
        <v>10</v>
      </c>
      <c r="B135" t="s">
        <v>26</v>
      </c>
      <c r="C135" t="s">
        <v>20</v>
      </c>
      <c r="D135" t="s">
        <v>12</v>
      </c>
      <c r="E135">
        <v>2011</v>
      </c>
      <c r="F135">
        <v>5512</v>
      </c>
      <c r="I135" t="s">
        <v>25</v>
      </c>
    </row>
    <row r="136" spans="1:9" hidden="1" x14ac:dyDescent="0.25">
      <c r="A136" t="s">
        <v>10</v>
      </c>
      <c r="B136" t="s">
        <v>27</v>
      </c>
      <c r="C136" t="s">
        <v>20</v>
      </c>
      <c r="D136" t="s">
        <v>12</v>
      </c>
      <c r="E136">
        <v>2011</v>
      </c>
      <c r="F136">
        <v>1093</v>
      </c>
      <c r="I136" t="s">
        <v>25</v>
      </c>
    </row>
    <row r="137" spans="1:9" hidden="1" x14ac:dyDescent="0.25">
      <c r="A137" t="s">
        <v>10</v>
      </c>
      <c r="B137" t="s">
        <v>28</v>
      </c>
      <c r="C137" t="s">
        <v>20</v>
      </c>
      <c r="D137" t="s">
        <v>12</v>
      </c>
      <c r="E137">
        <v>2011</v>
      </c>
      <c r="F137">
        <v>2023</v>
      </c>
      <c r="I137" t="s">
        <v>25</v>
      </c>
    </row>
    <row r="138" spans="1:9" hidden="1" x14ac:dyDescent="0.25">
      <c r="A138" t="s">
        <v>10</v>
      </c>
      <c r="B138" t="s">
        <v>29</v>
      </c>
      <c r="C138" t="s">
        <v>20</v>
      </c>
      <c r="D138" t="s">
        <v>12</v>
      </c>
      <c r="E138">
        <v>2011</v>
      </c>
      <c r="F138">
        <f>1+456+31-41</f>
        <v>447</v>
      </c>
      <c r="I138" t="s">
        <v>25</v>
      </c>
    </row>
    <row r="139" spans="1:9" hidden="1" x14ac:dyDescent="0.25">
      <c r="A139" t="s">
        <v>10</v>
      </c>
      <c r="B139" t="s">
        <v>30</v>
      </c>
      <c r="C139" t="s">
        <v>20</v>
      </c>
      <c r="D139" t="s">
        <v>12</v>
      </c>
      <c r="E139">
        <v>2011</v>
      </c>
      <c r="F139">
        <v>5709</v>
      </c>
      <c r="I139" t="s">
        <v>25</v>
      </c>
    </row>
    <row r="140" spans="1:9" hidden="1" x14ac:dyDescent="0.25">
      <c r="A140" t="s">
        <v>22</v>
      </c>
      <c r="B140" t="s">
        <v>24</v>
      </c>
      <c r="C140" t="s">
        <v>20</v>
      </c>
      <c r="D140" t="s">
        <v>12</v>
      </c>
      <c r="E140">
        <v>2011</v>
      </c>
      <c r="F140">
        <v>103</v>
      </c>
      <c r="I140" t="s">
        <v>25</v>
      </c>
    </row>
    <row r="141" spans="1:9" hidden="1" x14ac:dyDescent="0.25">
      <c r="A141" t="s">
        <v>22</v>
      </c>
      <c r="B141" t="s">
        <v>26</v>
      </c>
      <c r="C141" t="s">
        <v>20</v>
      </c>
      <c r="D141" t="s">
        <v>12</v>
      </c>
      <c r="E141">
        <v>2011</v>
      </c>
      <c r="F141">
        <v>200</v>
      </c>
      <c r="I141" t="s">
        <v>25</v>
      </c>
    </row>
    <row r="142" spans="1:9" hidden="1" x14ac:dyDescent="0.25">
      <c r="A142" t="s">
        <v>22</v>
      </c>
      <c r="B142" t="s">
        <v>27</v>
      </c>
      <c r="C142" t="s">
        <v>20</v>
      </c>
      <c r="D142" t="s">
        <v>12</v>
      </c>
      <c r="E142">
        <v>2011</v>
      </c>
      <c r="F142">
        <v>26</v>
      </c>
      <c r="I142" t="s">
        <v>25</v>
      </c>
    </row>
    <row r="143" spans="1:9" hidden="1" x14ac:dyDescent="0.25">
      <c r="A143" t="s">
        <v>22</v>
      </c>
      <c r="B143" t="s">
        <v>28</v>
      </c>
      <c r="C143" t="s">
        <v>20</v>
      </c>
      <c r="D143" t="s">
        <v>12</v>
      </c>
      <c r="E143">
        <v>2011</v>
      </c>
      <c r="F143">
        <v>30</v>
      </c>
      <c r="I143" t="s">
        <v>25</v>
      </c>
    </row>
    <row r="144" spans="1:9" hidden="1" x14ac:dyDescent="0.25">
      <c r="A144" t="s">
        <v>22</v>
      </c>
      <c r="B144" t="s">
        <v>29</v>
      </c>
      <c r="C144" t="s">
        <v>20</v>
      </c>
      <c r="D144" t="s">
        <v>12</v>
      </c>
      <c r="E144">
        <v>2011</v>
      </c>
      <c r="F144">
        <v>3</v>
      </c>
      <c r="I144" t="s">
        <v>25</v>
      </c>
    </row>
    <row r="145" spans="1:9" hidden="1" x14ac:dyDescent="0.25">
      <c r="A145" t="s">
        <v>22</v>
      </c>
      <c r="B145" t="s">
        <v>30</v>
      </c>
      <c r="C145" t="s">
        <v>20</v>
      </c>
      <c r="D145" t="s">
        <v>12</v>
      </c>
      <c r="E145">
        <v>2011</v>
      </c>
      <c r="F145">
        <v>117</v>
      </c>
      <c r="I145" t="s">
        <v>25</v>
      </c>
    </row>
    <row r="146" spans="1:9" hidden="1" x14ac:dyDescent="0.25">
      <c r="A146" t="s">
        <v>21</v>
      </c>
      <c r="B146" t="s">
        <v>26</v>
      </c>
      <c r="C146" t="s">
        <v>20</v>
      </c>
      <c r="D146" t="s">
        <v>15</v>
      </c>
      <c r="E146">
        <v>2011</v>
      </c>
      <c r="F146">
        <v>7</v>
      </c>
      <c r="I146" t="s">
        <v>25</v>
      </c>
    </row>
    <row r="147" spans="1:9" hidden="1" x14ac:dyDescent="0.25">
      <c r="A147" t="s">
        <v>21</v>
      </c>
      <c r="B147" t="s">
        <v>28</v>
      </c>
      <c r="C147" t="s">
        <v>20</v>
      </c>
      <c r="D147" t="s">
        <v>15</v>
      </c>
      <c r="E147">
        <v>2011</v>
      </c>
      <c r="F147">
        <v>170</v>
      </c>
      <c r="I147" t="s">
        <v>25</v>
      </c>
    </row>
    <row r="148" spans="1:9" hidden="1" x14ac:dyDescent="0.25">
      <c r="A148" t="s">
        <v>21</v>
      </c>
      <c r="B148" t="s">
        <v>29</v>
      </c>
      <c r="C148" t="s">
        <v>20</v>
      </c>
      <c r="D148" t="s">
        <v>15</v>
      </c>
      <c r="E148">
        <v>2011</v>
      </c>
      <c r="F148">
        <v>23</v>
      </c>
      <c r="I148" t="s">
        <v>25</v>
      </c>
    </row>
    <row r="149" spans="1:9" hidden="1" x14ac:dyDescent="0.25">
      <c r="A149" t="s">
        <v>21</v>
      </c>
      <c r="B149" t="s">
        <v>30</v>
      </c>
      <c r="C149" t="s">
        <v>20</v>
      </c>
      <c r="D149" t="s">
        <v>15</v>
      </c>
      <c r="E149">
        <v>2011</v>
      </c>
      <c r="F149">
        <v>32</v>
      </c>
      <c r="I149" t="s">
        <v>25</v>
      </c>
    </row>
    <row r="150" spans="1:9" hidden="1" x14ac:dyDescent="0.25">
      <c r="A150" t="s">
        <v>10</v>
      </c>
      <c r="B150" t="s">
        <v>26</v>
      </c>
      <c r="C150" t="s">
        <v>20</v>
      </c>
      <c r="D150" t="s">
        <v>15</v>
      </c>
      <c r="E150">
        <v>2011</v>
      </c>
      <c r="F150">
        <v>2430</v>
      </c>
      <c r="I150" t="s">
        <v>25</v>
      </c>
    </row>
    <row r="151" spans="1:9" hidden="1" x14ac:dyDescent="0.25">
      <c r="A151" t="s">
        <v>10</v>
      </c>
      <c r="B151" t="s">
        <v>28</v>
      </c>
      <c r="C151" t="s">
        <v>20</v>
      </c>
      <c r="D151" t="s">
        <v>15</v>
      </c>
      <c r="E151">
        <v>2011</v>
      </c>
      <c r="F151">
        <v>5496</v>
      </c>
      <c r="I151" t="s">
        <v>25</v>
      </c>
    </row>
    <row r="152" spans="1:9" hidden="1" x14ac:dyDescent="0.25">
      <c r="A152" t="s">
        <v>10</v>
      </c>
      <c r="B152" t="s">
        <v>29</v>
      </c>
      <c r="C152" t="s">
        <v>20</v>
      </c>
      <c r="D152" t="s">
        <v>15</v>
      </c>
      <c r="E152">
        <v>2011</v>
      </c>
      <c r="F152">
        <f>306+470+28-55</f>
        <v>749</v>
      </c>
      <c r="I152" t="s">
        <v>25</v>
      </c>
    </row>
    <row r="153" spans="1:9" hidden="1" x14ac:dyDescent="0.25">
      <c r="A153" t="s">
        <v>10</v>
      </c>
      <c r="B153" t="s">
        <v>30</v>
      </c>
      <c r="C153" t="s">
        <v>20</v>
      </c>
      <c r="D153" t="s">
        <v>15</v>
      </c>
      <c r="E153">
        <v>2011</v>
      </c>
      <c r="F153">
        <v>2345</v>
      </c>
      <c r="I153" t="s">
        <v>25</v>
      </c>
    </row>
    <row r="154" spans="1:9" hidden="1" x14ac:dyDescent="0.25">
      <c r="A154" t="s">
        <v>22</v>
      </c>
      <c r="B154" t="s">
        <v>26</v>
      </c>
      <c r="C154" t="s">
        <v>20</v>
      </c>
      <c r="D154" t="s">
        <v>15</v>
      </c>
      <c r="E154">
        <v>2011</v>
      </c>
      <c r="F154">
        <v>86</v>
      </c>
      <c r="I154" t="s">
        <v>25</v>
      </c>
    </row>
    <row r="155" spans="1:9" hidden="1" x14ac:dyDescent="0.25">
      <c r="A155" t="s">
        <v>22</v>
      </c>
      <c r="B155" t="s">
        <v>28</v>
      </c>
      <c r="C155" t="s">
        <v>20</v>
      </c>
      <c r="D155" t="s">
        <v>15</v>
      </c>
      <c r="E155">
        <v>2011</v>
      </c>
      <c r="F155">
        <v>84</v>
      </c>
      <c r="I155" t="s">
        <v>25</v>
      </c>
    </row>
    <row r="156" spans="1:9" hidden="1" x14ac:dyDescent="0.25">
      <c r="A156" t="s">
        <v>22</v>
      </c>
      <c r="B156" t="s">
        <v>29</v>
      </c>
      <c r="C156" t="s">
        <v>20</v>
      </c>
      <c r="D156" t="s">
        <v>15</v>
      </c>
      <c r="E156">
        <v>2011</v>
      </c>
      <c r="F156">
        <v>6</v>
      </c>
      <c r="I156" t="s">
        <v>25</v>
      </c>
    </row>
    <row r="157" spans="1:9" hidden="1" x14ac:dyDescent="0.25">
      <c r="A157" t="s">
        <v>22</v>
      </c>
      <c r="B157" t="s">
        <v>30</v>
      </c>
      <c r="C157" t="s">
        <v>20</v>
      </c>
      <c r="D157" t="s">
        <v>15</v>
      </c>
      <c r="E157">
        <v>2011</v>
      </c>
      <c r="F157">
        <v>24</v>
      </c>
      <c r="I157" t="s">
        <v>25</v>
      </c>
    </row>
    <row r="158" spans="1:9" hidden="1" x14ac:dyDescent="0.25">
      <c r="A158" t="s">
        <v>21</v>
      </c>
      <c r="B158" t="s">
        <v>24</v>
      </c>
      <c r="C158" t="s">
        <v>31</v>
      </c>
      <c r="D158" t="s">
        <v>12</v>
      </c>
      <c r="E158">
        <v>2011</v>
      </c>
      <c r="F158">
        <v>481</v>
      </c>
      <c r="I158" t="s">
        <v>25</v>
      </c>
    </row>
    <row r="159" spans="1:9" hidden="1" x14ac:dyDescent="0.25">
      <c r="A159" t="s">
        <v>21</v>
      </c>
      <c r="B159" t="s">
        <v>26</v>
      </c>
      <c r="C159" t="s">
        <v>31</v>
      </c>
      <c r="D159" t="s">
        <v>12</v>
      </c>
      <c r="E159">
        <v>2011</v>
      </c>
      <c r="F159">
        <v>14</v>
      </c>
      <c r="I159" t="s">
        <v>25</v>
      </c>
    </row>
    <row r="160" spans="1:9" hidden="1" x14ac:dyDescent="0.25">
      <c r="A160" t="s">
        <v>21</v>
      </c>
      <c r="B160" t="s">
        <v>27</v>
      </c>
      <c r="C160" t="s">
        <v>31</v>
      </c>
      <c r="D160" t="s">
        <v>12</v>
      </c>
      <c r="E160">
        <v>2011</v>
      </c>
      <c r="F160">
        <v>20</v>
      </c>
      <c r="I160" t="s">
        <v>25</v>
      </c>
    </row>
    <row r="161" spans="1:9" hidden="1" x14ac:dyDescent="0.25">
      <c r="A161" t="s">
        <v>21</v>
      </c>
      <c r="B161" t="s">
        <v>28</v>
      </c>
      <c r="C161" t="s">
        <v>31</v>
      </c>
      <c r="D161" t="s">
        <v>12</v>
      </c>
      <c r="E161">
        <v>2011</v>
      </c>
      <c r="F161">
        <v>11</v>
      </c>
      <c r="I161" t="s">
        <v>25</v>
      </c>
    </row>
    <row r="162" spans="1:9" hidden="1" x14ac:dyDescent="0.25">
      <c r="A162" t="s">
        <v>21</v>
      </c>
      <c r="B162" t="s">
        <v>29</v>
      </c>
      <c r="C162" t="s">
        <v>31</v>
      </c>
      <c r="D162" t="s">
        <v>12</v>
      </c>
      <c r="E162">
        <v>2011</v>
      </c>
      <c r="F162">
        <v>0</v>
      </c>
      <c r="I162" t="s">
        <v>25</v>
      </c>
    </row>
    <row r="163" spans="1:9" hidden="1" x14ac:dyDescent="0.25">
      <c r="A163" t="s">
        <v>21</v>
      </c>
      <c r="B163" t="s">
        <v>30</v>
      </c>
      <c r="C163" t="s">
        <v>31</v>
      </c>
      <c r="D163" t="s">
        <v>12</v>
      </c>
      <c r="E163">
        <v>2011</v>
      </c>
      <c r="F163">
        <v>73</v>
      </c>
      <c r="I163" t="s">
        <v>25</v>
      </c>
    </row>
    <row r="164" spans="1:9" hidden="1" x14ac:dyDescent="0.25">
      <c r="A164" t="s">
        <v>10</v>
      </c>
      <c r="B164" t="s">
        <v>24</v>
      </c>
      <c r="C164" t="s">
        <v>31</v>
      </c>
      <c r="D164" t="s">
        <v>12</v>
      </c>
      <c r="E164">
        <v>2011</v>
      </c>
      <c r="F164">
        <v>16043</v>
      </c>
      <c r="I164" t="s">
        <v>25</v>
      </c>
    </row>
    <row r="165" spans="1:9" hidden="1" x14ac:dyDescent="0.25">
      <c r="A165" t="s">
        <v>10</v>
      </c>
      <c r="B165" t="s">
        <v>26</v>
      </c>
      <c r="C165" t="s">
        <v>31</v>
      </c>
      <c r="D165" t="s">
        <v>12</v>
      </c>
      <c r="E165">
        <v>2011</v>
      </c>
      <c r="F165">
        <v>1341</v>
      </c>
      <c r="I165" t="s">
        <v>25</v>
      </c>
    </row>
    <row r="166" spans="1:9" hidden="1" x14ac:dyDescent="0.25">
      <c r="A166" t="s">
        <v>10</v>
      </c>
      <c r="B166" t="s">
        <v>27</v>
      </c>
      <c r="C166" t="s">
        <v>31</v>
      </c>
      <c r="D166" t="s">
        <v>12</v>
      </c>
      <c r="E166">
        <v>2011</v>
      </c>
      <c r="F166">
        <v>596</v>
      </c>
      <c r="I166" t="s">
        <v>25</v>
      </c>
    </row>
    <row r="167" spans="1:9" hidden="1" x14ac:dyDescent="0.25">
      <c r="A167" t="s">
        <v>10</v>
      </c>
      <c r="B167" t="s">
        <v>28</v>
      </c>
      <c r="C167" t="s">
        <v>31</v>
      </c>
      <c r="D167" t="s">
        <v>12</v>
      </c>
      <c r="E167">
        <v>2011</v>
      </c>
      <c r="F167">
        <v>508</v>
      </c>
      <c r="I167" t="s">
        <v>25</v>
      </c>
    </row>
    <row r="168" spans="1:9" hidden="1" x14ac:dyDescent="0.25">
      <c r="A168" t="s">
        <v>10</v>
      </c>
      <c r="B168" t="s">
        <v>29</v>
      </c>
      <c r="C168" t="s">
        <v>31</v>
      </c>
      <c r="D168" t="s">
        <v>12</v>
      </c>
      <c r="E168">
        <v>2011</v>
      </c>
      <c r="F168">
        <f>1+67+47-5</f>
        <v>110</v>
      </c>
      <c r="I168" t="s">
        <v>25</v>
      </c>
    </row>
    <row r="169" spans="1:9" hidden="1" x14ac:dyDescent="0.25">
      <c r="A169" t="s">
        <v>10</v>
      </c>
      <c r="B169" t="s">
        <v>30</v>
      </c>
      <c r="C169" t="s">
        <v>31</v>
      </c>
      <c r="D169" t="s">
        <v>12</v>
      </c>
      <c r="E169">
        <v>2011</v>
      </c>
      <c r="F169">
        <v>2828</v>
      </c>
      <c r="I169" t="s">
        <v>25</v>
      </c>
    </row>
    <row r="170" spans="1:9" hidden="1" x14ac:dyDescent="0.25">
      <c r="A170" t="s">
        <v>22</v>
      </c>
      <c r="B170" t="s">
        <v>24</v>
      </c>
      <c r="C170" t="s">
        <v>31</v>
      </c>
      <c r="D170" t="s">
        <v>12</v>
      </c>
      <c r="E170">
        <v>2011</v>
      </c>
      <c r="F170">
        <v>138</v>
      </c>
      <c r="I170" t="s">
        <v>25</v>
      </c>
    </row>
    <row r="171" spans="1:9" hidden="1" x14ac:dyDescent="0.25">
      <c r="A171" t="s">
        <v>22</v>
      </c>
      <c r="B171" t="s">
        <v>26</v>
      </c>
      <c r="C171" t="s">
        <v>31</v>
      </c>
      <c r="D171" t="s">
        <v>12</v>
      </c>
      <c r="E171">
        <v>2011</v>
      </c>
      <c r="F171">
        <v>46</v>
      </c>
      <c r="I171" t="s">
        <v>25</v>
      </c>
    </row>
    <row r="172" spans="1:9" hidden="1" x14ac:dyDescent="0.25">
      <c r="A172" t="s">
        <v>22</v>
      </c>
      <c r="B172" t="s">
        <v>27</v>
      </c>
      <c r="C172" t="s">
        <v>31</v>
      </c>
      <c r="D172" t="s">
        <v>12</v>
      </c>
      <c r="E172">
        <v>2011</v>
      </c>
      <c r="F172">
        <v>19</v>
      </c>
      <c r="I172" t="s">
        <v>25</v>
      </c>
    </row>
    <row r="173" spans="1:9" hidden="1" x14ac:dyDescent="0.25">
      <c r="A173" t="s">
        <v>22</v>
      </c>
      <c r="B173" t="s">
        <v>28</v>
      </c>
      <c r="C173" t="s">
        <v>31</v>
      </c>
      <c r="D173" t="s">
        <v>12</v>
      </c>
      <c r="E173">
        <v>2011</v>
      </c>
      <c r="F173">
        <v>15</v>
      </c>
      <c r="I173" t="s">
        <v>25</v>
      </c>
    </row>
    <row r="174" spans="1:9" hidden="1" x14ac:dyDescent="0.25">
      <c r="A174" t="s">
        <v>22</v>
      </c>
      <c r="B174" t="s">
        <v>29</v>
      </c>
      <c r="C174" t="s">
        <v>31</v>
      </c>
      <c r="D174" t="s">
        <v>12</v>
      </c>
      <c r="E174">
        <v>2011</v>
      </c>
      <c r="F174">
        <v>2</v>
      </c>
      <c r="I174" t="s">
        <v>25</v>
      </c>
    </row>
    <row r="175" spans="1:9" hidden="1" x14ac:dyDescent="0.25">
      <c r="A175" t="s">
        <v>22</v>
      </c>
      <c r="B175" t="s">
        <v>30</v>
      </c>
      <c r="C175" t="s">
        <v>31</v>
      </c>
      <c r="D175" t="s">
        <v>12</v>
      </c>
      <c r="E175">
        <v>2011</v>
      </c>
      <c r="F175">
        <v>56</v>
      </c>
      <c r="I175" t="s">
        <v>25</v>
      </c>
    </row>
    <row r="176" spans="1:9" hidden="1" x14ac:dyDescent="0.25">
      <c r="A176" t="s">
        <v>21</v>
      </c>
      <c r="B176" t="s">
        <v>26</v>
      </c>
      <c r="C176" t="s">
        <v>31</v>
      </c>
      <c r="D176" t="s">
        <v>15</v>
      </c>
      <c r="E176">
        <v>2011</v>
      </c>
      <c r="F176">
        <v>8</v>
      </c>
      <c r="I176" t="s">
        <v>25</v>
      </c>
    </row>
    <row r="177" spans="1:9" hidden="1" x14ac:dyDescent="0.25">
      <c r="A177" t="s">
        <v>21</v>
      </c>
      <c r="B177" t="s">
        <v>28</v>
      </c>
      <c r="C177" t="s">
        <v>31</v>
      </c>
      <c r="D177" t="s">
        <v>15</v>
      </c>
      <c r="E177">
        <v>2011</v>
      </c>
      <c r="F177">
        <v>28</v>
      </c>
      <c r="I177" t="s">
        <v>25</v>
      </c>
    </row>
    <row r="178" spans="1:9" hidden="1" x14ac:dyDescent="0.25">
      <c r="A178" t="s">
        <v>21</v>
      </c>
      <c r="B178" t="s">
        <v>29</v>
      </c>
      <c r="C178" t="s">
        <v>31</v>
      </c>
      <c r="D178" t="s">
        <v>15</v>
      </c>
      <c r="E178">
        <v>2011</v>
      </c>
      <c r="F178">
        <v>4</v>
      </c>
      <c r="I178" t="s">
        <v>25</v>
      </c>
    </row>
    <row r="179" spans="1:9" hidden="1" x14ac:dyDescent="0.25">
      <c r="A179" t="s">
        <v>21</v>
      </c>
      <c r="B179" t="s">
        <v>30</v>
      </c>
      <c r="C179" t="s">
        <v>31</v>
      </c>
      <c r="D179" t="s">
        <v>15</v>
      </c>
      <c r="E179">
        <v>2011</v>
      </c>
      <c r="F179">
        <v>10</v>
      </c>
      <c r="I179" t="s">
        <v>25</v>
      </c>
    </row>
    <row r="180" spans="1:9" hidden="1" x14ac:dyDescent="0.25">
      <c r="A180" t="s">
        <v>10</v>
      </c>
      <c r="B180" t="s">
        <v>26</v>
      </c>
      <c r="C180" t="s">
        <v>31</v>
      </c>
      <c r="D180" t="s">
        <v>15</v>
      </c>
      <c r="E180">
        <v>2011</v>
      </c>
      <c r="F180">
        <v>681</v>
      </c>
      <c r="I180" t="s">
        <v>25</v>
      </c>
    </row>
    <row r="181" spans="1:9" hidden="1" x14ac:dyDescent="0.25">
      <c r="A181" t="s">
        <v>10</v>
      </c>
      <c r="B181" t="s">
        <v>28</v>
      </c>
      <c r="C181" t="s">
        <v>31</v>
      </c>
      <c r="D181" t="s">
        <v>15</v>
      </c>
      <c r="E181">
        <v>2011</v>
      </c>
      <c r="F181">
        <v>1128</v>
      </c>
      <c r="I181" t="s">
        <v>25</v>
      </c>
    </row>
    <row r="182" spans="1:9" hidden="1" x14ac:dyDescent="0.25">
      <c r="A182" t="s">
        <v>10</v>
      </c>
      <c r="B182" t="s">
        <v>29</v>
      </c>
      <c r="C182" t="s">
        <v>31</v>
      </c>
      <c r="D182" t="s">
        <v>15</v>
      </c>
      <c r="E182">
        <v>2011</v>
      </c>
      <c r="F182">
        <f>57+72+22-7</f>
        <v>144</v>
      </c>
      <c r="I182" t="s">
        <v>25</v>
      </c>
    </row>
    <row r="183" spans="1:9" hidden="1" x14ac:dyDescent="0.25">
      <c r="A183" t="s">
        <v>10</v>
      </c>
      <c r="B183" t="s">
        <v>30</v>
      </c>
      <c r="C183" t="s">
        <v>31</v>
      </c>
      <c r="D183" t="s">
        <v>15</v>
      </c>
      <c r="E183">
        <v>2011</v>
      </c>
      <c r="F183">
        <v>563</v>
      </c>
      <c r="I183" t="s">
        <v>25</v>
      </c>
    </row>
    <row r="184" spans="1:9" hidden="1" x14ac:dyDescent="0.25">
      <c r="A184" t="s">
        <v>22</v>
      </c>
      <c r="B184" t="s">
        <v>26</v>
      </c>
      <c r="C184" t="s">
        <v>31</v>
      </c>
      <c r="D184" t="s">
        <v>15</v>
      </c>
      <c r="E184">
        <v>2011</v>
      </c>
      <c r="F184">
        <v>22</v>
      </c>
      <c r="I184" t="s">
        <v>25</v>
      </c>
    </row>
    <row r="185" spans="1:9" hidden="1" x14ac:dyDescent="0.25">
      <c r="A185" t="s">
        <v>22</v>
      </c>
      <c r="B185" t="s">
        <v>28</v>
      </c>
      <c r="C185" t="s">
        <v>31</v>
      </c>
      <c r="D185" t="s">
        <v>15</v>
      </c>
      <c r="E185">
        <v>2011</v>
      </c>
      <c r="F185">
        <v>21</v>
      </c>
      <c r="I185" t="s">
        <v>25</v>
      </c>
    </row>
    <row r="186" spans="1:9" hidden="1" x14ac:dyDescent="0.25">
      <c r="A186" t="s">
        <v>22</v>
      </c>
      <c r="B186" t="s">
        <v>29</v>
      </c>
      <c r="C186" t="s">
        <v>31</v>
      </c>
      <c r="D186" t="s">
        <v>15</v>
      </c>
      <c r="E186">
        <v>2011</v>
      </c>
      <c r="F186">
        <v>1</v>
      </c>
      <c r="I186" t="s">
        <v>25</v>
      </c>
    </row>
    <row r="187" spans="1:9" hidden="1" x14ac:dyDescent="0.25">
      <c r="A187" t="s">
        <v>22</v>
      </c>
      <c r="B187" t="s">
        <v>30</v>
      </c>
      <c r="C187" t="s">
        <v>31</v>
      </c>
      <c r="D187" t="s">
        <v>15</v>
      </c>
      <c r="E187">
        <v>2011</v>
      </c>
      <c r="F187">
        <v>10</v>
      </c>
      <c r="I187" t="s">
        <v>25</v>
      </c>
    </row>
    <row r="188" spans="1:9" hidden="1" x14ac:dyDescent="0.25">
      <c r="A188" t="s">
        <v>21</v>
      </c>
      <c r="B188" t="s">
        <v>24</v>
      </c>
      <c r="C188" t="s">
        <v>19</v>
      </c>
      <c r="D188" t="s">
        <v>12</v>
      </c>
      <c r="E188">
        <v>2012</v>
      </c>
      <c r="F188">
        <v>560</v>
      </c>
      <c r="I188" t="s">
        <v>25</v>
      </c>
    </row>
    <row r="189" spans="1:9" hidden="1" x14ac:dyDescent="0.25">
      <c r="A189" t="s">
        <v>21</v>
      </c>
      <c r="B189" t="s">
        <v>26</v>
      </c>
      <c r="C189" t="s">
        <v>19</v>
      </c>
      <c r="D189" t="s">
        <v>12</v>
      </c>
      <c r="E189">
        <v>2012</v>
      </c>
      <c r="F189">
        <v>25</v>
      </c>
      <c r="I189" t="s">
        <v>25</v>
      </c>
    </row>
    <row r="190" spans="1:9" hidden="1" x14ac:dyDescent="0.25">
      <c r="A190" t="s">
        <v>21</v>
      </c>
      <c r="B190" t="s">
        <v>27</v>
      </c>
      <c r="C190" t="s">
        <v>19</v>
      </c>
      <c r="D190" t="s">
        <v>12</v>
      </c>
      <c r="E190">
        <v>2012</v>
      </c>
      <c r="F190">
        <v>15</v>
      </c>
      <c r="I190" t="s">
        <v>25</v>
      </c>
    </row>
    <row r="191" spans="1:9" hidden="1" x14ac:dyDescent="0.25">
      <c r="A191" t="s">
        <v>21</v>
      </c>
      <c r="B191" t="s">
        <v>28</v>
      </c>
      <c r="C191" t="s">
        <v>19</v>
      </c>
      <c r="D191" t="s">
        <v>12</v>
      </c>
      <c r="E191">
        <v>2012</v>
      </c>
      <c r="F191">
        <v>85</v>
      </c>
      <c r="I191" t="s">
        <v>25</v>
      </c>
    </row>
    <row r="192" spans="1:9" hidden="1" x14ac:dyDescent="0.25">
      <c r="A192" t="s">
        <v>21</v>
      </c>
      <c r="B192" t="s">
        <v>29</v>
      </c>
      <c r="C192" t="s">
        <v>19</v>
      </c>
      <c r="D192" t="s">
        <v>12</v>
      </c>
      <c r="E192">
        <v>2012</v>
      </c>
      <c r="F192">
        <f>6-5</f>
        <v>1</v>
      </c>
      <c r="I192" t="s">
        <v>25</v>
      </c>
    </row>
    <row r="193" spans="1:9" hidden="1" x14ac:dyDescent="0.25">
      <c r="A193" t="s">
        <v>21</v>
      </c>
      <c r="B193" t="s">
        <v>30</v>
      </c>
      <c r="C193" t="s">
        <v>19</v>
      </c>
      <c r="D193" t="s">
        <v>12</v>
      </c>
      <c r="E193">
        <v>2012</v>
      </c>
      <c r="F193">
        <v>233</v>
      </c>
      <c r="I193" t="s">
        <v>25</v>
      </c>
    </row>
    <row r="194" spans="1:9" hidden="1" x14ac:dyDescent="0.25">
      <c r="A194" t="s">
        <v>10</v>
      </c>
      <c r="B194" t="s">
        <v>24</v>
      </c>
      <c r="C194" t="s">
        <v>19</v>
      </c>
      <c r="D194" t="s">
        <v>12</v>
      </c>
      <c r="E194">
        <v>2012</v>
      </c>
      <c r="F194">
        <v>13148</v>
      </c>
      <c r="I194" t="s">
        <v>25</v>
      </c>
    </row>
    <row r="195" spans="1:9" hidden="1" x14ac:dyDescent="0.25">
      <c r="A195" t="s">
        <v>10</v>
      </c>
      <c r="B195" t="s">
        <v>26</v>
      </c>
      <c r="C195" t="s">
        <v>19</v>
      </c>
      <c r="D195" t="s">
        <v>12</v>
      </c>
      <c r="E195">
        <v>2012</v>
      </c>
      <c r="F195">
        <v>4667</v>
      </c>
      <c r="I195" t="s">
        <v>25</v>
      </c>
    </row>
    <row r="196" spans="1:9" hidden="1" x14ac:dyDescent="0.25">
      <c r="A196" t="s">
        <v>10</v>
      </c>
      <c r="B196" t="s">
        <v>27</v>
      </c>
      <c r="C196" t="s">
        <v>19</v>
      </c>
      <c r="D196" t="s">
        <v>12</v>
      </c>
      <c r="E196">
        <v>2012</v>
      </c>
      <c r="F196">
        <v>976</v>
      </c>
      <c r="I196" t="s">
        <v>25</v>
      </c>
    </row>
    <row r="197" spans="1:9" hidden="1" x14ac:dyDescent="0.25">
      <c r="A197" t="s">
        <v>10</v>
      </c>
      <c r="B197" t="s">
        <v>28</v>
      </c>
      <c r="C197" t="s">
        <v>19</v>
      </c>
      <c r="D197" t="s">
        <v>12</v>
      </c>
      <c r="E197">
        <v>2012</v>
      </c>
      <c r="F197">
        <v>3278</v>
      </c>
      <c r="I197" t="s">
        <v>25</v>
      </c>
    </row>
    <row r="198" spans="1:9" hidden="1" x14ac:dyDescent="0.25">
      <c r="A198" t="s">
        <v>10</v>
      </c>
      <c r="B198" t="s">
        <v>29</v>
      </c>
      <c r="C198" t="s">
        <v>19</v>
      </c>
      <c r="D198" t="s">
        <v>12</v>
      </c>
      <c r="E198">
        <v>2012</v>
      </c>
      <c r="F198">
        <f>5+697+35-62</f>
        <v>675</v>
      </c>
      <c r="I198" t="s">
        <v>25</v>
      </c>
    </row>
    <row r="199" spans="1:9" hidden="1" x14ac:dyDescent="0.25">
      <c r="A199" t="s">
        <v>10</v>
      </c>
      <c r="B199" t="s">
        <v>30</v>
      </c>
      <c r="C199" t="s">
        <v>19</v>
      </c>
      <c r="D199" t="s">
        <v>12</v>
      </c>
      <c r="E199">
        <v>2012</v>
      </c>
      <c r="F199">
        <v>9885</v>
      </c>
      <c r="I199" t="s">
        <v>25</v>
      </c>
    </row>
    <row r="200" spans="1:9" hidden="1" x14ac:dyDescent="0.25">
      <c r="A200" t="s">
        <v>22</v>
      </c>
      <c r="B200" t="s">
        <v>24</v>
      </c>
      <c r="C200" t="s">
        <v>19</v>
      </c>
      <c r="D200" t="s">
        <v>12</v>
      </c>
      <c r="E200">
        <v>2012</v>
      </c>
      <c r="F200">
        <v>139</v>
      </c>
      <c r="I200" t="s">
        <v>25</v>
      </c>
    </row>
    <row r="201" spans="1:9" hidden="1" x14ac:dyDescent="0.25">
      <c r="A201" t="s">
        <v>22</v>
      </c>
      <c r="B201" t="s">
        <v>26</v>
      </c>
      <c r="C201" t="s">
        <v>19</v>
      </c>
      <c r="D201" t="s">
        <v>12</v>
      </c>
      <c r="E201">
        <v>2012</v>
      </c>
      <c r="F201">
        <v>175</v>
      </c>
      <c r="I201" t="s">
        <v>25</v>
      </c>
    </row>
    <row r="202" spans="1:9" hidden="1" x14ac:dyDescent="0.25">
      <c r="A202" t="s">
        <v>22</v>
      </c>
      <c r="B202" t="s">
        <v>27</v>
      </c>
      <c r="C202" t="s">
        <v>19</v>
      </c>
      <c r="D202" t="s">
        <v>12</v>
      </c>
      <c r="E202">
        <v>2012</v>
      </c>
      <c r="F202">
        <v>35</v>
      </c>
      <c r="I202" t="s">
        <v>25</v>
      </c>
    </row>
    <row r="203" spans="1:9" hidden="1" x14ac:dyDescent="0.25">
      <c r="A203" t="s">
        <v>22</v>
      </c>
      <c r="B203" t="s">
        <v>28</v>
      </c>
      <c r="C203" t="s">
        <v>19</v>
      </c>
      <c r="D203" t="s">
        <v>12</v>
      </c>
      <c r="E203">
        <v>2012</v>
      </c>
      <c r="F203">
        <v>77</v>
      </c>
      <c r="I203" t="s">
        <v>25</v>
      </c>
    </row>
    <row r="204" spans="1:9" hidden="1" x14ac:dyDescent="0.25">
      <c r="A204" t="s">
        <v>22</v>
      </c>
      <c r="B204" t="s">
        <v>29</v>
      </c>
      <c r="C204" t="s">
        <v>19</v>
      </c>
      <c r="D204" t="s">
        <v>12</v>
      </c>
      <c r="E204">
        <v>2012</v>
      </c>
      <c r="F204">
        <f>6-1</f>
        <v>5</v>
      </c>
      <c r="I204" t="s">
        <v>25</v>
      </c>
    </row>
    <row r="205" spans="1:9" hidden="1" x14ac:dyDescent="0.25">
      <c r="A205" t="s">
        <v>22</v>
      </c>
      <c r="B205" t="s">
        <v>30</v>
      </c>
      <c r="C205" t="s">
        <v>19</v>
      </c>
      <c r="D205" t="s">
        <v>12</v>
      </c>
      <c r="E205">
        <v>2012</v>
      </c>
      <c r="F205">
        <v>203</v>
      </c>
      <c r="I205" t="s">
        <v>25</v>
      </c>
    </row>
    <row r="206" spans="1:9" hidden="1" x14ac:dyDescent="0.25">
      <c r="A206" t="s">
        <v>21</v>
      </c>
      <c r="B206" t="s">
        <v>26</v>
      </c>
      <c r="C206" t="s">
        <v>19</v>
      </c>
      <c r="D206" t="s">
        <v>15</v>
      </c>
      <c r="E206">
        <v>2012</v>
      </c>
      <c r="F206">
        <v>12</v>
      </c>
      <c r="I206" t="s">
        <v>25</v>
      </c>
    </row>
    <row r="207" spans="1:9" hidden="1" x14ac:dyDescent="0.25">
      <c r="A207" t="s">
        <v>21</v>
      </c>
      <c r="B207" t="s">
        <v>28</v>
      </c>
      <c r="C207" t="s">
        <v>19</v>
      </c>
      <c r="D207" t="s">
        <v>15</v>
      </c>
      <c r="E207">
        <v>2012</v>
      </c>
      <c r="F207">
        <v>296</v>
      </c>
      <c r="I207" t="s">
        <v>25</v>
      </c>
    </row>
    <row r="208" spans="1:9" hidden="1" x14ac:dyDescent="0.25">
      <c r="A208" t="s">
        <v>21</v>
      </c>
      <c r="B208" t="s">
        <v>29</v>
      </c>
      <c r="C208" t="s">
        <v>19</v>
      </c>
      <c r="D208" t="s">
        <v>15</v>
      </c>
      <c r="E208">
        <v>2012</v>
      </c>
      <c r="F208">
        <v>17</v>
      </c>
      <c r="I208" t="s">
        <v>25</v>
      </c>
    </row>
    <row r="209" spans="1:9" hidden="1" x14ac:dyDescent="0.25">
      <c r="A209" t="s">
        <v>21</v>
      </c>
      <c r="B209" t="s">
        <v>30</v>
      </c>
      <c r="C209" t="s">
        <v>19</v>
      </c>
      <c r="D209" t="s">
        <v>15</v>
      </c>
      <c r="E209">
        <v>2012</v>
      </c>
      <c r="F209">
        <v>92</v>
      </c>
      <c r="I209" t="s">
        <v>25</v>
      </c>
    </row>
    <row r="210" spans="1:9" hidden="1" x14ac:dyDescent="0.25">
      <c r="A210" t="s">
        <v>10</v>
      </c>
      <c r="B210" t="s">
        <v>26</v>
      </c>
      <c r="C210" t="s">
        <v>19</v>
      </c>
      <c r="D210" t="s">
        <v>15</v>
      </c>
      <c r="E210">
        <v>2012</v>
      </c>
      <c r="F210">
        <v>2784</v>
      </c>
      <c r="I210" t="s">
        <v>25</v>
      </c>
    </row>
    <row r="211" spans="1:9" hidden="1" x14ac:dyDescent="0.25">
      <c r="A211" t="s">
        <v>10</v>
      </c>
      <c r="B211" t="s">
        <v>28</v>
      </c>
      <c r="C211" t="s">
        <v>19</v>
      </c>
      <c r="D211" t="s">
        <v>15</v>
      </c>
      <c r="E211">
        <v>2012</v>
      </c>
      <c r="F211">
        <v>10353</v>
      </c>
      <c r="I211" t="s">
        <v>25</v>
      </c>
    </row>
    <row r="212" spans="1:9" hidden="1" x14ac:dyDescent="0.25">
      <c r="A212" t="s">
        <v>10</v>
      </c>
      <c r="B212" t="s">
        <v>29</v>
      </c>
      <c r="C212" t="s">
        <v>19</v>
      </c>
      <c r="D212" t="s">
        <v>15</v>
      </c>
      <c r="E212">
        <v>2012</v>
      </c>
      <c r="F212">
        <f>398+755+52-67</f>
        <v>1138</v>
      </c>
      <c r="I212" t="s">
        <v>25</v>
      </c>
    </row>
    <row r="213" spans="1:9" hidden="1" x14ac:dyDescent="0.25">
      <c r="A213" t="s">
        <v>10</v>
      </c>
      <c r="B213" t="s">
        <v>30</v>
      </c>
      <c r="C213" t="s">
        <v>19</v>
      </c>
      <c r="D213" t="s">
        <v>15</v>
      </c>
      <c r="E213">
        <v>2012</v>
      </c>
      <c r="F213">
        <v>5279</v>
      </c>
      <c r="I213" t="s">
        <v>25</v>
      </c>
    </row>
    <row r="214" spans="1:9" hidden="1" x14ac:dyDescent="0.25">
      <c r="A214" t="s">
        <v>22</v>
      </c>
      <c r="B214" t="s">
        <v>26</v>
      </c>
      <c r="C214" t="s">
        <v>19</v>
      </c>
      <c r="D214" t="s">
        <v>15</v>
      </c>
      <c r="E214">
        <v>2012</v>
      </c>
      <c r="F214">
        <v>96</v>
      </c>
      <c r="I214" t="s">
        <v>25</v>
      </c>
    </row>
    <row r="215" spans="1:9" hidden="1" x14ac:dyDescent="0.25">
      <c r="A215" t="s">
        <v>22</v>
      </c>
      <c r="B215" t="s">
        <v>28</v>
      </c>
      <c r="C215" t="s">
        <v>19</v>
      </c>
      <c r="D215" t="s">
        <v>15</v>
      </c>
      <c r="E215">
        <v>2012</v>
      </c>
      <c r="F215">
        <v>161</v>
      </c>
      <c r="I215" t="s">
        <v>25</v>
      </c>
    </row>
    <row r="216" spans="1:9" hidden="1" x14ac:dyDescent="0.25">
      <c r="A216" t="s">
        <v>22</v>
      </c>
      <c r="B216" t="s">
        <v>29</v>
      </c>
      <c r="C216" t="s">
        <v>19</v>
      </c>
      <c r="D216" t="s">
        <v>15</v>
      </c>
      <c r="E216">
        <v>2012</v>
      </c>
      <c r="F216">
        <v>12</v>
      </c>
      <c r="I216" t="s">
        <v>25</v>
      </c>
    </row>
    <row r="217" spans="1:9" hidden="1" x14ac:dyDescent="0.25">
      <c r="A217" t="s">
        <v>22</v>
      </c>
      <c r="B217" t="s">
        <v>30</v>
      </c>
      <c r="C217" t="s">
        <v>19</v>
      </c>
      <c r="D217" t="s">
        <v>15</v>
      </c>
      <c r="E217">
        <v>2012</v>
      </c>
      <c r="F217">
        <v>69</v>
      </c>
      <c r="I217" t="s">
        <v>25</v>
      </c>
    </row>
    <row r="218" spans="1:9" hidden="1" x14ac:dyDescent="0.25">
      <c r="A218" t="s">
        <v>21</v>
      </c>
      <c r="B218" t="s">
        <v>24</v>
      </c>
      <c r="C218" t="s">
        <v>20</v>
      </c>
      <c r="D218" t="s">
        <v>12</v>
      </c>
      <c r="E218">
        <v>2012</v>
      </c>
      <c r="F218">
        <v>594</v>
      </c>
      <c r="I218" t="s">
        <v>25</v>
      </c>
    </row>
    <row r="219" spans="1:9" hidden="1" x14ac:dyDescent="0.25">
      <c r="A219" t="s">
        <v>21</v>
      </c>
      <c r="B219" t="s">
        <v>26</v>
      </c>
      <c r="C219" t="s">
        <v>20</v>
      </c>
      <c r="D219" t="s">
        <v>12</v>
      </c>
      <c r="E219">
        <v>2012</v>
      </c>
      <c r="F219">
        <v>23</v>
      </c>
      <c r="I219" t="s">
        <v>25</v>
      </c>
    </row>
    <row r="220" spans="1:9" hidden="1" x14ac:dyDescent="0.25">
      <c r="A220" t="s">
        <v>21</v>
      </c>
      <c r="B220" t="s">
        <v>27</v>
      </c>
      <c r="C220" t="s">
        <v>20</v>
      </c>
      <c r="D220" t="s">
        <v>12</v>
      </c>
      <c r="E220">
        <v>2012</v>
      </c>
      <c r="F220">
        <v>28</v>
      </c>
      <c r="I220" t="s">
        <v>25</v>
      </c>
    </row>
    <row r="221" spans="1:9" hidden="1" x14ac:dyDescent="0.25">
      <c r="A221" t="s">
        <v>21</v>
      </c>
      <c r="B221" t="s">
        <v>28</v>
      </c>
      <c r="C221" t="s">
        <v>20</v>
      </c>
      <c r="D221" t="s">
        <v>12</v>
      </c>
      <c r="E221">
        <v>2012</v>
      </c>
      <c r="F221">
        <v>37</v>
      </c>
      <c r="I221" t="s">
        <v>25</v>
      </c>
    </row>
    <row r="222" spans="1:9" hidden="1" x14ac:dyDescent="0.25">
      <c r="A222" t="s">
        <v>21</v>
      </c>
      <c r="B222" t="s">
        <v>29</v>
      </c>
      <c r="C222" t="s">
        <v>20</v>
      </c>
      <c r="D222" t="s">
        <v>12</v>
      </c>
      <c r="E222">
        <v>2012</v>
      </c>
      <c r="F222">
        <v>0</v>
      </c>
      <c r="I222" t="s">
        <v>25</v>
      </c>
    </row>
    <row r="223" spans="1:9" hidden="1" x14ac:dyDescent="0.25">
      <c r="A223" t="s">
        <v>21</v>
      </c>
      <c r="B223" t="s">
        <v>30</v>
      </c>
      <c r="C223" t="s">
        <v>20</v>
      </c>
      <c r="D223" t="s">
        <v>12</v>
      </c>
      <c r="E223">
        <v>2012</v>
      </c>
      <c r="F223">
        <v>152</v>
      </c>
      <c r="I223" t="s">
        <v>25</v>
      </c>
    </row>
    <row r="224" spans="1:9" hidden="1" x14ac:dyDescent="0.25">
      <c r="A224" t="s">
        <v>10</v>
      </c>
      <c r="B224" t="s">
        <v>24</v>
      </c>
      <c r="C224" t="s">
        <v>20</v>
      </c>
      <c r="D224" t="s">
        <v>12</v>
      </c>
      <c r="E224">
        <v>2012</v>
      </c>
      <c r="F224">
        <v>12423</v>
      </c>
      <c r="I224" t="s">
        <v>25</v>
      </c>
    </row>
    <row r="225" spans="1:9" hidden="1" x14ac:dyDescent="0.25">
      <c r="A225" t="s">
        <v>10</v>
      </c>
      <c r="B225" t="s">
        <v>26</v>
      </c>
      <c r="C225" t="s">
        <v>20</v>
      </c>
      <c r="D225" t="s">
        <v>12</v>
      </c>
      <c r="E225">
        <v>2012</v>
      </c>
      <c r="F225">
        <v>5352</v>
      </c>
      <c r="I225" t="s">
        <v>25</v>
      </c>
    </row>
    <row r="226" spans="1:9" hidden="1" x14ac:dyDescent="0.25">
      <c r="A226" t="s">
        <v>10</v>
      </c>
      <c r="B226" t="s">
        <v>27</v>
      </c>
      <c r="C226" t="s">
        <v>20</v>
      </c>
      <c r="D226" t="s">
        <v>12</v>
      </c>
      <c r="E226">
        <v>2012</v>
      </c>
      <c r="F226">
        <v>1093</v>
      </c>
      <c r="I226" t="s">
        <v>25</v>
      </c>
    </row>
    <row r="227" spans="1:9" hidden="1" x14ac:dyDescent="0.25">
      <c r="A227" t="s">
        <v>10</v>
      </c>
      <c r="B227" t="s">
        <v>28</v>
      </c>
      <c r="C227" t="s">
        <v>20</v>
      </c>
      <c r="D227" t="s">
        <v>12</v>
      </c>
      <c r="E227">
        <v>2012</v>
      </c>
      <c r="F227">
        <v>2042</v>
      </c>
      <c r="I227" t="s">
        <v>25</v>
      </c>
    </row>
    <row r="228" spans="1:9" hidden="1" x14ac:dyDescent="0.25">
      <c r="A228" t="s">
        <v>10</v>
      </c>
      <c r="B228" t="s">
        <v>29</v>
      </c>
      <c r="C228" t="s">
        <v>20</v>
      </c>
      <c r="D228" t="s">
        <v>12</v>
      </c>
      <c r="E228">
        <v>2012</v>
      </c>
      <c r="F228">
        <f>1+454+31-28</f>
        <v>458</v>
      </c>
      <c r="I228" t="s">
        <v>25</v>
      </c>
    </row>
    <row r="229" spans="1:9" hidden="1" x14ac:dyDescent="0.25">
      <c r="A229" t="s">
        <v>10</v>
      </c>
      <c r="B229" t="s">
        <v>30</v>
      </c>
      <c r="C229" t="s">
        <v>20</v>
      </c>
      <c r="D229" t="s">
        <v>12</v>
      </c>
      <c r="E229">
        <v>2012</v>
      </c>
      <c r="F229">
        <v>5778</v>
      </c>
      <c r="I229" t="s">
        <v>25</v>
      </c>
    </row>
    <row r="230" spans="1:9" hidden="1" x14ac:dyDescent="0.25">
      <c r="A230" t="s">
        <v>22</v>
      </c>
      <c r="B230" t="s">
        <v>24</v>
      </c>
      <c r="C230" t="s">
        <v>20</v>
      </c>
      <c r="D230" t="s">
        <v>12</v>
      </c>
      <c r="E230">
        <v>2012</v>
      </c>
      <c r="F230">
        <v>71</v>
      </c>
      <c r="I230" t="s">
        <v>25</v>
      </c>
    </row>
    <row r="231" spans="1:9" hidden="1" x14ac:dyDescent="0.25">
      <c r="A231" t="s">
        <v>22</v>
      </c>
      <c r="B231" t="s">
        <v>26</v>
      </c>
      <c r="C231" t="s">
        <v>20</v>
      </c>
      <c r="D231" t="s">
        <v>12</v>
      </c>
      <c r="E231">
        <v>2012</v>
      </c>
      <c r="F231">
        <v>187</v>
      </c>
      <c r="I231" t="s">
        <v>25</v>
      </c>
    </row>
    <row r="232" spans="1:9" hidden="1" x14ac:dyDescent="0.25">
      <c r="A232" t="s">
        <v>22</v>
      </c>
      <c r="B232" t="s">
        <v>27</v>
      </c>
      <c r="C232" t="s">
        <v>20</v>
      </c>
      <c r="D232" t="s">
        <v>12</v>
      </c>
      <c r="E232">
        <v>2012</v>
      </c>
      <c r="F232">
        <v>32</v>
      </c>
      <c r="I232" t="s">
        <v>25</v>
      </c>
    </row>
    <row r="233" spans="1:9" hidden="1" x14ac:dyDescent="0.25">
      <c r="A233" t="s">
        <v>22</v>
      </c>
      <c r="B233" t="s">
        <v>28</v>
      </c>
      <c r="C233" t="s">
        <v>20</v>
      </c>
      <c r="D233" t="s">
        <v>12</v>
      </c>
      <c r="E233">
        <v>2012</v>
      </c>
      <c r="F233">
        <v>21</v>
      </c>
      <c r="I233" t="s">
        <v>25</v>
      </c>
    </row>
    <row r="234" spans="1:9" hidden="1" x14ac:dyDescent="0.25">
      <c r="A234" t="s">
        <v>22</v>
      </c>
      <c r="B234" t="s">
        <v>29</v>
      </c>
      <c r="C234" t="s">
        <v>20</v>
      </c>
      <c r="D234" t="s">
        <v>12</v>
      </c>
      <c r="E234">
        <v>2012</v>
      </c>
      <c r="F234">
        <v>2</v>
      </c>
      <c r="I234" t="s">
        <v>25</v>
      </c>
    </row>
    <row r="235" spans="1:9" hidden="1" x14ac:dyDescent="0.25">
      <c r="A235" t="s">
        <v>22</v>
      </c>
      <c r="B235" t="s">
        <v>30</v>
      </c>
      <c r="C235" t="s">
        <v>20</v>
      </c>
      <c r="D235" t="s">
        <v>12</v>
      </c>
      <c r="E235">
        <v>2012</v>
      </c>
      <c r="F235">
        <v>97</v>
      </c>
      <c r="I235" t="s">
        <v>25</v>
      </c>
    </row>
    <row r="236" spans="1:9" hidden="1" x14ac:dyDescent="0.25">
      <c r="A236" t="s">
        <v>21</v>
      </c>
      <c r="B236" t="s">
        <v>26</v>
      </c>
      <c r="C236" t="s">
        <v>20</v>
      </c>
      <c r="D236" t="s">
        <v>15</v>
      </c>
      <c r="E236">
        <v>2012</v>
      </c>
      <c r="F236">
        <v>11</v>
      </c>
      <c r="I236" t="s">
        <v>25</v>
      </c>
    </row>
    <row r="237" spans="1:9" hidden="1" x14ac:dyDescent="0.25">
      <c r="A237" t="s">
        <v>21</v>
      </c>
      <c r="B237" t="s">
        <v>28</v>
      </c>
      <c r="C237" t="s">
        <v>20</v>
      </c>
      <c r="D237" t="s">
        <v>15</v>
      </c>
      <c r="E237">
        <v>2012</v>
      </c>
      <c r="F237">
        <v>134</v>
      </c>
      <c r="I237" t="s">
        <v>25</v>
      </c>
    </row>
    <row r="238" spans="1:9" hidden="1" x14ac:dyDescent="0.25">
      <c r="A238" t="s">
        <v>21</v>
      </c>
      <c r="B238" t="s">
        <v>29</v>
      </c>
      <c r="C238" t="s">
        <v>20</v>
      </c>
      <c r="D238" t="s">
        <v>15</v>
      </c>
      <c r="E238">
        <v>2012</v>
      </c>
      <c r="F238">
        <v>19</v>
      </c>
      <c r="I238" t="s">
        <v>25</v>
      </c>
    </row>
    <row r="239" spans="1:9" hidden="1" x14ac:dyDescent="0.25">
      <c r="A239" t="s">
        <v>21</v>
      </c>
      <c r="B239" t="s">
        <v>30</v>
      </c>
      <c r="C239" t="s">
        <v>20</v>
      </c>
      <c r="D239" t="s">
        <v>15</v>
      </c>
      <c r="E239">
        <v>2012</v>
      </c>
      <c r="F239">
        <v>26</v>
      </c>
      <c r="I239" t="s">
        <v>25</v>
      </c>
    </row>
    <row r="240" spans="1:9" hidden="1" x14ac:dyDescent="0.25">
      <c r="A240" t="s">
        <v>10</v>
      </c>
      <c r="B240" t="s">
        <v>26</v>
      </c>
      <c r="C240" t="s">
        <v>20</v>
      </c>
      <c r="D240" t="s">
        <v>15</v>
      </c>
      <c r="E240">
        <v>2012</v>
      </c>
      <c r="F240">
        <v>2365</v>
      </c>
      <c r="I240" t="s">
        <v>25</v>
      </c>
    </row>
    <row r="241" spans="1:9" hidden="1" x14ac:dyDescent="0.25">
      <c r="A241" t="s">
        <v>10</v>
      </c>
      <c r="B241" t="s">
        <v>28</v>
      </c>
      <c r="C241" t="s">
        <v>20</v>
      </c>
      <c r="D241" t="s">
        <v>15</v>
      </c>
      <c r="E241">
        <v>2012</v>
      </c>
      <c r="F241">
        <v>5573</v>
      </c>
      <c r="I241" t="s">
        <v>25</v>
      </c>
    </row>
    <row r="242" spans="1:9" hidden="1" x14ac:dyDescent="0.25">
      <c r="A242" t="s">
        <v>10</v>
      </c>
      <c r="B242" t="s">
        <v>29</v>
      </c>
      <c r="C242" t="s">
        <v>20</v>
      </c>
      <c r="D242" t="s">
        <v>15</v>
      </c>
      <c r="E242">
        <v>2012</v>
      </c>
      <c r="F242">
        <f>325+466+28-39</f>
        <v>780</v>
      </c>
      <c r="I242" t="s">
        <v>25</v>
      </c>
    </row>
    <row r="243" spans="1:9" hidden="1" x14ac:dyDescent="0.25">
      <c r="A243" t="s">
        <v>10</v>
      </c>
      <c r="B243" t="s">
        <v>30</v>
      </c>
      <c r="C243" t="s">
        <v>20</v>
      </c>
      <c r="D243" t="s">
        <v>15</v>
      </c>
      <c r="E243">
        <v>2012</v>
      </c>
      <c r="F243">
        <v>2340</v>
      </c>
      <c r="I243" t="s">
        <v>25</v>
      </c>
    </row>
    <row r="244" spans="1:9" hidden="1" x14ac:dyDescent="0.25">
      <c r="A244" t="s">
        <v>22</v>
      </c>
      <c r="B244" t="s">
        <v>26</v>
      </c>
      <c r="C244" t="s">
        <v>20</v>
      </c>
      <c r="D244" t="s">
        <v>15</v>
      </c>
      <c r="E244">
        <v>2012</v>
      </c>
      <c r="F244">
        <v>77</v>
      </c>
      <c r="I244" t="s">
        <v>25</v>
      </c>
    </row>
    <row r="245" spans="1:9" hidden="1" x14ac:dyDescent="0.25">
      <c r="A245" t="s">
        <v>22</v>
      </c>
      <c r="B245" t="s">
        <v>28</v>
      </c>
      <c r="C245" t="s">
        <v>20</v>
      </c>
      <c r="D245" t="s">
        <v>15</v>
      </c>
      <c r="E245">
        <v>2012</v>
      </c>
      <c r="F245">
        <v>68</v>
      </c>
      <c r="I245" t="s">
        <v>25</v>
      </c>
    </row>
    <row r="246" spans="1:9" hidden="1" x14ac:dyDescent="0.25">
      <c r="A246" t="s">
        <v>22</v>
      </c>
      <c r="B246" t="s">
        <v>29</v>
      </c>
      <c r="C246" t="s">
        <v>20</v>
      </c>
      <c r="D246" t="s">
        <v>15</v>
      </c>
      <c r="E246">
        <v>2012</v>
      </c>
      <c r="F246">
        <v>6</v>
      </c>
      <c r="I246" t="s">
        <v>25</v>
      </c>
    </row>
    <row r="247" spans="1:9" hidden="1" x14ac:dyDescent="0.25">
      <c r="A247" t="s">
        <v>22</v>
      </c>
      <c r="B247" t="s">
        <v>30</v>
      </c>
      <c r="C247" t="s">
        <v>20</v>
      </c>
      <c r="D247" t="s">
        <v>15</v>
      </c>
      <c r="E247">
        <v>2012</v>
      </c>
      <c r="F247">
        <v>33</v>
      </c>
      <c r="I247" t="s">
        <v>25</v>
      </c>
    </row>
    <row r="248" spans="1:9" hidden="1" x14ac:dyDescent="0.25">
      <c r="A248" t="s">
        <v>21</v>
      </c>
      <c r="B248" t="s">
        <v>24</v>
      </c>
      <c r="C248" t="s">
        <v>31</v>
      </c>
      <c r="D248" t="s">
        <v>12</v>
      </c>
      <c r="E248">
        <v>2012</v>
      </c>
      <c r="F248">
        <v>474</v>
      </c>
      <c r="I248" t="s">
        <v>25</v>
      </c>
    </row>
    <row r="249" spans="1:9" hidden="1" x14ac:dyDescent="0.25">
      <c r="A249" t="s">
        <v>21</v>
      </c>
      <c r="B249" t="s">
        <v>26</v>
      </c>
      <c r="C249" t="s">
        <v>31</v>
      </c>
      <c r="D249" t="s">
        <v>12</v>
      </c>
      <c r="E249">
        <v>2012</v>
      </c>
      <c r="F249">
        <v>10</v>
      </c>
      <c r="I249" t="s">
        <v>25</v>
      </c>
    </row>
    <row r="250" spans="1:9" hidden="1" x14ac:dyDescent="0.25">
      <c r="A250" t="s">
        <v>21</v>
      </c>
      <c r="B250" t="s">
        <v>27</v>
      </c>
      <c r="C250" t="s">
        <v>31</v>
      </c>
      <c r="D250" t="s">
        <v>12</v>
      </c>
      <c r="E250">
        <v>2012</v>
      </c>
      <c r="F250">
        <v>14</v>
      </c>
      <c r="I250" t="s">
        <v>25</v>
      </c>
    </row>
    <row r="251" spans="1:9" hidden="1" x14ac:dyDescent="0.25">
      <c r="A251" t="s">
        <v>21</v>
      </c>
      <c r="B251" t="s">
        <v>28</v>
      </c>
      <c r="C251" t="s">
        <v>31</v>
      </c>
      <c r="D251" t="s">
        <v>12</v>
      </c>
      <c r="E251">
        <v>2012</v>
      </c>
      <c r="F251">
        <v>10</v>
      </c>
      <c r="I251" t="s">
        <v>25</v>
      </c>
    </row>
    <row r="252" spans="1:9" hidden="1" x14ac:dyDescent="0.25">
      <c r="A252" t="s">
        <v>21</v>
      </c>
      <c r="B252" t="s">
        <v>29</v>
      </c>
      <c r="C252" t="s">
        <v>31</v>
      </c>
      <c r="D252" t="s">
        <v>12</v>
      </c>
      <c r="E252">
        <v>2012</v>
      </c>
      <c r="F252">
        <v>0</v>
      </c>
      <c r="I252" t="s">
        <v>25</v>
      </c>
    </row>
    <row r="253" spans="1:9" hidden="1" x14ac:dyDescent="0.25">
      <c r="A253" t="s">
        <v>21</v>
      </c>
      <c r="B253" t="s">
        <v>30</v>
      </c>
      <c r="C253" t="s">
        <v>31</v>
      </c>
      <c r="D253" t="s">
        <v>12</v>
      </c>
      <c r="E253">
        <v>2012</v>
      </c>
      <c r="F253">
        <v>69</v>
      </c>
      <c r="I253" t="s">
        <v>25</v>
      </c>
    </row>
    <row r="254" spans="1:9" hidden="1" x14ac:dyDescent="0.25">
      <c r="A254" t="s">
        <v>10</v>
      </c>
      <c r="B254" t="s">
        <v>24</v>
      </c>
      <c r="C254" t="s">
        <v>31</v>
      </c>
      <c r="D254" t="s">
        <v>12</v>
      </c>
      <c r="E254">
        <v>2012</v>
      </c>
      <c r="F254">
        <v>16459</v>
      </c>
      <c r="I254" t="s">
        <v>25</v>
      </c>
    </row>
    <row r="255" spans="1:9" hidden="1" x14ac:dyDescent="0.25">
      <c r="A255" t="s">
        <v>10</v>
      </c>
      <c r="B255" t="s">
        <v>26</v>
      </c>
      <c r="C255" t="s">
        <v>31</v>
      </c>
      <c r="D255" t="s">
        <v>12</v>
      </c>
      <c r="E255">
        <v>2012</v>
      </c>
      <c r="F255">
        <v>1311</v>
      </c>
      <c r="I255" t="s">
        <v>25</v>
      </c>
    </row>
    <row r="256" spans="1:9" hidden="1" x14ac:dyDescent="0.25">
      <c r="A256" t="s">
        <v>10</v>
      </c>
      <c r="B256" t="s">
        <v>27</v>
      </c>
      <c r="C256" t="s">
        <v>31</v>
      </c>
      <c r="D256" t="s">
        <v>12</v>
      </c>
      <c r="E256">
        <v>2012</v>
      </c>
      <c r="F256">
        <v>600</v>
      </c>
      <c r="I256" t="s">
        <v>25</v>
      </c>
    </row>
    <row r="257" spans="1:9" hidden="1" x14ac:dyDescent="0.25">
      <c r="A257" t="s">
        <v>10</v>
      </c>
      <c r="B257" t="s">
        <v>28</v>
      </c>
      <c r="C257" t="s">
        <v>31</v>
      </c>
      <c r="D257" t="s">
        <v>12</v>
      </c>
      <c r="E257">
        <v>2012</v>
      </c>
      <c r="F257">
        <v>516</v>
      </c>
      <c r="I257" t="s">
        <v>25</v>
      </c>
    </row>
    <row r="258" spans="1:9" hidden="1" x14ac:dyDescent="0.25">
      <c r="A258" t="s">
        <v>10</v>
      </c>
      <c r="B258" t="s">
        <v>29</v>
      </c>
      <c r="C258" t="s">
        <v>31</v>
      </c>
      <c r="D258" t="s">
        <v>12</v>
      </c>
      <c r="E258">
        <v>2012</v>
      </c>
      <c r="F258">
        <f>1+66+47-2</f>
        <v>112</v>
      </c>
      <c r="I258" t="s">
        <v>25</v>
      </c>
    </row>
    <row r="259" spans="1:9" hidden="1" x14ac:dyDescent="0.25">
      <c r="A259" t="s">
        <v>10</v>
      </c>
      <c r="B259" t="s">
        <v>30</v>
      </c>
      <c r="C259" t="s">
        <v>31</v>
      </c>
      <c r="D259" t="s">
        <v>12</v>
      </c>
      <c r="E259">
        <v>2012</v>
      </c>
      <c r="F259">
        <v>2855</v>
      </c>
      <c r="I259" t="s">
        <v>25</v>
      </c>
    </row>
    <row r="260" spans="1:9" hidden="1" x14ac:dyDescent="0.25">
      <c r="A260" t="s">
        <v>22</v>
      </c>
      <c r="B260" t="s">
        <v>24</v>
      </c>
      <c r="C260" t="s">
        <v>31</v>
      </c>
      <c r="D260" t="s">
        <v>12</v>
      </c>
      <c r="E260">
        <v>2012</v>
      </c>
      <c r="F260">
        <v>145</v>
      </c>
      <c r="I260" t="s">
        <v>25</v>
      </c>
    </row>
    <row r="261" spans="1:9" hidden="1" x14ac:dyDescent="0.25">
      <c r="A261" t="s">
        <v>22</v>
      </c>
      <c r="B261" t="s">
        <v>26</v>
      </c>
      <c r="C261" t="s">
        <v>31</v>
      </c>
      <c r="D261" t="s">
        <v>12</v>
      </c>
      <c r="E261">
        <v>2012</v>
      </c>
      <c r="F261">
        <v>43</v>
      </c>
      <c r="I261" t="s">
        <v>25</v>
      </c>
    </row>
    <row r="262" spans="1:9" hidden="1" x14ac:dyDescent="0.25">
      <c r="A262" t="s">
        <v>22</v>
      </c>
      <c r="B262" t="s">
        <v>27</v>
      </c>
      <c r="C262" t="s">
        <v>31</v>
      </c>
      <c r="D262" t="s">
        <v>12</v>
      </c>
      <c r="E262">
        <v>2012</v>
      </c>
      <c r="F262">
        <v>12</v>
      </c>
      <c r="I262" t="s">
        <v>25</v>
      </c>
    </row>
    <row r="263" spans="1:9" hidden="1" x14ac:dyDescent="0.25">
      <c r="A263" t="s">
        <v>22</v>
      </c>
      <c r="B263" t="s">
        <v>28</v>
      </c>
      <c r="C263" t="s">
        <v>31</v>
      </c>
      <c r="D263" t="s">
        <v>12</v>
      </c>
      <c r="E263">
        <v>2012</v>
      </c>
      <c r="F263">
        <v>4</v>
      </c>
      <c r="I263" t="s">
        <v>25</v>
      </c>
    </row>
    <row r="264" spans="1:9" hidden="1" x14ac:dyDescent="0.25">
      <c r="A264" t="s">
        <v>22</v>
      </c>
      <c r="B264" t="s">
        <v>29</v>
      </c>
      <c r="C264" t="s">
        <v>31</v>
      </c>
      <c r="D264" t="s">
        <v>12</v>
      </c>
      <c r="E264">
        <v>2012</v>
      </c>
      <c r="F264">
        <v>1</v>
      </c>
      <c r="I264" t="s">
        <v>25</v>
      </c>
    </row>
    <row r="265" spans="1:9" hidden="1" x14ac:dyDescent="0.25">
      <c r="A265" t="s">
        <v>22</v>
      </c>
      <c r="B265" t="s">
        <v>30</v>
      </c>
      <c r="C265" t="s">
        <v>31</v>
      </c>
      <c r="D265" t="s">
        <v>12</v>
      </c>
      <c r="E265">
        <v>2012</v>
      </c>
      <c r="F265">
        <v>51</v>
      </c>
      <c r="I265" t="s">
        <v>25</v>
      </c>
    </row>
    <row r="266" spans="1:9" hidden="1" x14ac:dyDescent="0.25">
      <c r="A266" t="s">
        <v>21</v>
      </c>
      <c r="B266" t="s">
        <v>26</v>
      </c>
      <c r="C266" t="s">
        <v>31</v>
      </c>
      <c r="D266" t="s">
        <v>15</v>
      </c>
      <c r="E266">
        <v>2012</v>
      </c>
      <c r="F266">
        <v>1</v>
      </c>
      <c r="I266" t="s">
        <v>25</v>
      </c>
    </row>
    <row r="267" spans="1:9" hidden="1" x14ac:dyDescent="0.25">
      <c r="A267" t="s">
        <v>21</v>
      </c>
      <c r="B267" t="s">
        <v>28</v>
      </c>
      <c r="C267" t="s">
        <v>31</v>
      </c>
      <c r="D267" t="s">
        <v>15</v>
      </c>
      <c r="E267">
        <v>2012</v>
      </c>
      <c r="F267">
        <v>34</v>
      </c>
      <c r="I267" t="s">
        <v>25</v>
      </c>
    </row>
    <row r="268" spans="1:9" hidden="1" x14ac:dyDescent="0.25">
      <c r="A268" t="s">
        <v>21</v>
      </c>
      <c r="B268" t="s">
        <v>29</v>
      </c>
      <c r="C268" t="s">
        <v>31</v>
      </c>
      <c r="D268" t="s">
        <v>15</v>
      </c>
      <c r="E268">
        <v>2012</v>
      </c>
      <c r="F268">
        <v>2</v>
      </c>
      <c r="I268" t="s">
        <v>25</v>
      </c>
    </row>
    <row r="269" spans="1:9" hidden="1" x14ac:dyDescent="0.25">
      <c r="A269" t="s">
        <v>21</v>
      </c>
      <c r="B269" t="s">
        <v>30</v>
      </c>
      <c r="C269" t="s">
        <v>31</v>
      </c>
      <c r="D269" t="s">
        <v>15</v>
      </c>
      <c r="E269">
        <v>2012</v>
      </c>
      <c r="F269">
        <v>8</v>
      </c>
      <c r="I269" t="s">
        <v>25</v>
      </c>
    </row>
    <row r="270" spans="1:9" hidden="1" x14ac:dyDescent="0.25">
      <c r="A270" t="s">
        <v>10</v>
      </c>
      <c r="B270" t="s">
        <v>26</v>
      </c>
      <c r="C270" t="s">
        <v>31</v>
      </c>
      <c r="D270" t="s">
        <v>15</v>
      </c>
      <c r="E270">
        <v>2012</v>
      </c>
      <c r="F270">
        <v>662</v>
      </c>
      <c r="I270" t="s">
        <v>25</v>
      </c>
    </row>
    <row r="271" spans="1:9" hidden="1" x14ac:dyDescent="0.25">
      <c r="A271" t="s">
        <v>10</v>
      </c>
      <c r="B271" t="s">
        <v>28</v>
      </c>
      <c r="C271" t="s">
        <v>31</v>
      </c>
      <c r="D271" t="s">
        <v>15</v>
      </c>
      <c r="E271">
        <v>2012</v>
      </c>
      <c r="F271">
        <v>1152</v>
      </c>
      <c r="I271" t="s">
        <v>25</v>
      </c>
    </row>
    <row r="272" spans="1:9" hidden="1" x14ac:dyDescent="0.25">
      <c r="A272" t="s">
        <v>10</v>
      </c>
      <c r="B272" t="s">
        <v>29</v>
      </c>
      <c r="C272" t="s">
        <v>31</v>
      </c>
      <c r="D272" t="s">
        <v>15</v>
      </c>
      <c r="E272">
        <v>2012</v>
      </c>
      <c r="F272">
        <f>58+72+22-4</f>
        <v>148</v>
      </c>
      <c r="I272" t="s">
        <v>25</v>
      </c>
    </row>
    <row r="273" spans="1:9" hidden="1" x14ac:dyDescent="0.25">
      <c r="A273" t="s">
        <v>10</v>
      </c>
      <c r="B273" t="s">
        <v>30</v>
      </c>
      <c r="C273" t="s">
        <v>31</v>
      </c>
      <c r="D273" t="s">
        <v>15</v>
      </c>
      <c r="E273">
        <v>2012</v>
      </c>
      <c r="F273">
        <v>566</v>
      </c>
      <c r="I273" t="s">
        <v>25</v>
      </c>
    </row>
    <row r="274" spans="1:9" hidden="1" x14ac:dyDescent="0.25">
      <c r="A274" t="s">
        <v>22</v>
      </c>
      <c r="B274" t="s">
        <v>26</v>
      </c>
      <c r="C274" t="s">
        <v>31</v>
      </c>
      <c r="D274" t="s">
        <v>15</v>
      </c>
      <c r="E274">
        <v>2012</v>
      </c>
      <c r="F274">
        <v>22</v>
      </c>
      <c r="I274" t="s">
        <v>25</v>
      </c>
    </row>
    <row r="275" spans="1:9" hidden="1" x14ac:dyDescent="0.25">
      <c r="A275" t="s">
        <v>22</v>
      </c>
      <c r="B275" t="s">
        <v>28</v>
      </c>
      <c r="C275" t="s">
        <v>31</v>
      </c>
      <c r="D275" t="s">
        <v>15</v>
      </c>
      <c r="E275">
        <v>2012</v>
      </c>
      <c r="F275">
        <v>15</v>
      </c>
      <c r="I275" t="s">
        <v>25</v>
      </c>
    </row>
    <row r="276" spans="1:9" hidden="1" x14ac:dyDescent="0.25">
      <c r="A276" t="s">
        <v>22</v>
      </c>
      <c r="B276" t="s">
        <v>29</v>
      </c>
      <c r="C276" t="s">
        <v>31</v>
      </c>
      <c r="D276" t="s">
        <v>15</v>
      </c>
      <c r="E276">
        <v>2012</v>
      </c>
      <c r="F276">
        <v>1</v>
      </c>
      <c r="I276" t="s">
        <v>25</v>
      </c>
    </row>
    <row r="277" spans="1:9" hidden="1" x14ac:dyDescent="0.25">
      <c r="A277" t="s">
        <v>22</v>
      </c>
      <c r="B277" t="s">
        <v>30</v>
      </c>
      <c r="C277" t="s">
        <v>31</v>
      </c>
      <c r="D277" t="s">
        <v>15</v>
      </c>
      <c r="E277">
        <v>2012</v>
      </c>
      <c r="F277">
        <v>6</v>
      </c>
      <c r="I277" t="s">
        <v>25</v>
      </c>
    </row>
    <row r="278" spans="1:9" hidden="1" x14ac:dyDescent="0.25">
      <c r="A278" t="s">
        <v>21</v>
      </c>
      <c r="B278" t="s">
        <v>24</v>
      </c>
      <c r="C278" t="s">
        <v>19</v>
      </c>
      <c r="D278" t="s">
        <v>12</v>
      </c>
      <c r="E278">
        <v>2013</v>
      </c>
      <c r="F278">
        <v>556</v>
      </c>
      <c r="I278" t="s">
        <v>25</v>
      </c>
    </row>
    <row r="279" spans="1:9" hidden="1" x14ac:dyDescent="0.25">
      <c r="A279" t="s">
        <v>21</v>
      </c>
      <c r="B279" t="s">
        <v>26</v>
      </c>
      <c r="C279" t="s">
        <v>19</v>
      </c>
      <c r="D279" t="s">
        <v>12</v>
      </c>
      <c r="E279">
        <v>2013</v>
      </c>
      <c r="F279">
        <v>6</v>
      </c>
      <c r="I279" t="s">
        <v>25</v>
      </c>
    </row>
    <row r="280" spans="1:9" hidden="1" x14ac:dyDescent="0.25">
      <c r="A280" t="s">
        <v>21</v>
      </c>
      <c r="B280" t="s">
        <v>27</v>
      </c>
      <c r="C280" t="s">
        <v>19</v>
      </c>
      <c r="D280" t="s">
        <v>12</v>
      </c>
      <c r="E280">
        <v>2013</v>
      </c>
      <c r="F280">
        <v>11</v>
      </c>
      <c r="I280" t="s">
        <v>25</v>
      </c>
    </row>
    <row r="281" spans="1:9" hidden="1" x14ac:dyDescent="0.25">
      <c r="A281" t="s">
        <v>21</v>
      </c>
      <c r="B281" t="s">
        <v>28</v>
      </c>
      <c r="C281" t="s">
        <v>19</v>
      </c>
      <c r="D281" t="s">
        <v>12</v>
      </c>
      <c r="E281">
        <v>2013</v>
      </c>
      <c r="F281">
        <v>58</v>
      </c>
      <c r="I281" t="s">
        <v>25</v>
      </c>
    </row>
    <row r="282" spans="1:9" hidden="1" x14ac:dyDescent="0.25">
      <c r="A282" t="s">
        <v>21</v>
      </c>
      <c r="B282" t="s">
        <v>29</v>
      </c>
      <c r="C282" t="s">
        <v>19</v>
      </c>
      <c r="D282" t="s">
        <v>12</v>
      </c>
      <c r="E282">
        <v>2013</v>
      </c>
      <c r="F282">
        <v>0</v>
      </c>
      <c r="I282" t="s">
        <v>25</v>
      </c>
    </row>
    <row r="283" spans="1:9" hidden="1" x14ac:dyDescent="0.25">
      <c r="A283" t="s">
        <v>21</v>
      </c>
      <c r="B283" t="s">
        <v>30</v>
      </c>
      <c r="C283" t="s">
        <v>19</v>
      </c>
      <c r="D283" t="s">
        <v>12</v>
      </c>
      <c r="E283">
        <v>2013</v>
      </c>
      <c r="F283">
        <v>195</v>
      </c>
      <c r="I283" t="s">
        <v>25</v>
      </c>
    </row>
    <row r="284" spans="1:9" hidden="1" x14ac:dyDescent="0.25">
      <c r="A284" t="s">
        <v>10</v>
      </c>
      <c r="B284" t="s">
        <v>24</v>
      </c>
      <c r="C284" t="s">
        <v>19</v>
      </c>
      <c r="D284" t="s">
        <v>12</v>
      </c>
      <c r="E284">
        <v>2013</v>
      </c>
      <c r="F284">
        <v>13630</v>
      </c>
      <c r="I284" t="s">
        <v>25</v>
      </c>
    </row>
    <row r="285" spans="1:9" hidden="1" x14ac:dyDescent="0.25">
      <c r="A285" t="s">
        <v>10</v>
      </c>
      <c r="B285" t="s">
        <v>26</v>
      </c>
      <c r="C285" t="s">
        <v>19</v>
      </c>
      <c r="D285" t="s">
        <v>12</v>
      </c>
      <c r="E285">
        <v>2013</v>
      </c>
      <c r="F285">
        <v>4519</v>
      </c>
      <c r="I285" t="s">
        <v>25</v>
      </c>
    </row>
    <row r="286" spans="1:9" hidden="1" x14ac:dyDescent="0.25">
      <c r="A286" t="s">
        <v>10</v>
      </c>
      <c r="B286" t="s">
        <v>27</v>
      </c>
      <c r="C286" t="s">
        <v>19</v>
      </c>
      <c r="D286" t="s">
        <v>12</v>
      </c>
      <c r="E286">
        <v>2013</v>
      </c>
      <c r="F286">
        <v>962</v>
      </c>
      <c r="I286" t="s">
        <v>25</v>
      </c>
    </row>
    <row r="287" spans="1:9" hidden="1" x14ac:dyDescent="0.25">
      <c r="A287" t="s">
        <v>10</v>
      </c>
      <c r="B287" t="s">
        <v>28</v>
      </c>
      <c r="C287" t="s">
        <v>19</v>
      </c>
      <c r="D287" t="s">
        <v>12</v>
      </c>
      <c r="E287">
        <v>2013</v>
      </c>
      <c r="F287">
        <v>3285</v>
      </c>
      <c r="I287" t="s">
        <v>25</v>
      </c>
    </row>
    <row r="288" spans="1:9" hidden="1" x14ac:dyDescent="0.25">
      <c r="A288" t="s">
        <v>10</v>
      </c>
      <c r="B288" t="s">
        <v>29</v>
      </c>
      <c r="C288" t="s">
        <v>19</v>
      </c>
      <c r="D288" t="s">
        <v>12</v>
      </c>
      <c r="E288">
        <v>2013</v>
      </c>
      <c r="F288">
        <f>5+694+35-53</f>
        <v>681</v>
      </c>
      <c r="I288" t="s">
        <v>25</v>
      </c>
    </row>
    <row r="289" spans="1:9" hidden="1" x14ac:dyDescent="0.25">
      <c r="A289" t="s">
        <v>10</v>
      </c>
      <c r="B289" t="s">
        <v>30</v>
      </c>
      <c r="C289" t="s">
        <v>19</v>
      </c>
      <c r="D289" t="s">
        <v>12</v>
      </c>
      <c r="E289">
        <v>2013</v>
      </c>
      <c r="F289">
        <v>9912</v>
      </c>
      <c r="I289" t="s">
        <v>25</v>
      </c>
    </row>
    <row r="290" spans="1:9" hidden="1" x14ac:dyDescent="0.25">
      <c r="A290" t="s">
        <v>22</v>
      </c>
      <c r="B290" t="s">
        <v>24</v>
      </c>
      <c r="C290" t="s">
        <v>19</v>
      </c>
      <c r="D290" t="s">
        <v>12</v>
      </c>
      <c r="E290">
        <v>2013</v>
      </c>
      <c r="F290">
        <v>144</v>
      </c>
      <c r="I290" t="s">
        <v>25</v>
      </c>
    </row>
    <row r="291" spans="1:9" hidden="1" x14ac:dyDescent="0.25">
      <c r="A291" t="s">
        <v>22</v>
      </c>
      <c r="B291" t="s">
        <v>26</v>
      </c>
      <c r="C291" t="s">
        <v>19</v>
      </c>
      <c r="D291" t="s">
        <v>12</v>
      </c>
      <c r="E291">
        <v>2013</v>
      </c>
      <c r="F291">
        <v>156</v>
      </c>
      <c r="I291" t="s">
        <v>25</v>
      </c>
    </row>
    <row r="292" spans="1:9" hidden="1" x14ac:dyDescent="0.25">
      <c r="A292" t="s">
        <v>22</v>
      </c>
      <c r="B292" t="s">
        <v>27</v>
      </c>
      <c r="C292" t="s">
        <v>19</v>
      </c>
      <c r="D292" t="s">
        <v>12</v>
      </c>
      <c r="E292">
        <v>2013</v>
      </c>
      <c r="F292">
        <v>26</v>
      </c>
      <c r="I292" t="s">
        <v>25</v>
      </c>
    </row>
    <row r="293" spans="1:9" hidden="1" x14ac:dyDescent="0.25">
      <c r="A293" t="s">
        <v>22</v>
      </c>
      <c r="B293" t="s">
        <v>28</v>
      </c>
      <c r="C293" t="s">
        <v>19</v>
      </c>
      <c r="D293" t="s">
        <v>12</v>
      </c>
      <c r="E293">
        <v>2013</v>
      </c>
      <c r="F293">
        <v>55</v>
      </c>
      <c r="I293" t="s">
        <v>25</v>
      </c>
    </row>
    <row r="294" spans="1:9" hidden="1" x14ac:dyDescent="0.25">
      <c r="A294" t="s">
        <v>22</v>
      </c>
      <c r="B294" t="s">
        <v>29</v>
      </c>
      <c r="C294" t="s">
        <v>19</v>
      </c>
      <c r="D294" t="s">
        <v>12</v>
      </c>
      <c r="E294">
        <v>2013</v>
      </c>
      <c r="F294">
        <v>3</v>
      </c>
      <c r="I294" t="s">
        <v>25</v>
      </c>
    </row>
    <row r="295" spans="1:9" hidden="1" x14ac:dyDescent="0.25">
      <c r="A295" t="s">
        <v>22</v>
      </c>
      <c r="B295" t="s">
        <v>30</v>
      </c>
      <c r="C295" t="s">
        <v>19</v>
      </c>
      <c r="D295" t="s">
        <v>12</v>
      </c>
      <c r="E295">
        <v>2013</v>
      </c>
      <c r="F295">
        <v>190</v>
      </c>
      <c r="I295" t="s">
        <v>25</v>
      </c>
    </row>
    <row r="296" spans="1:9" hidden="1" x14ac:dyDescent="0.25">
      <c r="A296" t="s">
        <v>21</v>
      </c>
      <c r="B296" t="s">
        <v>26</v>
      </c>
      <c r="C296" t="s">
        <v>19</v>
      </c>
      <c r="D296" t="s">
        <v>15</v>
      </c>
      <c r="E296">
        <v>2013</v>
      </c>
      <c r="F296">
        <v>11</v>
      </c>
      <c r="I296" t="s">
        <v>25</v>
      </c>
    </row>
    <row r="297" spans="1:9" hidden="1" x14ac:dyDescent="0.25">
      <c r="A297" t="s">
        <v>21</v>
      </c>
      <c r="B297" t="s">
        <v>28</v>
      </c>
      <c r="C297" t="s">
        <v>19</v>
      </c>
      <c r="D297" t="s">
        <v>15</v>
      </c>
      <c r="E297">
        <v>2013</v>
      </c>
      <c r="F297">
        <v>245</v>
      </c>
      <c r="I297" t="s">
        <v>25</v>
      </c>
    </row>
    <row r="298" spans="1:9" hidden="1" x14ac:dyDescent="0.25">
      <c r="A298" t="s">
        <v>21</v>
      </c>
      <c r="B298" t="s">
        <v>29</v>
      </c>
      <c r="C298" t="s">
        <v>19</v>
      </c>
      <c r="D298" t="s">
        <v>15</v>
      </c>
      <c r="E298">
        <v>2013</v>
      </c>
      <c r="F298">
        <v>21</v>
      </c>
      <c r="I298" t="s">
        <v>25</v>
      </c>
    </row>
    <row r="299" spans="1:9" hidden="1" x14ac:dyDescent="0.25">
      <c r="A299" t="s">
        <v>21</v>
      </c>
      <c r="B299" t="s">
        <v>30</v>
      </c>
      <c r="C299" t="s">
        <v>19</v>
      </c>
      <c r="D299" t="s">
        <v>15</v>
      </c>
      <c r="E299">
        <v>2013</v>
      </c>
      <c r="F299">
        <v>65</v>
      </c>
      <c r="I299" t="s">
        <v>25</v>
      </c>
    </row>
    <row r="300" spans="1:9" hidden="1" x14ac:dyDescent="0.25">
      <c r="A300" t="s">
        <v>10</v>
      </c>
      <c r="B300" t="s">
        <v>26</v>
      </c>
      <c r="C300" t="s">
        <v>19</v>
      </c>
      <c r="D300" t="s">
        <v>15</v>
      </c>
      <c r="E300">
        <v>2013</v>
      </c>
      <c r="F300">
        <v>2711</v>
      </c>
      <c r="I300" t="s">
        <v>25</v>
      </c>
    </row>
    <row r="301" spans="1:9" hidden="1" x14ac:dyDescent="0.25">
      <c r="A301" t="s">
        <v>10</v>
      </c>
      <c r="B301" t="s">
        <v>28</v>
      </c>
      <c r="C301" t="s">
        <v>19</v>
      </c>
      <c r="D301" t="s">
        <v>15</v>
      </c>
      <c r="E301">
        <v>2013</v>
      </c>
      <c r="F301">
        <v>10487</v>
      </c>
      <c r="I301" t="s">
        <v>25</v>
      </c>
    </row>
    <row r="302" spans="1:9" hidden="1" x14ac:dyDescent="0.25">
      <c r="A302" t="s">
        <v>10</v>
      </c>
      <c r="B302" t="s">
        <v>29</v>
      </c>
      <c r="C302" t="s">
        <v>19</v>
      </c>
      <c r="D302" t="s">
        <v>15</v>
      </c>
      <c r="E302">
        <v>2013</v>
      </c>
      <c r="F302">
        <f>422+756+50-55</f>
        <v>1173</v>
      </c>
      <c r="I302" t="s">
        <v>25</v>
      </c>
    </row>
    <row r="303" spans="1:9" hidden="1" x14ac:dyDescent="0.25">
      <c r="A303" t="s">
        <v>10</v>
      </c>
      <c r="B303" t="s">
        <v>30</v>
      </c>
      <c r="C303" t="s">
        <v>19</v>
      </c>
      <c r="D303" t="s">
        <v>15</v>
      </c>
      <c r="E303">
        <v>2013</v>
      </c>
      <c r="F303">
        <v>5259</v>
      </c>
      <c r="I303" t="s">
        <v>25</v>
      </c>
    </row>
    <row r="304" spans="1:9" hidden="1" x14ac:dyDescent="0.25">
      <c r="A304" t="s">
        <v>22</v>
      </c>
      <c r="B304" t="s">
        <v>26</v>
      </c>
      <c r="C304" t="s">
        <v>19</v>
      </c>
      <c r="D304" t="s">
        <v>15</v>
      </c>
      <c r="E304">
        <v>2013</v>
      </c>
      <c r="F304">
        <v>84</v>
      </c>
      <c r="I304" t="s">
        <v>25</v>
      </c>
    </row>
    <row r="305" spans="1:9" hidden="1" x14ac:dyDescent="0.25">
      <c r="A305" t="s">
        <v>22</v>
      </c>
      <c r="B305" t="s">
        <v>28</v>
      </c>
      <c r="C305" t="s">
        <v>19</v>
      </c>
      <c r="D305" t="s">
        <v>15</v>
      </c>
      <c r="E305">
        <v>2013</v>
      </c>
      <c r="F305">
        <v>127</v>
      </c>
      <c r="I305" t="s">
        <v>25</v>
      </c>
    </row>
    <row r="306" spans="1:9" hidden="1" x14ac:dyDescent="0.25">
      <c r="A306" t="s">
        <v>22</v>
      </c>
      <c r="B306" t="s">
        <v>29</v>
      </c>
      <c r="C306" t="s">
        <v>19</v>
      </c>
      <c r="D306" t="s">
        <v>15</v>
      </c>
      <c r="E306">
        <v>2013</v>
      </c>
      <c r="F306">
        <v>3</v>
      </c>
      <c r="I306" t="s">
        <v>25</v>
      </c>
    </row>
    <row r="307" spans="1:9" hidden="1" x14ac:dyDescent="0.25">
      <c r="A307" t="s">
        <v>22</v>
      </c>
      <c r="B307" t="s">
        <v>30</v>
      </c>
      <c r="C307" t="s">
        <v>19</v>
      </c>
      <c r="D307" t="s">
        <v>15</v>
      </c>
      <c r="E307">
        <v>2013</v>
      </c>
      <c r="F307">
        <v>97</v>
      </c>
      <c r="I307" t="s">
        <v>25</v>
      </c>
    </row>
    <row r="308" spans="1:9" hidden="1" x14ac:dyDescent="0.25">
      <c r="A308" t="s">
        <v>21</v>
      </c>
      <c r="B308" t="s">
        <v>24</v>
      </c>
      <c r="C308" t="s">
        <v>20</v>
      </c>
      <c r="D308" t="s">
        <v>12</v>
      </c>
      <c r="E308">
        <v>2013</v>
      </c>
      <c r="F308">
        <v>594</v>
      </c>
      <c r="I308" t="s">
        <v>25</v>
      </c>
    </row>
    <row r="309" spans="1:9" hidden="1" x14ac:dyDescent="0.25">
      <c r="A309" t="s">
        <v>21</v>
      </c>
      <c r="B309" t="s">
        <v>26</v>
      </c>
      <c r="C309" t="s">
        <v>20</v>
      </c>
      <c r="D309" t="s">
        <v>12</v>
      </c>
      <c r="E309">
        <v>2013</v>
      </c>
      <c r="F309">
        <v>16</v>
      </c>
      <c r="I309" t="s">
        <v>25</v>
      </c>
    </row>
    <row r="310" spans="1:9" hidden="1" x14ac:dyDescent="0.25">
      <c r="A310" t="s">
        <v>21</v>
      </c>
      <c r="B310" t="s">
        <v>27</v>
      </c>
      <c r="C310" t="s">
        <v>20</v>
      </c>
      <c r="D310" t="s">
        <v>12</v>
      </c>
      <c r="E310">
        <v>2013</v>
      </c>
      <c r="F310">
        <v>19</v>
      </c>
      <c r="I310" t="s">
        <v>25</v>
      </c>
    </row>
    <row r="311" spans="1:9" hidden="1" x14ac:dyDescent="0.25">
      <c r="A311" t="s">
        <v>21</v>
      </c>
      <c r="B311" t="s">
        <v>28</v>
      </c>
      <c r="C311" t="s">
        <v>20</v>
      </c>
      <c r="D311" t="s">
        <v>12</v>
      </c>
      <c r="E311">
        <v>2013</v>
      </c>
      <c r="F311">
        <v>45</v>
      </c>
      <c r="I311" t="s">
        <v>25</v>
      </c>
    </row>
    <row r="312" spans="1:9" hidden="1" x14ac:dyDescent="0.25">
      <c r="A312" t="s">
        <v>21</v>
      </c>
      <c r="B312" t="s">
        <v>29</v>
      </c>
      <c r="C312" t="s">
        <v>20</v>
      </c>
      <c r="D312" t="s">
        <v>12</v>
      </c>
      <c r="E312">
        <v>2013</v>
      </c>
      <c r="F312">
        <v>0</v>
      </c>
      <c r="I312" t="s">
        <v>25</v>
      </c>
    </row>
    <row r="313" spans="1:9" hidden="1" x14ac:dyDescent="0.25">
      <c r="A313" t="s">
        <v>21</v>
      </c>
      <c r="B313" t="s">
        <v>30</v>
      </c>
      <c r="C313" t="s">
        <v>20</v>
      </c>
      <c r="D313" t="s">
        <v>12</v>
      </c>
      <c r="E313">
        <v>2013</v>
      </c>
      <c r="F313">
        <v>130</v>
      </c>
      <c r="I313" t="s">
        <v>25</v>
      </c>
    </row>
    <row r="314" spans="1:9" hidden="1" x14ac:dyDescent="0.25">
      <c r="A314" t="s">
        <v>10</v>
      </c>
      <c r="B314" t="s">
        <v>24</v>
      </c>
      <c r="C314" t="s">
        <v>20</v>
      </c>
      <c r="D314" t="s">
        <v>12</v>
      </c>
      <c r="E314">
        <v>2013</v>
      </c>
      <c r="F314">
        <v>12981</v>
      </c>
      <c r="I314" t="s">
        <v>25</v>
      </c>
    </row>
    <row r="315" spans="1:9" hidden="1" x14ac:dyDescent="0.25">
      <c r="A315" t="s">
        <v>10</v>
      </c>
      <c r="B315" t="s">
        <v>26</v>
      </c>
      <c r="C315" t="s">
        <v>20</v>
      </c>
      <c r="D315" t="s">
        <v>12</v>
      </c>
      <c r="E315">
        <v>2013</v>
      </c>
      <c r="F315">
        <v>5193</v>
      </c>
      <c r="I315" t="s">
        <v>25</v>
      </c>
    </row>
    <row r="316" spans="1:9" hidden="1" x14ac:dyDescent="0.25">
      <c r="A316" t="s">
        <v>10</v>
      </c>
      <c r="B316" t="s">
        <v>27</v>
      </c>
      <c r="C316" t="s">
        <v>20</v>
      </c>
      <c r="D316" t="s">
        <v>12</v>
      </c>
      <c r="E316">
        <v>2013</v>
      </c>
      <c r="F316">
        <v>1083</v>
      </c>
      <c r="I316" t="s">
        <v>25</v>
      </c>
    </row>
    <row r="317" spans="1:9" hidden="1" x14ac:dyDescent="0.25">
      <c r="A317" t="s">
        <v>10</v>
      </c>
      <c r="B317" t="s">
        <v>28</v>
      </c>
      <c r="C317" t="s">
        <v>20</v>
      </c>
      <c r="D317" t="s">
        <v>12</v>
      </c>
      <c r="E317">
        <v>2013</v>
      </c>
      <c r="F317">
        <v>2045</v>
      </c>
      <c r="I317" t="s">
        <v>25</v>
      </c>
    </row>
    <row r="318" spans="1:9" hidden="1" x14ac:dyDescent="0.25">
      <c r="A318" t="s">
        <v>10</v>
      </c>
      <c r="B318" t="s">
        <v>29</v>
      </c>
      <c r="C318" t="s">
        <v>20</v>
      </c>
      <c r="D318" t="s">
        <v>12</v>
      </c>
      <c r="E318">
        <v>2013</v>
      </c>
      <c r="F318">
        <f>1+452+28-22</f>
        <v>459</v>
      </c>
      <c r="I318" t="s">
        <v>25</v>
      </c>
    </row>
    <row r="319" spans="1:9" hidden="1" x14ac:dyDescent="0.25">
      <c r="A319" t="s">
        <v>10</v>
      </c>
      <c r="B319" t="s">
        <v>30</v>
      </c>
      <c r="C319" t="s">
        <v>20</v>
      </c>
      <c r="D319" t="s">
        <v>12</v>
      </c>
      <c r="E319">
        <v>2013</v>
      </c>
      <c r="F319">
        <v>5825</v>
      </c>
      <c r="I319" t="s">
        <v>25</v>
      </c>
    </row>
    <row r="320" spans="1:9" hidden="1" x14ac:dyDescent="0.25">
      <c r="A320" t="s">
        <v>22</v>
      </c>
      <c r="B320" t="s">
        <v>24</v>
      </c>
      <c r="C320" t="s">
        <v>20</v>
      </c>
      <c r="D320" t="s">
        <v>12</v>
      </c>
      <c r="E320">
        <v>2013</v>
      </c>
      <c r="F320">
        <v>93</v>
      </c>
      <c r="I320" t="s">
        <v>25</v>
      </c>
    </row>
    <row r="321" spans="1:9" hidden="1" x14ac:dyDescent="0.25">
      <c r="A321" t="s">
        <v>22</v>
      </c>
      <c r="B321" t="s">
        <v>26</v>
      </c>
      <c r="C321" t="s">
        <v>20</v>
      </c>
      <c r="D321" t="s">
        <v>12</v>
      </c>
      <c r="E321">
        <v>2013</v>
      </c>
      <c r="F321">
        <v>175</v>
      </c>
      <c r="I321" t="s">
        <v>25</v>
      </c>
    </row>
    <row r="322" spans="1:9" hidden="1" x14ac:dyDescent="0.25">
      <c r="A322" t="s">
        <v>22</v>
      </c>
      <c r="B322" t="s">
        <v>27</v>
      </c>
      <c r="C322" t="s">
        <v>20</v>
      </c>
      <c r="D322" t="s">
        <v>12</v>
      </c>
      <c r="E322">
        <v>2013</v>
      </c>
      <c r="F322">
        <v>32</v>
      </c>
      <c r="I322" t="s">
        <v>25</v>
      </c>
    </row>
    <row r="323" spans="1:9" hidden="1" x14ac:dyDescent="0.25">
      <c r="A323" t="s">
        <v>22</v>
      </c>
      <c r="B323" t="s">
        <v>28</v>
      </c>
      <c r="C323" t="s">
        <v>20</v>
      </c>
      <c r="D323" t="s">
        <v>12</v>
      </c>
      <c r="E323">
        <v>2013</v>
      </c>
      <c r="F323">
        <v>47</v>
      </c>
      <c r="I323" t="s">
        <v>25</v>
      </c>
    </row>
    <row r="324" spans="1:9" hidden="1" x14ac:dyDescent="0.25">
      <c r="A324" t="s">
        <v>22</v>
      </c>
      <c r="B324" t="s">
        <v>29</v>
      </c>
      <c r="C324" t="s">
        <v>20</v>
      </c>
      <c r="D324" t="s">
        <v>12</v>
      </c>
      <c r="E324">
        <v>2013</v>
      </c>
      <c r="F324">
        <v>5</v>
      </c>
      <c r="I324" t="s">
        <v>25</v>
      </c>
    </row>
    <row r="325" spans="1:9" hidden="1" x14ac:dyDescent="0.25">
      <c r="A325" t="s">
        <v>22</v>
      </c>
      <c r="B325" t="s">
        <v>30</v>
      </c>
      <c r="C325" t="s">
        <v>20</v>
      </c>
      <c r="D325" t="s">
        <v>12</v>
      </c>
      <c r="E325">
        <v>2013</v>
      </c>
      <c r="F325">
        <v>92</v>
      </c>
      <c r="I325" t="s">
        <v>25</v>
      </c>
    </row>
    <row r="326" spans="1:9" hidden="1" x14ac:dyDescent="0.25">
      <c r="A326" t="s">
        <v>21</v>
      </c>
      <c r="B326" t="s">
        <v>26</v>
      </c>
      <c r="C326" t="s">
        <v>20</v>
      </c>
      <c r="D326" t="s">
        <v>15</v>
      </c>
      <c r="E326">
        <v>2013</v>
      </c>
      <c r="F326">
        <v>15</v>
      </c>
      <c r="I326" t="s">
        <v>25</v>
      </c>
    </row>
    <row r="327" spans="1:9" hidden="1" x14ac:dyDescent="0.25">
      <c r="A327" t="s">
        <v>21</v>
      </c>
      <c r="B327" t="s">
        <v>28</v>
      </c>
      <c r="C327" t="s">
        <v>20</v>
      </c>
      <c r="D327" t="s">
        <v>15</v>
      </c>
      <c r="E327">
        <v>2013</v>
      </c>
      <c r="F327">
        <v>136</v>
      </c>
      <c r="I327" t="s">
        <v>25</v>
      </c>
    </row>
    <row r="328" spans="1:9" hidden="1" x14ac:dyDescent="0.25">
      <c r="A328" t="s">
        <v>21</v>
      </c>
      <c r="B328" t="s">
        <v>29</v>
      </c>
      <c r="C328" t="s">
        <v>20</v>
      </c>
      <c r="D328" t="s">
        <v>15</v>
      </c>
      <c r="E328">
        <v>2013</v>
      </c>
      <c r="F328">
        <v>14</v>
      </c>
      <c r="I328" t="s">
        <v>25</v>
      </c>
    </row>
    <row r="329" spans="1:9" hidden="1" x14ac:dyDescent="0.25">
      <c r="A329" t="s">
        <v>21</v>
      </c>
      <c r="B329" t="s">
        <v>30</v>
      </c>
      <c r="C329" t="s">
        <v>20</v>
      </c>
      <c r="D329" t="s">
        <v>15</v>
      </c>
      <c r="E329">
        <v>2013</v>
      </c>
      <c r="F329">
        <v>22</v>
      </c>
      <c r="I329" t="s">
        <v>25</v>
      </c>
    </row>
    <row r="330" spans="1:9" hidden="1" x14ac:dyDescent="0.25">
      <c r="A330" t="s">
        <v>10</v>
      </c>
      <c r="B330" t="s">
        <v>26</v>
      </c>
      <c r="C330" t="s">
        <v>20</v>
      </c>
      <c r="D330" t="s">
        <v>15</v>
      </c>
      <c r="E330">
        <v>2013</v>
      </c>
      <c r="F330">
        <v>2312</v>
      </c>
      <c r="I330" t="s">
        <v>25</v>
      </c>
    </row>
    <row r="331" spans="1:9" hidden="1" x14ac:dyDescent="0.25">
      <c r="A331" t="s">
        <v>10</v>
      </c>
      <c r="B331" t="s">
        <v>28</v>
      </c>
      <c r="C331" t="s">
        <v>20</v>
      </c>
      <c r="D331" t="s">
        <v>15</v>
      </c>
      <c r="E331">
        <v>2013</v>
      </c>
      <c r="F331">
        <v>5658</v>
      </c>
      <c r="I331" t="s">
        <v>25</v>
      </c>
    </row>
    <row r="332" spans="1:9" hidden="1" x14ac:dyDescent="0.25">
      <c r="A332" t="s">
        <v>10</v>
      </c>
      <c r="B332" t="s">
        <v>29</v>
      </c>
      <c r="C332" t="s">
        <v>20</v>
      </c>
      <c r="D332" t="s">
        <v>15</v>
      </c>
      <c r="E332">
        <v>2013</v>
      </c>
      <c r="F332">
        <f>330+464+25-32</f>
        <v>787</v>
      </c>
      <c r="I332" t="s">
        <v>25</v>
      </c>
    </row>
    <row r="333" spans="1:9" hidden="1" x14ac:dyDescent="0.25">
      <c r="A333" t="s">
        <v>10</v>
      </c>
      <c r="B333" t="s">
        <v>30</v>
      </c>
      <c r="C333" t="s">
        <v>20</v>
      </c>
      <c r="D333" t="s">
        <v>15</v>
      </c>
      <c r="E333">
        <v>2013</v>
      </c>
      <c r="F333">
        <v>2334</v>
      </c>
      <c r="I333" t="s">
        <v>25</v>
      </c>
    </row>
    <row r="334" spans="1:9" hidden="1" x14ac:dyDescent="0.25">
      <c r="A334" t="s">
        <v>22</v>
      </c>
      <c r="B334" t="s">
        <v>26</v>
      </c>
      <c r="C334" t="s">
        <v>20</v>
      </c>
      <c r="D334" t="s">
        <v>15</v>
      </c>
      <c r="E334">
        <v>2013</v>
      </c>
      <c r="F334">
        <v>68</v>
      </c>
      <c r="I334" t="s">
        <v>25</v>
      </c>
    </row>
    <row r="335" spans="1:9" hidden="1" x14ac:dyDescent="0.25">
      <c r="A335" t="s">
        <v>22</v>
      </c>
      <c r="B335" t="s">
        <v>28</v>
      </c>
      <c r="C335" t="s">
        <v>20</v>
      </c>
      <c r="D335" t="s">
        <v>15</v>
      </c>
      <c r="E335">
        <v>2013</v>
      </c>
      <c r="F335">
        <v>64</v>
      </c>
      <c r="I335" t="s">
        <v>25</v>
      </c>
    </row>
    <row r="336" spans="1:9" hidden="1" x14ac:dyDescent="0.25">
      <c r="A336" t="s">
        <v>22</v>
      </c>
      <c r="B336" t="s">
        <v>29</v>
      </c>
      <c r="C336" t="s">
        <v>20</v>
      </c>
      <c r="D336" t="s">
        <v>15</v>
      </c>
      <c r="E336">
        <v>2013</v>
      </c>
      <c r="F336">
        <f>9+2+3</f>
        <v>14</v>
      </c>
      <c r="I336" t="s">
        <v>25</v>
      </c>
    </row>
    <row r="337" spans="1:9" hidden="1" x14ac:dyDescent="0.25">
      <c r="A337" t="s">
        <v>22</v>
      </c>
      <c r="B337" t="s">
        <v>30</v>
      </c>
      <c r="C337" t="s">
        <v>20</v>
      </c>
      <c r="D337" t="s">
        <v>15</v>
      </c>
      <c r="E337">
        <v>2013</v>
      </c>
      <c r="F337">
        <v>33</v>
      </c>
      <c r="I337" t="s">
        <v>25</v>
      </c>
    </row>
    <row r="338" spans="1:9" hidden="1" x14ac:dyDescent="0.25">
      <c r="A338" t="s">
        <v>21</v>
      </c>
      <c r="B338" t="s">
        <v>24</v>
      </c>
      <c r="C338" t="s">
        <v>31</v>
      </c>
      <c r="D338" t="s">
        <v>12</v>
      </c>
      <c r="E338">
        <v>2013</v>
      </c>
      <c r="F338">
        <v>396</v>
      </c>
      <c r="I338" t="s">
        <v>25</v>
      </c>
    </row>
    <row r="339" spans="1:9" hidden="1" x14ac:dyDescent="0.25">
      <c r="A339" t="s">
        <v>21</v>
      </c>
      <c r="B339" t="s">
        <v>26</v>
      </c>
      <c r="C339" t="s">
        <v>31</v>
      </c>
      <c r="D339" t="s">
        <v>12</v>
      </c>
      <c r="E339">
        <v>2013</v>
      </c>
      <c r="F339">
        <v>5</v>
      </c>
      <c r="I339" t="s">
        <v>25</v>
      </c>
    </row>
    <row r="340" spans="1:9" hidden="1" x14ac:dyDescent="0.25">
      <c r="A340" t="s">
        <v>21</v>
      </c>
      <c r="B340" t="s">
        <v>27</v>
      </c>
      <c r="C340" t="s">
        <v>31</v>
      </c>
      <c r="D340" t="s">
        <v>12</v>
      </c>
      <c r="E340">
        <v>2013</v>
      </c>
      <c r="F340">
        <v>18</v>
      </c>
      <c r="I340" t="s">
        <v>25</v>
      </c>
    </row>
    <row r="341" spans="1:9" hidden="1" x14ac:dyDescent="0.25">
      <c r="A341" t="s">
        <v>21</v>
      </c>
      <c r="B341" t="s">
        <v>28</v>
      </c>
      <c r="C341" t="s">
        <v>31</v>
      </c>
      <c r="D341" t="s">
        <v>12</v>
      </c>
      <c r="E341">
        <v>2013</v>
      </c>
      <c r="F341">
        <v>7</v>
      </c>
      <c r="I341" t="s">
        <v>25</v>
      </c>
    </row>
    <row r="342" spans="1:9" hidden="1" x14ac:dyDescent="0.25">
      <c r="A342" t="s">
        <v>21</v>
      </c>
      <c r="B342" t="s">
        <v>29</v>
      </c>
      <c r="C342" t="s">
        <v>31</v>
      </c>
      <c r="D342" t="s">
        <v>12</v>
      </c>
      <c r="E342">
        <v>2013</v>
      </c>
      <c r="F342">
        <v>0</v>
      </c>
      <c r="I342" t="s">
        <v>25</v>
      </c>
    </row>
    <row r="343" spans="1:9" hidden="1" x14ac:dyDescent="0.25">
      <c r="A343" t="s">
        <v>21</v>
      </c>
      <c r="B343" t="s">
        <v>30</v>
      </c>
      <c r="C343" t="s">
        <v>31</v>
      </c>
      <c r="D343" t="s">
        <v>12</v>
      </c>
      <c r="E343">
        <v>2013</v>
      </c>
      <c r="F343">
        <v>51</v>
      </c>
      <c r="I343" t="s">
        <v>25</v>
      </c>
    </row>
    <row r="344" spans="1:9" hidden="1" x14ac:dyDescent="0.25">
      <c r="A344" t="s">
        <v>10</v>
      </c>
      <c r="B344" t="s">
        <v>24</v>
      </c>
      <c r="C344" t="s">
        <v>31</v>
      </c>
      <c r="D344" t="s">
        <v>12</v>
      </c>
      <c r="E344">
        <v>2013</v>
      </c>
      <c r="F344">
        <v>16773</v>
      </c>
      <c r="I344" t="s">
        <v>25</v>
      </c>
    </row>
    <row r="345" spans="1:9" hidden="1" x14ac:dyDescent="0.25">
      <c r="A345" t="s">
        <v>10</v>
      </c>
      <c r="B345" t="s">
        <v>26</v>
      </c>
      <c r="C345" t="s">
        <v>31</v>
      </c>
      <c r="D345" t="s">
        <v>12</v>
      </c>
      <c r="E345">
        <v>2013</v>
      </c>
      <c r="F345">
        <v>1279</v>
      </c>
      <c r="I345" t="s">
        <v>25</v>
      </c>
    </row>
    <row r="346" spans="1:9" hidden="1" x14ac:dyDescent="0.25">
      <c r="A346" t="s">
        <v>10</v>
      </c>
      <c r="B346" t="s">
        <v>27</v>
      </c>
      <c r="C346" t="s">
        <v>31</v>
      </c>
      <c r="D346" t="s">
        <v>12</v>
      </c>
      <c r="E346">
        <v>2013</v>
      </c>
      <c r="F346">
        <v>606</v>
      </c>
      <c r="I346" t="s">
        <v>25</v>
      </c>
    </row>
    <row r="347" spans="1:9" hidden="1" x14ac:dyDescent="0.25">
      <c r="A347" t="s">
        <v>10</v>
      </c>
      <c r="B347" t="s">
        <v>28</v>
      </c>
      <c r="C347" t="s">
        <v>31</v>
      </c>
      <c r="D347" t="s">
        <v>12</v>
      </c>
      <c r="E347">
        <v>2013</v>
      </c>
      <c r="F347">
        <v>511</v>
      </c>
      <c r="I347" t="s">
        <v>25</v>
      </c>
    </row>
    <row r="348" spans="1:9" hidden="1" x14ac:dyDescent="0.25">
      <c r="A348" t="s">
        <v>10</v>
      </c>
      <c r="B348" t="s">
        <v>29</v>
      </c>
      <c r="C348" t="s">
        <v>31</v>
      </c>
      <c r="D348" t="s">
        <v>12</v>
      </c>
      <c r="E348">
        <v>2013</v>
      </c>
      <c r="F348">
        <f>1+68+46-3</f>
        <v>112</v>
      </c>
      <c r="I348" t="s">
        <v>25</v>
      </c>
    </row>
    <row r="349" spans="1:9" hidden="1" x14ac:dyDescent="0.25">
      <c r="A349" t="s">
        <v>10</v>
      </c>
      <c r="B349" t="s">
        <v>30</v>
      </c>
      <c r="C349" t="s">
        <v>31</v>
      </c>
      <c r="D349" t="s">
        <v>12</v>
      </c>
      <c r="E349">
        <v>2013</v>
      </c>
      <c r="F349">
        <v>2875</v>
      </c>
      <c r="I349" t="s">
        <v>25</v>
      </c>
    </row>
    <row r="350" spans="1:9" hidden="1" x14ac:dyDescent="0.25">
      <c r="A350" t="s">
        <v>22</v>
      </c>
      <c r="B350" t="s">
        <v>24</v>
      </c>
      <c r="C350" t="s">
        <v>31</v>
      </c>
      <c r="D350" t="s">
        <v>12</v>
      </c>
      <c r="E350">
        <v>2013</v>
      </c>
      <c r="F350">
        <v>137</v>
      </c>
      <c r="I350" t="s">
        <v>25</v>
      </c>
    </row>
    <row r="351" spans="1:9" hidden="1" x14ac:dyDescent="0.25">
      <c r="A351" t="s">
        <v>22</v>
      </c>
      <c r="B351" t="s">
        <v>26</v>
      </c>
      <c r="C351" t="s">
        <v>31</v>
      </c>
      <c r="D351" t="s">
        <v>12</v>
      </c>
      <c r="E351">
        <v>2013</v>
      </c>
      <c r="F351">
        <v>37</v>
      </c>
      <c r="I351" t="s">
        <v>25</v>
      </c>
    </row>
    <row r="352" spans="1:9" hidden="1" x14ac:dyDescent="0.25">
      <c r="A352" t="s">
        <v>22</v>
      </c>
      <c r="B352" t="s">
        <v>27</v>
      </c>
      <c r="C352" t="s">
        <v>31</v>
      </c>
      <c r="D352" t="s">
        <v>12</v>
      </c>
      <c r="E352">
        <v>2013</v>
      </c>
      <c r="F352">
        <v>12</v>
      </c>
      <c r="I352" t="s">
        <v>25</v>
      </c>
    </row>
    <row r="353" spans="1:9" hidden="1" x14ac:dyDescent="0.25">
      <c r="A353" t="s">
        <v>22</v>
      </c>
      <c r="B353" t="s">
        <v>28</v>
      </c>
      <c r="C353" t="s">
        <v>31</v>
      </c>
      <c r="D353" t="s">
        <v>12</v>
      </c>
      <c r="E353">
        <v>2013</v>
      </c>
      <c r="F353">
        <v>13</v>
      </c>
      <c r="I353" t="s">
        <v>25</v>
      </c>
    </row>
    <row r="354" spans="1:9" hidden="1" x14ac:dyDescent="0.25">
      <c r="A354" t="s">
        <v>22</v>
      </c>
      <c r="B354" t="s">
        <v>29</v>
      </c>
      <c r="C354" t="s">
        <v>31</v>
      </c>
      <c r="D354" t="s">
        <v>12</v>
      </c>
      <c r="E354">
        <v>2013</v>
      </c>
      <c r="F354">
        <v>1</v>
      </c>
      <c r="I354" t="s">
        <v>25</v>
      </c>
    </row>
    <row r="355" spans="1:9" hidden="1" x14ac:dyDescent="0.25">
      <c r="A355" t="s">
        <v>22</v>
      </c>
      <c r="B355" t="s">
        <v>30</v>
      </c>
      <c r="C355" t="s">
        <v>31</v>
      </c>
      <c r="D355" t="s">
        <v>12</v>
      </c>
      <c r="E355">
        <v>2013</v>
      </c>
      <c r="F355">
        <v>39</v>
      </c>
      <c r="I355" t="s">
        <v>25</v>
      </c>
    </row>
    <row r="356" spans="1:9" hidden="1" x14ac:dyDescent="0.25">
      <c r="A356" t="s">
        <v>21</v>
      </c>
      <c r="B356" t="s">
        <v>26</v>
      </c>
      <c r="C356" t="s">
        <v>31</v>
      </c>
      <c r="D356" t="s">
        <v>15</v>
      </c>
      <c r="E356">
        <v>2013</v>
      </c>
      <c r="F356">
        <v>1</v>
      </c>
      <c r="I356" t="s">
        <v>25</v>
      </c>
    </row>
    <row r="357" spans="1:9" hidden="1" x14ac:dyDescent="0.25">
      <c r="A357" t="s">
        <v>21</v>
      </c>
      <c r="B357" t="s">
        <v>28</v>
      </c>
      <c r="C357" t="s">
        <v>31</v>
      </c>
      <c r="D357" t="s">
        <v>15</v>
      </c>
      <c r="E357">
        <v>2013</v>
      </c>
      <c r="F357">
        <v>30</v>
      </c>
      <c r="I357" t="s">
        <v>25</v>
      </c>
    </row>
    <row r="358" spans="1:9" hidden="1" x14ac:dyDescent="0.25">
      <c r="A358" t="s">
        <v>21</v>
      </c>
      <c r="B358" t="s">
        <v>29</v>
      </c>
      <c r="C358" t="s">
        <v>31</v>
      </c>
      <c r="D358" t="s">
        <v>15</v>
      </c>
      <c r="E358">
        <v>2013</v>
      </c>
      <c r="F358">
        <v>2</v>
      </c>
      <c r="I358" t="s">
        <v>25</v>
      </c>
    </row>
    <row r="359" spans="1:9" hidden="1" x14ac:dyDescent="0.25">
      <c r="A359" t="s">
        <v>21</v>
      </c>
      <c r="B359" t="s">
        <v>30</v>
      </c>
      <c r="C359" t="s">
        <v>31</v>
      </c>
      <c r="D359" t="s">
        <v>15</v>
      </c>
      <c r="E359">
        <v>2013</v>
      </c>
      <c r="F359">
        <v>8</v>
      </c>
      <c r="I359" t="s">
        <v>25</v>
      </c>
    </row>
    <row r="360" spans="1:9" hidden="1" x14ac:dyDescent="0.25">
      <c r="A360" t="s">
        <v>10</v>
      </c>
      <c r="B360" t="s">
        <v>26</v>
      </c>
      <c r="C360" t="s">
        <v>31</v>
      </c>
      <c r="D360" t="s">
        <v>15</v>
      </c>
      <c r="E360">
        <v>2013</v>
      </c>
      <c r="F360">
        <v>650</v>
      </c>
      <c r="I360" t="s">
        <v>25</v>
      </c>
    </row>
    <row r="361" spans="1:9" hidden="1" x14ac:dyDescent="0.25">
      <c r="A361" t="s">
        <v>10</v>
      </c>
      <c r="B361" t="s">
        <v>28</v>
      </c>
      <c r="C361" t="s">
        <v>31</v>
      </c>
      <c r="D361" t="s">
        <v>15</v>
      </c>
      <c r="E361">
        <v>2013</v>
      </c>
      <c r="F361">
        <v>1164</v>
      </c>
      <c r="I361" t="s">
        <v>25</v>
      </c>
    </row>
    <row r="362" spans="1:9" hidden="1" x14ac:dyDescent="0.25">
      <c r="A362" t="s">
        <v>10</v>
      </c>
      <c r="B362" t="s">
        <v>29</v>
      </c>
      <c r="C362" t="s">
        <v>31</v>
      </c>
      <c r="D362" t="s">
        <v>15</v>
      </c>
      <c r="E362">
        <v>2013</v>
      </c>
      <c r="F362">
        <f>58+70+20-3</f>
        <v>145</v>
      </c>
      <c r="I362" t="s">
        <v>25</v>
      </c>
    </row>
    <row r="363" spans="1:9" hidden="1" x14ac:dyDescent="0.25">
      <c r="A363" t="s">
        <v>10</v>
      </c>
      <c r="B363" t="s">
        <v>30</v>
      </c>
      <c r="C363" t="s">
        <v>31</v>
      </c>
      <c r="D363" t="s">
        <v>15</v>
      </c>
      <c r="E363">
        <v>2013</v>
      </c>
      <c r="F363">
        <v>567</v>
      </c>
      <c r="I363" t="s">
        <v>25</v>
      </c>
    </row>
    <row r="364" spans="1:9" hidden="1" x14ac:dyDescent="0.25">
      <c r="A364" t="s">
        <v>22</v>
      </c>
      <c r="B364" t="s">
        <v>26</v>
      </c>
      <c r="C364" t="s">
        <v>31</v>
      </c>
      <c r="D364" t="s">
        <v>15</v>
      </c>
      <c r="E364">
        <v>2013</v>
      </c>
      <c r="F364">
        <v>13</v>
      </c>
      <c r="I364" t="s">
        <v>25</v>
      </c>
    </row>
    <row r="365" spans="1:9" hidden="1" x14ac:dyDescent="0.25">
      <c r="A365" t="s">
        <v>22</v>
      </c>
      <c r="B365" t="s">
        <v>28</v>
      </c>
      <c r="C365" t="s">
        <v>31</v>
      </c>
      <c r="D365" t="s">
        <v>15</v>
      </c>
      <c r="E365">
        <v>2013</v>
      </c>
      <c r="F365">
        <v>19</v>
      </c>
      <c r="I365" t="s">
        <v>25</v>
      </c>
    </row>
    <row r="366" spans="1:9" hidden="1" x14ac:dyDescent="0.25">
      <c r="A366" t="s">
        <v>22</v>
      </c>
      <c r="B366" t="s">
        <v>29</v>
      </c>
      <c r="C366" t="s">
        <v>31</v>
      </c>
      <c r="D366" t="s">
        <v>15</v>
      </c>
      <c r="E366">
        <v>2013</v>
      </c>
      <c r="F366">
        <v>6</v>
      </c>
      <c r="I366" t="s">
        <v>25</v>
      </c>
    </row>
    <row r="367" spans="1:9" hidden="1" x14ac:dyDescent="0.25">
      <c r="A367" t="s">
        <v>22</v>
      </c>
      <c r="B367" t="s">
        <v>30</v>
      </c>
      <c r="C367" t="s">
        <v>31</v>
      </c>
      <c r="D367" t="s">
        <v>15</v>
      </c>
      <c r="E367">
        <v>2013</v>
      </c>
      <c r="F367">
        <v>9</v>
      </c>
      <c r="I367" t="s">
        <v>25</v>
      </c>
    </row>
    <row r="368" spans="1:9" hidden="1" x14ac:dyDescent="0.25">
      <c r="A368" t="s">
        <v>21</v>
      </c>
      <c r="B368" t="s">
        <v>24</v>
      </c>
      <c r="C368" t="s">
        <v>19</v>
      </c>
      <c r="D368" t="s">
        <v>12</v>
      </c>
      <c r="E368">
        <v>2014</v>
      </c>
      <c r="F368">
        <v>519</v>
      </c>
      <c r="I368" t="s">
        <v>25</v>
      </c>
    </row>
    <row r="369" spans="1:9" hidden="1" x14ac:dyDescent="0.25">
      <c r="A369" t="s">
        <v>21</v>
      </c>
      <c r="B369" t="s">
        <v>26</v>
      </c>
      <c r="C369" t="s">
        <v>19</v>
      </c>
      <c r="D369" t="s">
        <v>12</v>
      </c>
      <c r="E369">
        <v>2014</v>
      </c>
      <c r="F369">
        <v>11</v>
      </c>
      <c r="I369" t="s">
        <v>25</v>
      </c>
    </row>
    <row r="370" spans="1:9" hidden="1" x14ac:dyDescent="0.25">
      <c r="A370" t="s">
        <v>21</v>
      </c>
      <c r="B370" t="s">
        <v>27</v>
      </c>
      <c r="C370" t="s">
        <v>19</v>
      </c>
      <c r="D370" t="s">
        <v>12</v>
      </c>
      <c r="E370">
        <v>2014</v>
      </c>
      <c r="F370">
        <v>15</v>
      </c>
      <c r="I370" t="s">
        <v>25</v>
      </c>
    </row>
    <row r="371" spans="1:9" hidden="1" x14ac:dyDescent="0.25">
      <c r="A371" t="s">
        <v>21</v>
      </c>
      <c r="B371" t="s">
        <v>28</v>
      </c>
      <c r="C371" t="s">
        <v>19</v>
      </c>
      <c r="D371" t="s">
        <v>12</v>
      </c>
      <c r="E371">
        <v>2014</v>
      </c>
      <c r="F371">
        <v>67</v>
      </c>
      <c r="I371" t="s">
        <v>25</v>
      </c>
    </row>
    <row r="372" spans="1:9" hidden="1" x14ac:dyDescent="0.25">
      <c r="A372" t="s">
        <v>21</v>
      </c>
      <c r="B372" t="s">
        <v>29</v>
      </c>
      <c r="C372" t="s">
        <v>19</v>
      </c>
      <c r="D372" t="s">
        <v>12</v>
      </c>
      <c r="E372">
        <v>2014</v>
      </c>
      <c r="F372">
        <v>1</v>
      </c>
      <c r="I372" t="s">
        <v>25</v>
      </c>
    </row>
    <row r="373" spans="1:9" hidden="1" x14ac:dyDescent="0.25">
      <c r="A373" t="s">
        <v>21</v>
      </c>
      <c r="B373" t="s">
        <v>30</v>
      </c>
      <c r="C373" t="s">
        <v>19</v>
      </c>
      <c r="D373" t="s">
        <v>12</v>
      </c>
      <c r="E373">
        <v>2014</v>
      </c>
      <c r="F373">
        <v>206</v>
      </c>
      <c r="I373" t="s">
        <v>25</v>
      </c>
    </row>
    <row r="374" spans="1:9" hidden="1" x14ac:dyDescent="0.25">
      <c r="A374" t="s">
        <v>10</v>
      </c>
      <c r="B374" t="s">
        <v>24</v>
      </c>
      <c r="C374" t="s">
        <v>19</v>
      </c>
      <c r="D374" t="s">
        <v>12</v>
      </c>
      <c r="E374">
        <v>2014</v>
      </c>
      <c r="F374">
        <v>14063</v>
      </c>
      <c r="I374" t="s">
        <v>25</v>
      </c>
    </row>
    <row r="375" spans="1:9" hidden="1" x14ac:dyDescent="0.25">
      <c r="A375" t="s">
        <v>10</v>
      </c>
      <c r="B375" t="s">
        <v>26</v>
      </c>
      <c r="C375" t="s">
        <v>19</v>
      </c>
      <c r="D375" t="s">
        <v>12</v>
      </c>
      <c r="E375">
        <v>2014</v>
      </c>
      <c r="F375">
        <v>4380</v>
      </c>
      <c r="I375" t="s">
        <v>25</v>
      </c>
    </row>
    <row r="376" spans="1:9" hidden="1" x14ac:dyDescent="0.25">
      <c r="A376" t="s">
        <v>10</v>
      </c>
      <c r="B376" t="s">
        <v>27</v>
      </c>
      <c r="C376" t="s">
        <v>19</v>
      </c>
      <c r="D376" t="s">
        <v>12</v>
      </c>
      <c r="E376">
        <v>2014</v>
      </c>
      <c r="F376">
        <v>959</v>
      </c>
      <c r="I376" t="s">
        <v>25</v>
      </c>
    </row>
    <row r="377" spans="1:9" hidden="1" x14ac:dyDescent="0.25">
      <c r="A377" t="s">
        <v>10</v>
      </c>
      <c r="B377" t="s">
        <v>28</v>
      </c>
      <c r="C377" t="s">
        <v>19</v>
      </c>
      <c r="D377" t="s">
        <v>12</v>
      </c>
      <c r="E377">
        <v>2014</v>
      </c>
      <c r="F377">
        <v>3290</v>
      </c>
      <c r="I377" t="s">
        <v>25</v>
      </c>
    </row>
    <row r="378" spans="1:9" hidden="1" x14ac:dyDescent="0.25">
      <c r="A378" t="s">
        <v>10</v>
      </c>
      <c r="B378" t="s">
        <v>29</v>
      </c>
      <c r="C378" t="s">
        <v>19</v>
      </c>
      <c r="D378" t="s">
        <v>12</v>
      </c>
      <c r="E378">
        <v>2014</v>
      </c>
      <c r="F378">
        <f>6+694+34-43</f>
        <v>691</v>
      </c>
      <c r="I378" t="s">
        <v>25</v>
      </c>
    </row>
    <row r="379" spans="1:9" hidden="1" x14ac:dyDescent="0.25">
      <c r="A379" t="s">
        <v>10</v>
      </c>
      <c r="B379" t="s">
        <v>30</v>
      </c>
      <c r="C379" t="s">
        <v>19</v>
      </c>
      <c r="D379" t="s">
        <v>12</v>
      </c>
      <c r="E379">
        <v>2014</v>
      </c>
      <c r="F379">
        <v>9967</v>
      </c>
      <c r="I379" t="s">
        <v>25</v>
      </c>
    </row>
    <row r="380" spans="1:9" hidden="1" x14ac:dyDescent="0.25">
      <c r="A380" t="s">
        <v>22</v>
      </c>
      <c r="B380" t="s">
        <v>24</v>
      </c>
      <c r="C380" t="s">
        <v>19</v>
      </c>
      <c r="D380" t="s">
        <v>12</v>
      </c>
      <c r="E380">
        <v>2014</v>
      </c>
      <c r="F380">
        <v>150</v>
      </c>
      <c r="I380" t="s">
        <v>25</v>
      </c>
    </row>
    <row r="381" spans="1:9" hidden="1" x14ac:dyDescent="0.25">
      <c r="A381" t="s">
        <v>22</v>
      </c>
      <c r="B381" t="s">
        <v>26</v>
      </c>
      <c r="C381" t="s">
        <v>19</v>
      </c>
      <c r="D381" t="s">
        <v>12</v>
      </c>
      <c r="E381">
        <v>2014</v>
      </c>
      <c r="F381">
        <v>151</v>
      </c>
      <c r="I381" t="s">
        <v>25</v>
      </c>
    </row>
    <row r="382" spans="1:9" hidden="1" x14ac:dyDescent="0.25">
      <c r="A382" t="s">
        <v>22</v>
      </c>
      <c r="B382" t="s">
        <v>27</v>
      </c>
      <c r="C382" t="s">
        <v>19</v>
      </c>
      <c r="D382" t="s">
        <v>12</v>
      </c>
      <c r="E382">
        <v>2014</v>
      </c>
      <c r="F382">
        <v>21</v>
      </c>
      <c r="I382" t="s">
        <v>25</v>
      </c>
    </row>
    <row r="383" spans="1:9" hidden="1" x14ac:dyDescent="0.25">
      <c r="A383" t="s">
        <v>22</v>
      </c>
      <c r="B383" t="s">
        <v>28</v>
      </c>
      <c r="C383" t="s">
        <v>19</v>
      </c>
      <c r="D383" t="s">
        <v>12</v>
      </c>
      <c r="E383">
        <v>2014</v>
      </c>
      <c r="F383">
        <v>67</v>
      </c>
      <c r="I383" t="s">
        <v>25</v>
      </c>
    </row>
    <row r="384" spans="1:9" hidden="1" x14ac:dyDescent="0.25">
      <c r="A384" t="s">
        <v>22</v>
      </c>
      <c r="B384" t="s">
        <v>29</v>
      </c>
      <c r="C384" t="s">
        <v>19</v>
      </c>
      <c r="D384" t="s">
        <v>12</v>
      </c>
      <c r="E384">
        <v>2014</v>
      </c>
      <c r="F384">
        <v>5</v>
      </c>
      <c r="I384" t="s">
        <v>25</v>
      </c>
    </row>
    <row r="385" spans="1:9" hidden="1" x14ac:dyDescent="0.25">
      <c r="A385" t="s">
        <v>22</v>
      </c>
      <c r="B385" t="s">
        <v>30</v>
      </c>
      <c r="C385" t="s">
        <v>19</v>
      </c>
      <c r="D385" t="s">
        <v>12</v>
      </c>
      <c r="E385">
        <v>2014</v>
      </c>
      <c r="F385">
        <v>164</v>
      </c>
      <c r="I385" t="s">
        <v>25</v>
      </c>
    </row>
    <row r="386" spans="1:9" hidden="1" x14ac:dyDescent="0.25">
      <c r="A386" t="s">
        <v>21</v>
      </c>
      <c r="B386" t="s">
        <v>26</v>
      </c>
      <c r="C386" t="s">
        <v>19</v>
      </c>
      <c r="D386" t="s">
        <v>15</v>
      </c>
      <c r="E386">
        <v>2014</v>
      </c>
      <c r="F386">
        <v>9</v>
      </c>
      <c r="I386" t="s">
        <v>25</v>
      </c>
    </row>
    <row r="387" spans="1:9" hidden="1" x14ac:dyDescent="0.25">
      <c r="A387" t="s">
        <v>21</v>
      </c>
      <c r="B387" t="s">
        <v>28</v>
      </c>
      <c r="C387" t="s">
        <v>19</v>
      </c>
      <c r="D387" t="s">
        <v>15</v>
      </c>
      <c r="E387">
        <v>2014</v>
      </c>
      <c r="F387">
        <v>260</v>
      </c>
      <c r="I387" t="s">
        <v>25</v>
      </c>
    </row>
    <row r="388" spans="1:9" hidden="1" x14ac:dyDescent="0.25">
      <c r="A388" t="s">
        <v>21</v>
      </c>
      <c r="B388" t="s">
        <v>29</v>
      </c>
      <c r="C388" t="s">
        <v>19</v>
      </c>
      <c r="D388" t="s">
        <v>15</v>
      </c>
      <c r="E388">
        <v>2014</v>
      </c>
      <c r="F388">
        <v>20</v>
      </c>
      <c r="I388" t="s">
        <v>25</v>
      </c>
    </row>
    <row r="389" spans="1:9" hidden="1" x14ac:dyDescent="0.25">
      <c r="A389" t="s">
        <v>21</v>
      </c>
      <c r="B389" t="s">
        <v>30</v>
      </c>
      <c r="C389" t="s">
        <v>19</v>
      </c>
      <c r="D389" t="s">
        <v>15</v>
      </c>
      <c r="E389">
        <v>2014</v>
      </c>
      <c r="F389">
        <v>72</v>
      </c>
      <c r="I389" t="s">
        <v>25</v>
      </c>
    </row>
    <row r="390" spans="1:9" hidden="1" x14ac:dyDescent="0.25">
      <c r="A390" t="s">
        <v>10</v>
      </c>
      <c r="B390" t="s">
        <v>26</v>
      </c>
      <c r="C390" t="s">
        <v>19</v>
      </c>
      <c r="D390" t="s">
        <v>15</v>
      </c>
      <c r="E390">
        <v>2014</v>
      </c>
      <c r="F390">
        <v>2647</v>
      </c>
      <c r="I390" t="s">
        <v>25</v>
      </c>
    </row>
    <row r="391" spans="1:9" hidden="1" x14ac:dyDescent="0.25">
      <c r="A391" t="s">
        <v>10</v>
      </c>
      <c r="B391" t="s">
        <v>28</v>
      </c>
      <c r="C391" t="s">
        <v>19</v>
      </c>
      <c r="D391" t="s">
        <v>15</v>
      </c>
      <c r="E391">
        <v>2014</v>
      </c>
      <c r="F391">
        <v>10622</v>
      </c>
      <c r="I391" t="s">
        <v>25</v>
      </c>
    </row>
    <row r="392" spans="1:9" hidden="1" x14ac:dyDescent="0.25">
      <c r="A392" t="s">
        <v>10</v>
      </c>
      <c r="B392" t="s">
        <v>29</v>
      </c>
      <c r="C392" t="s">
        <v>19</v>
      </c>
      <c r="D392" t="s">
        <v>15</v>
      </c>
      <c r="E392">
        <v>2014</v>
      </c>
      <c r="F392">
        <f>441+752+48-46</f>
        <v>1195</v>
      </c>
      <c r="I392" t="s">
        <v>25</v>
      </c>
    </row>
    <row r="393" spans="1:9" hidden="1" x14ac:dyDescent="0.25">
      <c r="A393" t="s">
        <v>10</v>
      </c>
      <c r="B393" t="s">
        <v>30</v>
      </c>
      <c r="C393" t="s">
        <v>19</v>
      </c>
      <c r="D393" t="s">
        <v>15</v>
      </c>
      <c r="E393">
        <v>2014</v>
      </c>
      <c r="F393">
        <v>5270</v>
      </c>
      <c r="I393" t="s">
        <v>25</v>
      </c>
    </row>
    <row r="394" spans="1:9" hidden="1" x14ac:dyDescent="0.25">
      <c r="A394" t="s">
        <v>22</v>
      </c>
      <c r="B394" t="s">
        <v>26</v>
      </c>
      <c r="C394" t="s">
        <v>19</v>
      </c>
      <c r="D394" t="s">
        <v>15</v>
      </c>
      <c r="E394">
        <v>2014</v>
      </c>
      <c r="F394">
        <v>75</v>
      </c>
      <c r="I394" t="s">
        <v>25</v>
      </c>
    </row>
    <row r="395" spans="1:9" hidden="1" x14ac:dyDescent="0.25">
      <c r="A395" t="s">
        <v>22</v>
      </c>
      <c r="B395" t="s">
        <v>28</v>
      </c>
      <c r="C395" t="s">
        <v>19</v>
      </c>
      <c r="D395" t="s">
        <v>15</v>
      </c>
      <c r="E395">
        <v>2014</v>
      </c>
      <c r="F395">
        <v>154</v>
      </c>
      <c r="I395" t="s">
        <v>25</v>
      </c>
    </row>
    <row r="396" spans="1:9" hidden="1" x14ac:dyDescent="0.25">
      <c r="A396" t="s">
        <v>22</v>
      </c>
      <c r="B396" t="s">
        <v>29</v>
      </c>
      <c r="C396" t="s">
        <v>19</v>
      </c>
      <c r="D396" t="s">
        <v>15</v>
      </c>
      <c r="E396">
        <v>2014</v>
      </c>
      <c r="F396">
        <v>10</v>
      </c>
      <c r="I396" t="s">
        <v>25</v>
      </c>
    </row>
    <row r="397" spans="1:9" hidden="1" x14ac:dyDescent="0.25">
      <c r="A397" t="s">
        <v>22</v>
      </c>
      <c r="B397" t="s">
        <v>30</v>
      </c>
      <c r="C397" t="s">
        <v>19</v>
      </c>
      <c r="D397" t="s">
        <v>15</v>
      </c>
      <c r="E397">
        <v>2014</v>
      </c>
      <c r="F397">
        <v>76</v>
      </c>
      <c r="I397" t="s">
        <v>25</v>
      </c>
    </row>
    <row r="398" spans="1:9" hidden="1" x14ac:dyDescent="0.25">
      <c r="A398" t="s">
        <v>21</v>
      </c>
      <c r="B398" t="s">
        <v>24</v>
      </c>
      <c r="C398" t="s">
        <v>20</v>
      </c>
      <c r="D398" t="s">
        <v>12</v>
      </c>
      <c r="E398">
        <v>2014</v>
      </c>
      <c r="F398">
        <v>582</v>
      </c>
      <c r="I398" t="s">
        <v>25</v>
      </c>
    </row>
    <row r="399" spans="1:9" hidden="1" x14ac:dyDescent="0.25">
      <c r="A399" t="s">
        <v>21</v>
      </c>
      <c r="B399" t="s">
        <v>26</v>
      </c>
      <c r="C399" t="s">
        <v>20</v>
      </c>
      <c r="D399" t="s">
        <v>12</v>
      </c>
      <c r="E399">
        <v>2014</v>
      </c>
      <c r="F399">
        <v>9</v>
      </c>
      <c r="I399" t="s">
        <v>25</v>
      </c>
    </row>
    <row r="400" spans="1:9" hidden="1" x14ac:dyDescent="0.25">
      <c r="A400" t="s">
        <v>21</v>
      </c>
      <c r="B400" t="s">
        <v>27</v>
      </c>
      <c r="C400" t="s">
        <v>20</v>
      </c>
      <c r="D400" t="s">
        <v>12</v>
      </c>
      <c r="E400">
        <v>2014</v>
      </c>
      <c r="F400">
        <v>13</v>
      </c>
      <c r="I400" t="s">
        <v>25</v>
      </c>
    </row>
    <row r="401" spans="1:9" hidden="1" x14ac:dyDescent="0.25">
      <c r="A401" t="s">
        <v>21</v>
      </c>
      <c r="B401" t="s">
        <v>28</v>
      </c>
      <c r="C401" t="s">
        <v>20</v>
      </c>
      <c r="D401" t="s">
        <v>12</v>
      </c>
      <c r="E401">
        <v>2014</v>
      </c>
      <c r="F401">
        <v>26</v>
      </c>
      <c r="I401" t="s">
        <v>25</v>
      </c>
    </row>
    <row r="402" spans="1:9" hidden="1" x14ac:dyDescent="0.25">
      <c r="A402" t="s">
        <v>21</v>
      </c>
      <c r="B402" t="s">
        <v>29</v>
      </c>
      <c r="C402" t="s">
        <v>20</v>
      </c>
      <c r="D402" t="s">
        <v>12</v>
      </c>
      <c r="E402">
        <v>2014</v>
      </c>
      <c r="F402">
        <v>0</v>
      </c>
      <c r="I402" t="s">
        <v>25</v>
      </c>
    </row>
    <row r="403" spans="1:9" hidden="1" x14ac:dyDescent="0.25">
      <c r="A403" t="s">
        <v>21</v>
      </c>
      <c r="B403" t="s">
        <v>30</v>
      </c>
      <c r="C403" t="s">
        <v>20</v>
      </c>
      <c r="D403" t="s">
        <v>12</v>
      </c>
      <c r="E403">
        <v>2014</v>
      </c>
      <c r="F403">
        <v>106</v>
      </c>
      <c r="I403" t="s">
        <v>25</v>
      </c>
    </row>
    <row r="404" spans="1:9" hidden="1" x14ac:dyDescent="0.25">
      <c r="A404" t="s">
        <v>10</v>
      </c>
      <c r="B404" t="s">
        <v>24</v>
      </c>
      <c r="C404" t="s">
        <v>20</v>
      </c>
      <c r="D404" t="s">
        <v>12</v>
      </c>
      <c r="E404">
        <v>2014</v>
      </c>
      <c r="F404">
        <v>13541</v>
      </c>
      <c r="I404" t="s">
        <v>25</v>
      </c>
    </row>
    <row r="405" spans="1:9" hidden="1" x14ac:dyDescent="0.25">
      <c r="A405" t="s">
        <v>10</v>
      </c>
      <c r="B405" t="s">
        <v>26</v>
      </c>
      <c r="C405" t="s">
        <v>20</v>
      </c>
      <c r="D405" t="s">
        <v>12</v>
      </c>
      <c r="E405">
        <v>2014</v>
      </c>
      <c r="F405">
        <v>5055</v>
      </c>
      <c r="I405" t="s">
        <v>25</v>
      </c>
    </row>
    <row r="406" spans="1:9" hidden="1" x14ac:dyDescent="0.25">
      <c r="A406" t="s">
        <v>10</v>
      </c>
      <c r="B406" t="s">
        <v>27</v>
      </c>
      <c r="C406" t="s">
        <v>20</v>
      </c>
      <c r="D406" t="s">
        <v>12</v>
      </c>
      <c r="E406">
        <v>2014</v>
      </c>
      <c r="F406">
        <v>1069</v>
      </c>
      <c r="I406" t="s">
        <v>25</v>
      </c>
    </row>
    <row r="407" spans="1:9" hidden="1" x14ac:dyDescent="0.25">
      <c r="A407" t="s">
        <v>10</v>
      </c>
      <c r="B407" t="s">
        <v>28</v>
      </c>
      <c r="C407" t="s">
        <v>20</v>
      </c>
      <c r="D407" t="s">
        <v>12</v>
      </c>
      <c r="E407">
        <v>2014</v>
      </c>
      <c r="F407">
        <v>2038</v>
      </c>
      <c r="I407" t="s">
        <v>25</v>
      </c>
    </row>
    <row r="408" spans="1:9" hidden="1" x14ac:dyDescent="0.25">
      <c r="A408" t="s">
        <v>10</v>
      </c>
      <c r="B408" t="s">
        <v>29</v>
      </c>
      <c r="C408" t="s">
        <v>20</v>
      </c>
      <c r="D408" t="s">
        <v>12</v>
      </c>
      <c r="E408">
        <v>2014</v>
      </c>
      <c r="F408">
        <f>1+447+27-18</f>
        <v>457</v>
      </c>
      <c r="I408" t="s">
        <v>25</v>
      </c>
    </row>
    <row r="409" spans="1:9" hidden="1" x14ac:dyDescent="0.25">
      <c r="A409" t="s">
        <v>10</v>
      </c>
      <c r="B409" t="s">
        <v>30</v>
      </c>
      <c r="C409" t="s">
        <v>20</v>
      </c>
      <c r="D409" t="s">
        <v>12</v>
      </c>
      <c r="E409">
        <v>2014</v>
      </c>
      <c r="F409">
        <v>5840</v>
      </c>
      <c r="I409" t="s">
        <v>25</v>
      </c>
    </row>
    <row r="410" spans="1:9" hidden="1" x14ac:dyDescent="0.25">
      <c r="A410" t="s">
        <v>22</v>
      </c>
      <c r="B410" t="s">
        <v>24</v>
      </c>
      <c r="C410" t="s">
        <v>20</v>
      </c>
      <c r="D410" t="s">
        <v>12</v>
      </c>
      <c r="E410">
        <v>2014</v>
      </c>
      <c r="F410">
        <v>88</v>
      </c>
      <c r="I410" t="s">
        <v>25</v>
      </c>
    </row>
    <row r="411" spans="1:9" hidden="1" x14ac:dyDescent="0.25">
      <c r="A411" t="s">
        <v>22</v>
      </c>
      <c r="B411" t="s">
        <v>26</v>
      </c>
      <c r="C411" t="s">
        <v>20</v>
      </c>
      <c r="D411" t="s">
        <v>12</v>
      </c>
      <c r="E411">
        <v>2014</v>
      </c>
      <c r="F411">
        <v>147</v>
      </c>
      <c r="I411" t="s">
        <v>25</v>
      </c>
    </row>
    <row r="412" spans="1:9" hidden="1" x14ac:dyDescent="0.25">
      <c r="A412" t="s">
        <v>22</v>
      </c>
      <c r="B412" t="s">
        <v>27</v>
      </c>
      <c r="C412" t="s">
        <v>20</v>
      </c>
      <c r="D412" t="s">
        <v>12</v>
      </c>
      <c r="E412">
        <v>2014</v>
      </c>
      <c r="F412">
        <v>28</v>
      </c>
      <c r="I412" t="s">
        <v>25</v>
      </c>
    </row>
    <row r="413" spans="1:9" hidden="1" x14ac:dyDescent="0.25">
      <c r="A413" t="s">
        <v>22</v>
      </c>
      <c r="B413" t="s">
        <v>28</v>
      </c>
      <c r="C413" t="s">
        <v>20</v>
      </c>
      <c r="D413" t="s">
        <v>12</v>
      </c>
      <c r="E413">
        <v>2014</v>
      </c>
      <c r="F413">
        <v>34</v>
      </c>
      <c r="I413" t="s">
        <v>25</v>
      </c>
    </row>
    <row r="414" spans="1:9" hidden="1" x14ac:dyDescent="0.25">
      <c r="A414" t="s">
        <v>22</v>
      </c>
      <c r="B414" t="s">
        <v>29</v>
      </c>
      <c r="C414" t="s">
        <v>20</v>
      </c>
      <c r="D414" t="s">
        <v>12</v>
      </c>
      <c r="E414">
        <v>2014</v>
      </c>
      <c r="F414">
        <v>6</v>
      </c>
      <c r="I414" t="s">
        <v>25</v>
      </c>
    </row>
    <row r="415" spans="1:9" hidden="1" x14ac:dyDescent="0.25">
      <c r="A415" t="s">
        <v>22</v>
      </c>
      <c r="B415" t="s">
        <v>30</v>
      </c>
      <c r="C415" t="s">
        <v>20</v>
      </c>
      <c r="D415" t="s">
        <v>12</v>
      </c>
      <c r="E415">
        <v>2014</v>
      </c>
      <c r="F415">
        <v>104</v>
      </c>
      <c r="I415" t="s">
        <v>25</v>
      </c>
    </row>
    <row r="416" spans="1:9" hidden="1" x14ac:dyDescent="0.25">
      <c r="A416" t="s">
        <v>21</v>
      </c>
      <c r="B416" t="s">
        <v>26</v>
      </c>
      <c r="C416" t="s">
        <v>20</v>
      </c>
      <c r="D416" t="s">
        <v>15</v>
      </c>
      <c r="E416">
        <v>2014</v>
      </c>
      <c r="F416">
        <v>12</v>
      </c>
      <c r="I416" t="s">
        <v>25</v>
      </c>
    </row>
    <row r="417" spans="1:9" hidden="1" x14ac:dyDescent="0.25">
      <c r="A417" t="s">
        <v>21</v>
      </c>
      <c r="B417" t="s">
        <v>28</v>
      </c>
      <c r="C417" t="s">
        <v>20</v>
      </c>
      <c r="D417" t="s">
        <v>15</v>
      </c>
      <c r="E417">
        <v>2014</v>
      </c>
      <c r="F417">
        <v>107</v>
      </c>
      <c r="I417" t="s">
        <v>25</v>
      </c>
    </row>
    <row r="418" spans="1:9" hidden="1" x14ac:dyDescent="0.25">
      <c r="A418" t="s">
        <v>21</v>
      </c>
      <c r="B418" t="s">
        <v>29</v>
      </c>
      <c r="C418" t="s">
        <v>20</v>
      </c>
      <c r="D418" t="s">
        <v>15</v>
      </c>
      <c r="E418">
        <v>2014</v>
      </c>
      <c r="F418">
        <v>19</v>
      </c>
      <c r="I418" t="s">
        <v>25</v>
      </c>
    </row>
    <row r="419" spans="1:9" hidden="1" x14ac:dyDescent="0.25">
      <c r="A419" t="s">
        <v>21</v>
      </c>
      <c r="B419" t="s">
        <v>30</v>
      </c>
      <c r="C419" t="s">
        <v>20</v>
      </c>
      <c r="D419" t="s">
        <v>15</v>
      </c>
      <c r="E419">
        <v>2014</v>
      </c>
      <c r="F419">
        <v>23</v>
      </c>
      <c r="I419" t="s">
        <v>25</v>
      </c>
    </row>
    <row r="420" spans="1:9" hidden="1" x14ac:dyDescent="0.25">
      <c r="A420" t="s">
        <v>10</v>
      </c>
      <c r="B420" t="s">
        <v>26</v>
      </c>
      <c r="C420" t="s">
        <v>20</v>
      </c>
      <c r="D420" t="s">
        <v>15</v>
      </c>
      <c r="E420">
        <v>2014</v>
      </c>
      <c r="F420">
        <v>2257</v>
      </c>
      <c r="I420" t="s">
        <v>25</v>
      </c>
    </row>
    <row r="421" spans="1:9" hidden="1" x14ac:dyDescent="0.25">
      <c r="A421" t="s">
        <v>10</v>
      </c>
      <c r="B421" t="s">
        <v>28</v>
      </c>
      <c r="C421" t="s">
        <v>20</v>
      </c>
      <c r="D421" t="s">
        <v>15</v>
      </c>
      <c r="E421">
        <v>2014</v>
      </c>
      <c r="F421">
        <v>5710</v>
      </c>
      <c r="I421" t="s">
        <v>25</v>
      </c>
    </row>
    <row r="422" spans="1:9" hidden="1" x14ac:dyDescent="0.25">
      <c r="A422" t="s">
        <v>10</v>
      </c>
      <c r="B422" t="s">
        <v>29</v>
      </c>
      <c r="C422" t="s">
        <v>20</v>
      </c>
      <c r="D422" t="s">
        <v>15</v>
      </c>
      <c r="E422">
        <v>2014</v>
      </c>
      <c r="F422">
        <f>345+461+24-26</f>
        <v>804</v>
      </c>
      <c r="I422" t="s">
        <v>25</v>
      </c>
    </row>
    <row r="423" spans="1:9" hidden="1" x14ac:dyDescent="0.25">
      <c r="A423" t="s">
        <v>10</v>
      </c>
      <c r="B423" t="s">
        <v>30</v>
      </c>
      <c r="C423" t="s">
        <v>20</v>
      </c>
      <c r="D423" t="s">
        <v>15</v>
      </c>
      <c r="E423">
        <v>2014</v>
      </c>
      <c r="F423">
        <v>2326</v>
      </c>
      <c r="I423" t="s">
        <v>25</v>
      </c>
    </row>
    <row r="424" spans="1:9" hidden="1" x14ac:dyDescent="0.25">
      <c r="A424" t="s">
        <v>22</v>
      </c>
      <c r="B424" t="s">
        <v>26</v>
      </c>
      <c r="C424" t="s">
        <v>20</v>
      </c>
      <c r="D424" t="s">
        <v>15</v>
      </c>
      <c r="E424">
        <v>2014</v>
      </c>
      <c r="F424">
        <v>68</v>
      </c>
      <c r="I424" t="s">
        <v>25</v>
      </c>
    </row>
    <row r="425" spans="1:9" hidden="1" x14ac:dyDescent="0.25">
      <c r="A425" t="s">
        <v>22</v>
      </c>
      <c r="B425" t="s">
        <v>28</v>
      </c>
      <c r="C425" t="s">
        <v>20</v>
      </c>
      <c r="D425" t="s">
        <v>15</v>
      </c>
      <c r="E425">
        <v>2014</v>
      </c>
      <c r="F425">
        <v>70</v>
      </c>
      <c r="I425" t="s">
        <v>25</v>
      </c>
    </row>
    <row r="426" spans="1:9" hidden="1" x14ac:dyDescent="0.25">
      <c r="A426" t="s">
        <v>22</v>
      </c>
      <c r="B426" t="s">
        <v>29</v>
      </c>
      <c r="C426" t="s">
        <v>20</v>
      </c>
      <c r="D426" t="s">
        <v>15</v>
      </c>
      <c r="E426">
        <v>2014</v>
      </c>
      <c r="F426">
        <v>8</v>
      </c>
      <c r="I426" t="s">
        <v>25</v>
      </c>
    </row>
    <row r="427" spans="1:9" hidden="1" x14ac:dyDescent="0.25">
      <c r="A427" t="s">
        <v>22</v>
      </c>
      <c r="B427" t="s">
        <v>30</v>
      </c>
      <c r="C427" t="s">
        <v>20</v>
      </c>
      <c r="D427" t="s">
        <v>15</v>
      </c>
      <c r="E427">
        <v>2014</v>
      </c>
      <c r="F427">
        <v>32</v>
      </c>
      <c r="I427" t="s">
        <v>25</v>
      </c>
    </row>
    <row r="428" spans="1:9" hidden="1" x14ac:dyDescent="0.25">
      <c r="A428" t="s">
        <v>21</v>
      </c>
      <c r="B428" t="s">
        <v>24</v>
      </c>
      <c r="C428" t="s">
        <v>31</v>
      </c>
      <c r="D428" t="s">
        <v>12</v>
      </c>
      <c r="E428">
        <v>2014</v>
      </c>
      <c r="F428">
        <v>402</v>
      </c>
      <c r="I428" t="s">
        <v>25</v>
      </c>
    </row>
    <row r="429" spans="1:9" hidden="1" x14ac:dyDescent="0.25">
      <c r="A429" t="s">
        <v>21</v>
      </c>
      <c r="B429" t="s">
        <v>26</v>
      </c>
      <c r="C429" t="s">
        <v>31</v>
      </c>
      <c r="D429" t="s">
        <v>12</v>
      </c>
      <c r="E429">
        <v>2014</v>
      </c>
      <c r="F429">
        <v>3</v>
      </c>
      <c r="I429" t="s">
        <v>25</v>
      </c>
    </row>
    <row r="430" spans="1:9" hidden="1" x14ac:dyDescent="0.25">
      <c r="A430" t="s">
        <v>21</v>
      </c>
      <c r="B430" t="s">
        <v>27</v>
      </c>
      <c r="C430" t="s">
        <v>31</v>
      </c>
      <c r="D430" t="s">
        <v>12</v>
      </c>
      <c r="E430">
        <v>2014</v>
      </c>
      <c r="F430">
        <v>13</v>
      </c>
      <c r="I430" t="s">
        <v>25</v>
      </c>
    </row>
    <row r="431" spans="1:9" hidden="1" x14ac:dyDescent="0.25">
      <c r="A431" t="s">
        <v>21</v>
      </c>
      <c r="B431" t="s">
        <v>28</v>
      </c>
      <c r="C431" t="s">
        <v>31</v>
      </c>
      <c r="D431" t="s">
        <v>12</v>
      </c>
      <c r="E431">
        <v>2014</v>
      </c>
      <c r="F431">
        <v>7</v>
      </c>
      <c r="I431" t="s">
        <v>25</v>
      </c>
    </row>
    <row r="432" spans="1:9" hidden="1" x14ac:dyDescent="0.25">
      <c r="A432" t="s">
        <v>21</v>
      </c>
      <c r="B432" t="s">
        <v>29</v>
      </c>
      <c r="C432" t="s">
        <v>31</v>
      </c>
      <c r="D432" t="s">
        <v>12</v>
      </c>
      <c r="E432">
        <v>2014</v>
      </c>
      <c r="F432">
        <v>0</v>
      </c>
      <c r="I432" t="s">
        <v>25</v>
      </c>
    </row>
    <row r="433" spans="1:9" hidden="1" x14ac:dyDescent="0.25">
      <c r="A433" t="s">
        <v>21</v>
      </c>
      <c r="B433" t="s">
        <v>30</v>
      </c>
      <c r="C433" t="s">
        <v>31</v>
      </c>
      <c r="D433" t="s">
        <v>12</v>
      </c>
      <c r="E433">
        <v>2014</v>
      </c>
      <c r="F433">
        <v>58</v>
      </c>
      <c r="I433" t="s">
        <v>25</v>
      </c>
    </row>
    <row r="434" spans="1:9" hidden="1" x14ac:dyDescent="0.25">
      <c r="A434" t="s">
        <v>10</v>
      </c>
      <c r="B434" t="s">
        <v>24</v>
      </c>
      <c r="C434" t="s">
        <v>31</v>
      </c>
      <c r="D434" t="s">
        <v>12</v>
      </c>
      <c r="E434">
        <v>2014</v>
      </c>
      <c r="F434">
        <v>17089</v>
      </c>
      <c r="I434" t="s">
        <v>25</v>
      </c>
    </row>
    <row r="435" spans="1:9" hidden="1" x14ac:dyDescent="0.25">
      <c r="A435" t="s">
        <v>10</v>
      </c>
      <c r="B435" t="s">
        <v>26</v>
      </c>
      <c r="C435" t="s">
        <v>31</v>
      </c>
      <c r="D435" t="s">
        <v>12</v>
      </c>
      <c r="E435">
        <v>2014</v>
      </c>
      <c r="F435">
        <v>1241</v>
      </c>
      <c r="I435" t="s">
        <v>25</v>
      </c>
    </row>
    <row r="436" spans="1:9" hidden="1" x14ac:dyDescent="0.25">
      <c r="A436" t="s">
        <v>10</v>
      </c>
      <c r="B436" t="s">
        <v>27</v>
      </c>
      <c r="C436" t="s">
        <v>31</v>
      </c>
      <c r="D436" t="s">
        <v>12</v>
      </c>
      <c r="E436">
        <v>2014</v>
      </c>
      <c r="F436">
        <v>611</v>
      </c>
      <c r="I436" t="s">
        <v>25</v>
      </c>
    </row>
    <row r="437" spans="1:9" hidden="1" x14ac:dyDescent="0.25">
      <c r="A437" t="s">
        <v>10</v>
      </c>
      <c r="B437" t="s">
        <v>28</v>
      </c>
      <c r="C437" t="s">
        <v>31</v>
      </c>
      <c r="D437" t="s">
        <v>12</v>
      </c>
      <c r="E437">
        <v>2014</v>
      </c>
      <c r="F437">
        <v>512</v>
      </c>
      <c r="I437" t="s">
        <v>25</v>
      </c>
    </row>
    <row r="438" spans="1:9" hidden="1" x14ac:dyDescent="0.25">
      <c r="A438" t="s">
        <v>10</v>
      </c>
      <c r="B438" t="s">
        <v>29</v>
      </c>
      <c r="C438" t="s">
        <v>31</v>
      </c>
      <c r="D438" t="s">
        <v>12</v>
      </c>
      <c r="E438">
        <v>2014</v>
      </c>
      <c r="F438">
        <f>1+67+46-3</f>
        <v>111</v>
      </c>
      <c r="I438" t="s">
        <v>25</v>
      </c>
    </row>
    <row r="439" spans="1:9" hidden="1" x14ac:dyDescent="0.25">
      <c r="A439" t="s">
        <v>10</v>
      </c>
      <c r="B439" t="s">
        <v>30</v>
      </c>
      <c r="C439" t="s">
        <v>31</v>
      </c>
      <c r="D439" t="s">
        <v>12</v>
      </c>
      <c r="E439">
        <v>2014</v>
      </c>
      <c r="F439">
        <v>2891</v>
      </c>
      <c r="I439" t="s">
        <v>25</v>
      </c>
    </row>
    <row r="440" spans="1:9" hidden="1" x14ac:dyDescent="0.25">
      <c r="A440" t="s">
        <v>22</v>
      </c>
      <c r="B440" t="s">
        <v>24</v>
      </c>
      <c r="C440" t="s">
        <v>31</v>
      </c>
      <c r="D440" t="s">
        <v>12</v>
      </c>
      <c r="E440">
        <v>2014</v>
      </c>
      <c r="F440">
        <v>127</v>
      </c>
      <c r="I440" t="s">
        <v>25</v>
      </c>
    </row>
    <row r="441" spans="1:9" hidden="1" x14ac:dyDescent="0.25">
      <c r="A441" t="s">
        <v>22</v>
      </c>
      <c r="B441" t="s">
        <v>26</v>
      </c>
      <c r="C441" t="s">
        <v>31</v>
      </c>
      <c r="D441" t="s">
        <v>12</v>
      </c>
      <c r="E441">
        <v>2014</v>
      </c>
      <c r="F441">
        <v>43</v>
      </c>
      <c r="I441" t="s">
        <v>25</v>
      </c>
    </row>
    <row r="442" spans="1:9" hidden="1" x14ac:dyDescent="0.25">
      <c r="A442" t="s">
        <v>22</v>
      </c>
      <c r="B442" t="s">
        <v>27</v>
      </c>
      <c r="C442" t="s">
        <v>31</v>
      </c>
      <c r="D442" t="s">
        <v>12</v>
      </c>
      <c r="E442">
        <v>2014</v>
      </c>
      <c r="F442">
        <v>9</v>
      </c>
      <c r="I442" t="s">
        <v>25</v>
      </c>
    </row>
    <row r="443" spans="1:9" hidden="1" x14ac:dyDescent="0.25">
      <c r="A443" t="s">
        <v>22</v>
      </c>
      <c r="B443" t="s">
        <v>28</v>
      </c>
      <c r="C443" t="s">
        <v>31</v>
      </c>
      <c r="D443" t="s">
        <v>12</v>
      </c>
      <c r="E443">
        <v>2014</v>
      </c>
      <c r="F443">
        <v>6</v>
      </c>
      <c r="I443" t="s">
        <v>25</v>
      </c>
    </row>
    <row r="444" spans="1:9" hidden="1" x14ac:dyDescent="0.25">
      <c r="A444" t="s">
        <v>22</v>
      </c>
      <c r="B444" t="s">
        <v>29</v>
      </c>
      <c r="C444" t="s">
        <v>31</v>
      </c>
      <c r="D444" t="s">
        <v>12</v>
      </c>
      <c r="E444">
        <v>2014</v>
      </c>
      <c r="F444">
        <v>1</v>
      </c>
      <c r="I444" t="s">
        <v>25</v>
      </c>
    </row>
    <row r="445" spans="1:9" hidden="1" x14ac:dyDescent="0.25">
      <c r="A445" t="s">
        <v>22</v>
      </c>
      <c r="B445" t="s">
        <v>30</v>
      </c>
      <c r="C445" t="s">
        <v>31</v>
      </c>
      <c r="D445" t="s">
        <v>12</v>
      </c>
      <c r="E445">
        <v>2014</v>
      </c>
      <c r="F445">
        <v>48</v>
      </c>
      <c r="I445" t="s">
        <v>25</v>
      </c>
    </row>
    <row r="446" spans="1:9" hidden="1" x14ac:dyDescent="0.25">
      <c r="A446" t="s">
        <v>21</v>
      </c>
      <c r="B446" t="s">
        <v>26</v>
      </c>
      <c r="C446" t="s">
        <v>31</v>
      </c>
      <c r="D446" t="s">
        <v>15</v>
      </c>
      <c r="E446">
        <v>2014</v>
      </c>
      <c r="F446">
        <v>3</v>
      </c>
      <c r="I446" t="s">
        <v>25</v>
      </c>
    </row>
    <row r="447" spans="1:9" hidden="1" x14ac:dyDescent="0.25">
      <c r="A447" t="s">
        <v>21</v>
      </c>
      <c r="B447" t="s">
        <v>28</v>
      </c>
      <c r="C447" t="s">
        <v>31</v>
      </c>
      <c r="D447" t="s">
        <v>15</v>
      </c>
      <c r="E447">
        <v>2014</v>
      </c>
      <c r="F447">
        <v>21</v>
      </c>
      <c r="I447" t="s">
        <v>25</v>
      </c>
    </row>
    <row r="448" spans="1:9" hidden="1" x14ac:dyDescent="0.25">
      <c r="A448" t="s">
        <v>21</v>
      </c>
      <c r="B448" t="s">
        <v>29</v>
      </c>
      <c r="C448" t="s">
        <v>31</v>
      </c>
      <c r="D448" t="s">
        <v>15</v>
      </c>
      <c r="E448">
        <v>2014</v>
      </c>
      <c r="F448">
        <v>2</v>
      </c>
      <c r="I448" t="s">
        <v>25</v>
      </c>
    </row>
    <row r="449" spans="1:9" hidden="1" x14ac:dyDescent="0.25">
      <c r="A449" t="s">
        <v>21</v>
      </c>
      <c r="B449" t="s">
        <v>30</v>
      </c>
      <c r="C449" t="s">
        <v>31</v>
      </c>
      <c r="D449" t="s">
        <v>15</v>
      </c>
      <c r="E449">
        <v>2014</v>
      </c>
      <c r="F449">
        <v>6</v>
      </c>
      <c r="I449" t="s">
        <v>25</v>
      </c>
    </row>
    <row r="450" spans="1:9" hidden="1" x14ac:dyDescent="0.25">
      <c r="A450" t="s">
        <v>10</v>
      </c>
      <c r="B450" t="s">
        <v>26</v>
      </c>
      <c r="C450" t="s">
        <v>31</v>
      </c>
      <c r="D450" t="s">
        <v>15</v>
      </c>
      <c r="E450">
        <v>2014</v>
      </c>
      <c r="F450">
        <v>635</v>
      </c>
      <c r="I450" t="s">
        <v>25</v>
      </c>
    </row>
    <row r="451" spans="1:9" hidden="1" x14ac:dyDescent="0.25">
      <c r="A451" t="s">
        <v>10</v>
      </c>
      <c r="B451" t="s">
        <v>28</v>
      </c>
      <c r="C451" t="s">
        <v>31</v>
      </c>
      <c r="D451" t="s">
        <v>15</v>
      </c>
      <c r="E451">
        <v>2014</v>
      </c>
      <c r="F451">
        <v>1178</v>
      </c>
      <c r="I451" t="s">
        <v>25</v>
      </c>
    </row>
    <row r="452" spans="1:9" hidden="1" x14ac:dyDescent="0.25">
      <c r="A452" t="s">
        <v>10</v>
      </c>
      <c r="B452" t="s">
        <v>29</v>
      </c>
      <c r="C452" t="s">
        <v>31</v>
      </c>
      <c r="D452" t="s">
        <v>15</v>
      </c>
      <c r="E452">
        <v>2014</v>
      </c>
      <c r="F452">
        <f>59+71+20-3</f>
        <v>147</v>
      </c>
      <c r="I452" t="s">
        <v>25</v>
      </c>
    </row>
    <row r="453" spans="1:9" hidden="1" x14ac:dyDescent="0.25">
      <c r="A453" t="s">
        <v>10</v>
      </c>
      <c r="B453" t="s">
        <v>30</v>
      </c>
      <c r="C453" t="s">
        <v>31</v>
      </c>
      <c r="D453" t="s">
        <v>15</v>
      </c>
      <c r="E453">
        <v>2014</v>
      </c>
      <c r="F453">
        <v>566</v>
      </c>
      <c r="I453" t="s">
        <v>25</v>
      </c>
    </row>
    <row r="454" spans="1:9" hidden="1" x14ac:dyDescent="0.25">
      <c r="A454" t="s">
        <v>22</v>
      </c>
      <c r="B454" t="s">
        <v>26</v>
      </c>
      <c r="C454" t="s">
        <v>31</v>
      </c>
      <c r="D454" t="s">
        <v>15</v>
      </c>
      <c r="E454">
        <v>2014</v>
      </c>
      <c r="F454">
        <v>18</v>
      </c>
      <c r="I454" t="s">
        <v>25</v>
      </c>
    </row>
    <row r="455" spans="1:9" hidden="1" x14ac:dyDescent="0.25">
      <c r="A455" t="s">
        <v>22</v>
      </c>
      <c r="B455" t="s">
        <v>28</v>
      </c>
      <c r="C455" t="s">
        <v>31</v>
      </c>
      <c r="D455" t="s">
        <v>15</v>
      </c>
      <c r="E455">
        <v>2014</v>
      </c>
      <c r="F455">
        <v>9</v>
      </c>
      <c r="I455" t="s">
        <v>25</v>
      </c>
    </row>
    <row r="456" spans="1:9" hidden="1" x14ac:dyDescent="0.25">
      <c r="A456" t="s">
        <v>22</v>
      </c>
      <c r="B456" t="s">
        <v>29</v>
      </c>
      <c r="C456" t="s">
        <v>31</v>
      </c>
      <c r="D456" t="s">
        <v>15</v>
      </c>
      <c r="E456">
        <v>2014</v>
      </c>
      <c r="F456">
        <v>1</v>
      </c>
      <c r="I456" t="s">
        <v>25</v>
      </c>
    </row>
    <row r="457" spans="1:9" hidden="1" x14ac:dyDescent="0.25">
      <c r="A457" t="s">
        <v>22</v>
      </c>
      <c r="B457" t="s">
        <v>30</v>
      </c>
      <c r="C457" t="s">
        <v>31</v>
      </c>
      <c r="D457" t="s">
        <v>15</v>
      </c>
      <c r="E457">
        <v>2014</v>
      </c>
      <c r="F457">
        <v>10</v>
      </c>
      <c r="I457" t="s">
        <v>25</v>
      </c>
    </row>
    <row r="458" spans="1:9" hidden="1" x14ac:dyDescent="0.25">
      <c r="A458" t="s">
        <v>21</v>
      </c>
      <c r="B458" t="s">
        <v>24</v>
      </c>
      <c r="C458" t="s">
        <v>19</v>
      </c>
      <c r="D458" t="s">
        <v>12</v>
      </c>
      <c r="E458">
        <v>2015</v>
      </c>
      <c r="F458">
        <v>446</v>
      </c>
      <c r="I458" t="s">
        <v>25</v>
      </c>
    </row>
    <row r="459" spans="1:9" hidden="1" x14ac:dyDescent="0.25">
      <c r="A459" t="s">
        <v>21</v>
      </c>
      <c r="B459" t="s">
        <v>26</v>
      </c>
      <c r="C459" t="s">
        <v>19</v>
      </c>
      <c r="D459" t="s">
        <v>12</v>
      </c>
      <c r="E459">
        <v>2015</v>
      </c>
      <c r="F459">
        <v>5</v>
      </c>
      <c r="I459" t="s">
        <v>25</v>
      </c>
    </row>
    <row r="460" spans="1:9" hidden="1" x14ac:dyDescent="0.25">
      <c r="A460" t="s">
        <v>21</v>
      </c>
      <c r="B460" t="s">
        <v>27</v>
      </c>
      <c r="C460" t="s">
        <v>19</v>
      </c>
      <c r="D460" t="s">
        <v>12</v>
      </c>
      <c r="E460">
        <v>2015</v>
      </c>
      <c r="F460">
        <v>9</v>
      </c>
      <c r="I460" t="s">
        <v>25</v>
      </c>
    </row>
    <row r="461" spans="1:9" hidden="1" x14ac:dyDescent="0.25">
      <c r="A461" t="s">
        <v>21</v>
      </c>
      <c r="B461" t="s">
        <v>28</v>
      </c>
      <c r="C461" t="s">
        <v>19</v>
      </c>
      <c r="D461" t="s">
        <v>12</v>
      </c>
      <c r="E461">
        <v>2015</v>
      </c>
      <c r="F461">
        <v>60</v>
      </c>
      <c r="I461" t="s">
        <v>25</v>
      </c>
    </row>
    <row r="462" spans="1:9" hidden="1" x14ac:dyDescent="0.25">
      <c r="A462" t="s">
        <v>21</v>
      </c>
      <c r="B462" t="s">
        <v>29</v>
      </c>
      <c r="C462" t="s">
        <v>19</v>
      </c>
      <c r="D462" t="s">
        <v>12</v>
      </c>
      <c r="E462">
        <v>2015</v>
      </c>
      <c r="F462">
        <v>0</v>
      </c>
      <c r="I462" t="s">
        <v>25</v>
      </c>
    </row>
    <row r="463" spans="1:9" hidden="1" x14ac:dyDescent="0.25">
      <c r="A463" t="s">
        <v>21</v>
      </c>
      <c r="B463" t="s">
        <v>30</v>
      </c>
      <c r="C463" t="s">
        <v>19</v>
      </c>
      <c r="D463" t="s">
        <v>12</v>
      </c>
      <c r="E463">
        <v>2015</v>
      </c>
      <c r="F463">
        <v>224</v>
      </c>
      <c r="I463" t="s">
        <v>25</v>
      </c>
    </row>
    <row r="464" spans="1:9" hidden="1" x14ac:dyDescent="0.25">
      <c r="A464" t="s">
        <v>10</v>
      </c>
      <c r="B464" t="s">
        <v>24</v>
      </c>
      <c r="C464" t="s">
        <v>19</v>
      </c>
      <c r="D464" t="s">
        <v>12</v>
      </c>
      <c r="E464">
        <v>2015</v>
      </c>
      <c r="F464">
        <v>14416</v>
      </c>
      <c r="I464" t="s">
        <v>25</v>
      </c>
    </row>
    <row r="465" spans="1:9" hidden="1" x14ac:dyDescent="0.25">
      <c r="A465" t="s">
        <v>10</v>
      </c>
      <c r="B465" t="s">
        <v>26</v>
      </c>
      <c r="C465" t="s">
        <v>19</v>
      </c>
      <c r="D465" t="s">
        <v>12</v>
      </c>
      <c r="E465">
        <v>2015</v>
      </c>
      <c r="F465">
        <v>4227</v>
      </c>
      <c r="I465" t="s">
        <v>25</v>
      </c>
    </row>
    <row r="466" spans="1:9" hidden="1" x14ac:dyDescent="0.25">
      <c r="A466" t="s">
        <v>10</v>
      </c>
      <c r="B466" t="s">
        <v>27</v>
      </c>
      <c r="C466" t="s">
        <v>19</v>
      </c>
      <c r="D466" t="s">
        <v>12</v>
      </c>
      <c r="E466">
        <v>2015</v>
      </c>
      <c r="F466">
        <v>944</v>
      </c>
      <c r="I466" t="s">
        <v>25</v>
      </c>
    </row>
    <row r="467" spans="1:9" hidden="1" x14ac:dyDescent="0.25">
      <c r="A467" t="s">
        <v>10</v>
      </c>
      <c r="B467" t="s">
        <v>28</v>
      </c>
      <c r="C467" t="s">
        <v>19</v>
      </c>
      <c r="D467" t="s">
        <v>12</v>
      </c>
      <c r="E467">
        <v>2015</v>
      </c>
      <c r="F467">
        <v>3288</v>
      </c>
      <c r="I467" t="s">
        <v>25</v>
      </c>
    </row>
    <row r="468" spans="1:9" hidden="1" x14ac:dyDescent="0.25">
      <c r="A468" t="s">
        <v>10</v>
      </c>
      <c r="B468" t="s">
        <v>29</v>
      </c>
      <c r="C468" t="s">
        <v>19</v>
      </c>
      <c r="D468" t="s">
        <v>12</v>
      </c>
      <c r="E468">
        <v>2015</v>
      </c>
      <c r="F468">
        <f>6+689+33-39</f>
        <v>689</v>
      </c>
      <c r="I468" t="s">
        <v>25</v>
      </c>
    </row>
    <row r="469" spans="1:9" hidden="1" x14ac:dyDescent="0.25">
      <c r="A469" t="s">
        <v>10</v>
      </c>
      <c r="B469" t="s">
        <v>30</v>
      </c>
      <c r="C469" t="s">
        <v>19</v>
      </c>
      <c r="D469" t="s">
        <v>12</v>
      </c>
      <c r="E469">
        <v>2015</v>
      </c>
      <c r="F469">
        <v>10030</v>
      </c>
      <c r="I469" t="s">
        <v>25</v>
      </c>
    </row>
    <row r="470" spans="1:9" hidden="1" x14ac:dyDescent="0.25">
      <c r="A470" t="s">
        <v>22</v>
      </c>
      <c r="B470" t="s">
        <v>24</v>
      </c>
      <c r="C470" t="s">
        <v>19</v>
      </c>
      <c r="D470" t="s">
        <v>12</v>
      </c>
      <c r="E470">
        <v>2015</v>
      </c>
      <c r="F470">
        <v>145</v>
      </c>
      <c r="I470" t="s">
        <v>25</v>
      </c>
    </row>
    <row r="471" spans="1:9" hidden="1" x14ac:dyDescent="0.25">
      <c r="A471" t="s">
        <v>22</v>
      </c>
      <c r="B471" t="s">
        <v>26</v>
      </c>
      <c r="C471" t="s">
        <v>19</v>
      </c>
      <c r="D471" t="s">
        <v>12</v>
      </c>
      <c r="E471">
        <v>2015</v>
      </c>
      <c r="F471">
        <v>158</v>
      </c>
      <c r="I471" t="s">
        <v>25</v>
      </c>
    </row>
    <row r="472" spans="1:9" hidden="1" x14ac:dyDescent="0.25">
      <c r="A472" t="s">
        <v>22</v>
      </c>
      <c r="B472" t="s">
        <v>27</v>
      </c>
      <c r="C472" t="s">
        <v>19</v>
      </c>
      <c r="D472" t="s">
        <v>12</v>
      </c>
      <c r="E472">
        <v>2015</v>
      </c>
      <c r="F472">
        <v>26</v>
      </c>
      <c r="I472" t="s">
        <v>25</v>
      </c>
    </row>
    <row r="473" spans="1:9" hidden="1" x14ac:dyDescent="0.25">
      <c r="A473" t="s">
        <v>22</v>
      </c>
      <c r="B473" t="s">
        <v>28</v>
      </c>
      <c r="C473" t="s">
        <v>19</v>
      </c>
      <c r="D473" t="s">
        <v>12</v>
      </c>
      <c r="E473">
        <v>2015</v>
      </c>
      <c r="F473">
        <v>65</v>
      </c>
      <c r="I473" t="s">
        <v>25</v>
      </c>
    </row>
    <row r="474" spans="1:9" hidden="1" x14ac:dyDescent="0.25">
      <c r="A474" t="s">
        <v>22</v>
      </c>
      <c r="B474" t="s">
        <v>29</v>
      </c>
      <c r="C474" t="s">
        <v>19</v>
      </c>
      <c r="D474" t="s">
        <v>12</v>
      </c>
      <c r="E474">
        <v>2015</v>
      </c>
      <c r="F474">
        <v>7</v>
      </c>
      <c r="I474" t="s">
        <v>25</v>
      </c>
    </row>
    <row r="475" spans="1:9" hidden="1" x14ac:dyDescent="0.25">
      <c r="A475" t="s">
        <v>22</v>
      </c>
      <c r="B475" t="s">
        <v>30</v>
      </c>
      <c r="C475" t="s">
        <v>19</v>
      </c>
      <c r="D475" t="s">
        <v>12</v>
      </c>
      <c r="E475">
        <v>2015</v>
      </c>
      <c r="F475">
        <v>183</v>
      </c>
      <c r="I475" t="s">
        <v>25</v>
      </c>
    </row>
    <row r="476" spans="1:9" hidden="1" x14ac:dyDescent="0.25">
      <c r="A476" t="s">
        <v>21</v>
      </c>
      <c r="B476" t="s">
        <v>26</v>
      </c>
      <c r="C476" t="s">
        <v>19</v>
      </c>
      <c r="D476" t="s">
        <v>15</v>
      </c>
      <c r="E476">
        <v>2015</v>
      </c>
      <c r="F476">
        <v>7</v>
      </c>
      <c r="I476" t="s">
        <v>25</v>
      </c>
    </row>
    <row r="477" spans="1:9" hidden="1" x14ac:dyDescent="0.25">
      <c r="A477" t="s">
        <v>21</v>
      </c>
      <c r="B477" t="s">
        <v>28</v>
      </c>
      <c r="C477" t="s">
        <v>19</v>
      </c>
      <c r="D477" t="s">
        <v>15</v>
      </c>
      <c r="E477">
        <v>2015</v>
      </c>
      <c r="F477">
        <v>212</v>
      </c>
      <c r="I477" t="s">
        <v>25</v>
      </c>
    </row>
    <row r="478" spans="1:9" hidden="1" x14ac:dyDescent="0.25">
      <c r="A478" t="s">
        <v>21</v>
      </c>
      <c r="B478" t="s">
        <v>29</v>
      </c>
      <c r="C478" t="s">
        <v>19</v>
      </c>
      <c r="D478" t="s">
        <v>15</v>
      </c>
      <c r="E478">
        <v>2015</v>
      </c>
      <c r="F478">
        <v>16</v>
      </c>
      <c r="I478" t="s">
        <v>25</v>
      </c>
    </row>
    <row r="479" spans="1:9" hidden="1" x14ac:dyDescent="0.25">
      <c r="A479" t="s">
        <v>21</v>
      </c>
      <c r="B479" t="s">
        <v>30</v>
      </c>
      <c r="C479" t="s">
        <v>19</v>
      </c>
      <c r="D479" t="s">
        <v>15</v>
      </c>
      <c r="E479">
        <v>2015</v>
      </c>
      <c r="F479">
        <v>60</v>
      </c>
      <c r="I479" t="s">
        <v>25</v>
      </c>
    </row>
    <row r="480" spans="1:9" hidden="1" x14ac:dyDescent="0.25">
      <c r="A480" t="s">
        <v>10</v>
      </c>
      <c r="B480" t="s">
        <v>26</v>
      </c>
      <c r="C480" t="s">
        <v>19</v>
      </c>
      <c r="D480" t="s">
        <v>15</v>
      </c>
      <c r="E480">
        <v>2015</v>
      </c>
      <c r="F480">
        <v>2594</v>
      </c>
      <c r="I480" t="s">
        <v>25</v>
      </c>
    </row>
    <row r="481" spans="1:9" hidden="1" x14ac:dyDescent="0.25">
      <c r="A481" t="s">
        <v>10</v>
      </c>
      <c r="B481" t="s">
        <v>28</v>
      </c>
      <c r="C481" t="s">
        <v>19</v>
      </c>
      <c r="D481" t="s">
        <v>15</v>
      </c>
      <c r="E481">
        <v>2015</v>
      </c>
      <c r="F481">
        <v>10712</v>
      </c>
      <c r="I481" t="s">
        <v>25</v>
      </c>
    </row>
    <row r="482" spans="1:9" hidden="1" x14ac:dyDescent="0.25">
      <c r="A482" t="s">
        <v>10</v>
      </c>
      <c r="B482" t="s">
        <v>29</v>
      </c>
      <c r="C482" t="s">
        <v>19</v>
      </c>
      <c r="D482" t="s">
        <v>15</v>
      </c>
      <c r="E482">
        <v>2015</v>
      </c>
      <c r="F482">
        <f>455+750+47-30</f>
        <v>1222</v>
      </c>
      <c r="I482" t="s">
        <v>25</v>
      </c>
    </row>
    <row r="483" spans="1:9" hidden="1" x14ac:dyDescent="0.25">
      <c r="A483" t="s">
        <v>10</v>
      </c>
      <c r="B483" t="s">
        <v>30</v>
      </c>
      <c r="C483" t="s">
        <v>19</v>
      </c>
      <c r="D483" t="s">
        <v>15</v>
      </c>
      <c r="E483">
        <v>2015</v>
      </c>
      <c r="F483">
        <v>5271</v>
      </c>
      <c r="I483" t="s">
        <v>25</v>
      </c>
    </row>
    <row r="484" spans="1:9" hidden="1" x14ac:dyDescent="0.25">
      <c r="A484" t="s">
        <v>22</v>
      </c>
      <c r="B484" t="s">
        <v>26</v>
      </c>
      <c r="C484" t="s">
        <v>19</v>
      </c>
      <c r="D484" t="s">
        <v>15</v>
      </c>
      <c r="E484">
        <v>2015</v>
      </c>
      <c r="F484">
        <v>60</v>
      </c>
      <c r="I484" t="s">
        <v>25</v>
      </c>
    </row>
    <row r="485" spans="1:9" hidden="1" x14ac:dyDescent="0.25">
      <c r="A485" t="s">
        <v>22</v>
      </c>
      <c r="B485" t="s">
        <v>28</v>
      </c>
      <c r="C485" t="s">
        <v>19</v>
      </c>
      <c r="D485" t="s">
        <v>15</v>
      </c>
      <c r="E485">
        <v>2015</v>
      </c>
      <c r="F485">
        <v>150</v>
      </c>
      <c r="I485" t="s">
        <v>25</v>
      </c>
    </row>
    <row r="486" spans="1:9" hidden="1" x14ac:dyDescent="0.25">
      <c r="A486" t="s">
        <v>22</v>
      </c>
      <c r="B486" t="s">
        <v>29</v>
      </c>
      <c r="C486" t="s">
        <v>19</v>
      </c>
      <c r="D486" t="s">
        <v>15</v>
      </c>
      <c r="E486">
        <v>2015</v>
      </c>
      <c r="F486">
        <v>7</v>
      </c>
      <c r="I486" t="s">
        <v>25</v>
      </c>
    </row>
    <row r="487" spans="1:9" hidden="1" x14ac:dyDescent="0.25">
      <c r="A487" t="s">
        <v>22</v>
      </c>
      <c r="B487" t="s">
        <v>30</v>
      </c>
      <c r="C487" t="s">
        <v>19</v>
      </c>
      <c r="D487" t="s">
        <v>15</v>
      </c>
      <c r="E487">
        <v>2015</v>
      </c>
      <c r="F487">
        <v>66</v>
      </c>
      <c r="I487" t="s">
        <v>25</v>
      </c>
    </row>
    <row r="488" spans="1:9" hidden="1" x14ac:dyDescent="0.25">
      <c r="A488" t="s">
        <v>21</v>
      </c>
      <c r="B488" t="s">
        <v>24</v>
      </c>
      <c r="C488" t="s">
        <v>20</v>
      </c>
      <c r="D488" t="s">
        <v>12</v>
      </c>
      <c r="E488">
        <v>2015</v>
      </c>
      <c r="F488">
        <v>590</v>
      </c>
      <c r="I488" t="s">
        <v>25</v>
      </c>
    </row>
    <row r="489" spans="1:9" hidden="1" x14ac:dyDescent="0.25">
      <c r="A489" t="s">
        <v>21</v>
      </c>
      <c r="B489" t="s">
        <v>26</v>
      </c>
      <c r="C489" t="s">
        <v>20</v>
      </c>
      <c r="D489" t="s">
        <v>12</v>
      </c>
      <c r="E489">
        <v>2015</v>
      </c>
      <c r="F489">
        <v>16</v>
      </c>
      <c r="I489" t="s">
        <v>25</v>
      </c>
    </row>
    <row r="490" spans="1:9" hidden="1" x14ac:dyDescent="0.25">
      <c r="A490" t="s">
        <v>21</v>
      </c>
      <c r="B490" t="s">
        <v>27</v>
      </c>
      <c r="C490" t="s">
        <v>20</v>
      </c>
      <c r="D490" t="s">
        <v>12</v>
      </c>
      <c r="E490">
        <v>2015</v>
      </c>
      <c r="F490">
        <v>12</v>
      </c>
      <c r="I490" t="s">
        <v>25</v>
      </c>
    </row>
    <row r="491" spans="1:9" hidden="1" x14ac:dyDescent="0.25">
      <c r="A491" t="s">
        <v>21</v>
      </c>
      <c r="B491" t="s">
        <v>28</v>
      </c>
      <c r="C491" t="s">
        <v>20</v>
      </c>
      <c r="D491" t="s">
        <v>12</v>
      </c>
      <c r="E491">
        <v>2015</v>
      </c>
      <c r="F491">
        <v>16</v>
      </c>
      <c r="I491" t="s">
        <v>25</v>
      </c>
    </row>
    <row r="492" spans="1:9" hidden="1" x14ac:dyDescent="0.25">
      <c r="A492" t="s">
        <v>21</v>
      </c>
      <c r="B492" t="s">
        <v>29</v>
      </c>
      <c r="C492" t="s">
        <v>20</v>
      </c>
      <c r="D492" t="s">
        <v>12</v>
      </c>
      <c r="E492">
        <v>2015</v>
      </c>
      <c r="F492">
        <v>0</v>
      </c>
      <c r="I492" t="s">
        <v>25</v>
      </c>
    </row>
    <row r="493" spans="1:9" hidden="1" x14ac:dyDescent="0.25">
      <c r="A493" t="s">
        <v>21</v>
      </c>
      <c r="B493" t="s">
        <v>30</v>
      </c>
      <c r="C493" t="s">
        <v>20</v>
      </c>
      <c r="D493" t="s">
        <v>12</v>
      </c>
      <c r="E493">
        <v>2015</v>
      </c>
      <c r="F493">
        <v>124</v>
      </c>
      <c r="I493" t="s">
        <v>25</v>
      </c>
    </row>
    <row r="494" spans="1:9" hidden="1" x14ac:dyDescent="0.25">
      <c r="A494" t="s">
        <v>10</v>
      </c>
      <c r="B494" t="s">
        <v>24</v>
      </c>
      <c r="C494" t="s">
        <v>20</v>
      </c>
      <c r="D494" t="s">
        <v>12</v>
      </c>
      <c r="E494">
        <v>2015</v>
      </c>
      <c r="F494">
        <v>14073</v>
      </c>
      <c r="I494" t="s">
        <v>25</v>
      </c>
    </row>
    <row r="495" spans="1:9" hidden="1" x14ac:dyDescent="0.25">
      <c r="A495" t="s">
        <v>10</v>
      </c>
      <c r="B495" t="s">
        <v>26</v>
      </c>
      <c r="C495" t="s">
        <v>20</v>
      </c>
      <c r="D495" t="s">
        <v>12</v>
      </c>
      <c r="E495">
        <v>2015</v>
      </c>
      <c r="F495">
        <v>4949</v>
      </c>
      <c r="I495" t="s">
        <v>25</v>
      </c>
    </row>
    <row r="496" spans="1:9" hidden="1" x14ac:dyDescent="0.25">
      <c r="A496" t="s">
        <v>10</v>
      </c>
      <c r="B496" t="s">
        <v>27</v>
      </c>
      <c r="C496" t="s">
        <v>20</v>
      </c>
      <c r="D496" t="s">
        <v>12</v>
      </c>
      <c r="E496">
        <v>2015</v>
      </c>
      <c r="F496">
        <v>1050</v>
      </c>
      <c r="I496" t="s">
        <v>25</v>
      </c>
    </row>
    <row r="497" spans="1:9" hidden="1" x14ac:dyDescent="0.25">
      <c r="A497" t="s">
        <v>10</v>
      </c>
      <c r="B497" t="s">
        <v>28</v>
      </c>
      <c r="C497" t="s">
        <v>20</v>
      </c>
      <c r="D497" t="s">
        <v>12</v>
      </c>
      <c r="E497">
        <v>2015</v>
      </c>
      <c r="F497">
        <v>2034</v>
      </c>
      <c r="I497" t="s">
        <v>25</v>
      </c>
    </row>
    <row r="498" spans="1:9" hidden="1" x14ac:dyDescent="0.25">
      <c r="A498" t="s">
        <v>10</v>
      </c>
      <c r="B498" t="s">
        <v>29</v>
      </c>
      <c r="C498" t="s">
        <v>20</v>
      </c>
      <c r="D498" t="s">
        <v>12</v>
      </c>
      <c r="E498">
        <v>2015</v>
      </c>
      <c r="F498">
        <f>1+445+27-16</f>
        <v>457</v>
      </c>
      <c r="I498" t="s">
        <v>25</v>
      </c>
    </row>
    <row r="499" spans="1:9" hidden="1" x14ac:dyDescent="0.25">
      <c r="A499" t="s">
        <v>10</v>
      </c>
      <c r="B499" t="s">
        <v>30</v>
      </c>
      <c r="C499" t="s">
        <v>20</v>
      </c>
      <c r="D499" t="s">
        <v>12</v>
      </c>
      <c r="E499">
        <v>2015</v>
      </c>
      <c r="F499">
        <v>5887</v>
      </c>
      <c r="I499" t="s">
        <v>25</v>
      </c>
    </row>
    <row r="500" spans="1:9" hidden="1" x14ac:dyDescent="0.25">
      <c r="A500" t="s">
        <v>22</v>
      </c>
      <c r="B500" t="s">
        <v>24</v>
      </c>
      <c r="C500" t="s">
        <v>20</v>
      </c>
      <c r="D500" t="s">
        <v>12</v>
      </c>
      <c r="E500">
        <v>2015</v>
      </c>
      <c r="F500">
        <v>94</v>
      </c>
      <c r="I500" t="s">
        <v>25</v>
      </c>
    </row>
    <row r="501" spans="1:9" hidden="1" x14ac:dyDescent="0.25">
      <c r="A501" t="s">
        <v>22</v>
      </c>
      <c r="B501" t="s">
        <v>26</v>
      </c>
      <c r="C501" t="s">
        <v>20</v>
      </c>
      <c r="D501" t="s">
        <v>12</v>
      </c>
      <c r="E501">
        <v>2015</v>
      </c>
      <c r="F501">
        <v>123</v>
      </c>
      <c r="I501" t="s">
        <v>25</v>
      </c>
    </row>
    <row r="502" spans="1:9" hidden="1" x14ac:dyDescent="0.25">
      <c r="A502" t="s">
        <v>22</v>
      </c>
      <c r="B502" t="s">
        <v>27</v>
      </c>
      <c r="C502" t="s">
        <v>20</v>
      </c>
      <c r="D502" t="s">
        <v>12</v>
      </c>
      <c r="E502">
        <v>2015</v>
      </c>
      <c r="F502">
        <v>31</v>
      </c>
      <c r="I502" t="s">
        <v>25</v>
      </c>
    </row>
    <row r="503" spans="1:9" hidden="1" x14ac:dyDescent="0.25">
      <c r="A503" t="s">
        <v>22</v>
      </c>
      <c r="B503" t="s">
        <v>28</v>
      </c>
      <c r="C503" t="s">
        <v>20</v>
      </c>
      <c r="D503" t="s">
        <v>12</v>
      </c>
      <c r="E503">
        <v>2015</v>
      </c>
      <c r="F503">
        <v>22</v>
      </c>
      <c r="I503" t="s">
        <v>25</v>
      </c>
    </row>
    <row r="504" spans="1:9" hidden="1" x14ac:dyDescent="0.25">
      <c r="A504" t="s">
        <v>22</v>
      </c>
      <c r="B504" t="s">
        <v>29</v>
      </c>
      <c r="C504" t="s">
        <v>20</v>
      </c>
      <c r="D504" t="s">
        <v>12</v>
      </c>
      <c r="E504">
        <v>2015</v>
      </c>
      <c r="F504">
        <v>3</v>
      </c>
      <c r="I504" t="s">
        <v>25</v>
      </c>
    </row>
    <row r="505" spans="1:9" hidden="1" x14ac:dyDescent="0.25">
      <c r="A505" t="s">
        <v>22</v>
      </c>
      <c r="B505" t="s">
        <v>30</v>
      </c>
      <c r="C505" t="s">
        <v>20</v>
      </c>
      <c r="D505" t="s">
        <v>12</v>
      </c>
      <c r="E505">
        <v>2015</v>
      </c>
      <c r="F505">
        <v>88</v>
      </c>
      <c r="I505" t="s">
        <v>25</v>
      </c>
    </row>
    <row r="506" spans="1:9" hidden="1" x14ac:dyDescent="0.25">
      <c r="A506" t="s">
        <v>21</v>
      </c>
      <c r="B506" t="s">
        <v>26</v>
      </c>
      <c r="C506" t="s">
        <v>20</v>
      </c>
      <c r="D506" t="s">
        <v>15</v>
      </c>
      <c r="E506">
        <v>2015</v>
      </c>
      <c r="F506">
        <v>6</v>
      </c>
      <c r="I506" t="s">
        <v>25</v>
      </c>
    </row>
    <row r="507" spans="1:9" hidden="1" x14ac:dyDescent="0.25">
      <c r="A507" t="s">
        <v>21</v>
      </c>
      <c r="B507" t="s">
        <v>28</v>
      </c>
      <c r="C507" t="s">
        <v>20</v>
      </c>
      <c r="D507" t="s">
        <v>15</v>
      </c>
      <c r="E507">
        <v>2015</v>
      </c>
      <c r="F507">
        <v>86</v>
      </c>
      <c r="I507" t="s">
        <v>25</v>
      </c>
    </row>
    <row r="508" spans="1:9" hidden="1" x14ac:dyDescent="0.25">
      <c r="A508" t="s">
        <v>21</v>
      </c>
      <c r="B508" t="s">
        <v>29</v>
      </c>
      <c r="C508" t="s">
        <v>20</v>
      </c>
      <c r="D508" t="s">
        <v>15</v>
      </c>
      <c r="E508">
        <v>2015</v>
      </c>
      <c r="F508">
        <v>25</v>
      </c>
      <c r="I508" t="s">
        <v>25</v>
      </c>
    </row>
    <row r="509" spans="1:9" hidden="1" x14ac:dyDescent="0.25">
      <c r="A509" t="s">
        <v>21</v>
      </c>
      <c r="B509" t="s">
        <v>30</v>
      </c>
      <c r="C509" t="s">
        <v>20</v>
      </c>
      <c r="D509" t="s">
        <v>15</v>
      </c>
      <c r="E509">
        <v>2015</v>
      </c>
      <c r="F509">
        <v>26</v>
      </c>
      <c r="I509" t="s">
        <v>25</v>
      </c>
    </row>
    <row r="510" spans="1:9" hidden="1" x14ac:dyDescent="0.25">
      <c r="A510" t="s">
        <v>10</v>
      </c>
      <c r="B510" t="s">
        <v>26</v>
      </c>
      <c r="C510" t="s">
        <v>20</v>
      </c>
      <c r="D510" t="s">
        <v>15</v>
      </c>
      <c r="E510">
        <v>2015</v>
      </c>
      <c r="F510">
        <v>2207</v>
      </c>
      <c r="I510" t="s">
        <v>25</v>
      </c>
    </row>
    <row r="511" spans="1:9" hidden="1" x14ac:dyDescent="0.25">
      <c r="A511" t="s">
        <v>10</v>
      </c>
      <c r="B511" t="s">
        <v>28</v>
      </c>
      <c r="C511" t="s">
        <v>20</v>
      </c>
      <c r="D511" t="s">
        <v>15</v>
      </c>
      <c r="E511">
        <v>2015</v>
      </c>
      <c r="F511">
        <v>5736</v>
      </c>
      <c r="I511" t="s">
        <v>25</v>
      </c>
    </row>
    <row r="512" spans="1:9" hidden="1" x14ac:dyDescent="0.25">
      <c r="A512" t="s">
        <v>10</v>
      </c>
      <c r="B512" t="s">
        <v>29</v>
      </c>
      <c r="C512" t="s">
        <v>20</v>
      </c>
      <c r="D512" t="s">
        <v>15</v>
      </c>
      <c r="E512">
        <v>2015</v>
      </c>
      <c r="F512">
        <f>372+457+24-23</f>
        <v>830</v>
      </c>
      <c r="I512" t="s">
        <v>25</v>
      </c>
    </row>
    <row r="513" spans="1:9" hidden="1" x14ac:dyDescent="0.25">
      <c r="A513" t="s">
        <v>10</v>
      </c>
      <c r="B513" t="s">
        <v>30</v>
      </c>
      <c r="C513" t="s">
        <v>20</v>
      </c>
      <c r="D513" t="s">
        <v>15</v>
      </c>
      <c r="E513">
        <v>2015</v>
      </c>
      <c r="F513">
        <v>2328</v>
      </c>
      <c r="I513" t="s">
        <v>25</v>
      </c>
    </row>
    <row r="514" spans="1:9" hidden="1" x14ac:dyDescent="0.25">
      <c r="A514" t="s">
        <v>22</v>
      </c>
      <c r="B514" t="s">
        <v>26</v>
      </c>
      <c r="C514" t="s">
        <v>20</v>
      </c>
      <c r="D514" t="s">
        <v>15</v>
      </c>
      <c r="E514">
        <v>2015</v>
      </c>
      <c r="F514">
        <v>57</v>
      </c>
      <c r="I514" t="s">
        <v>25</v>
      </c>
    </row>
    <row r="515" spans="1:9" hidden="1" x14ac:dyDescent="0.25">
      <c r="A515" t="s">
        <v>22</v>
      </c>
      <c r="B515" t="s">
        <v>28</v>
      </c>
      <c r="C515" t="s">
        <v>20</v>
      </c>
      <c r="D515" t="s">
        <v>15</v>
      </c>
      <c r="E515">
        <v>2015</v>
      </c>
      <c r="F515">
        <v>70</v>
      </c>
      <c r="I515" t="s">
        <v>25</v>
      </c>
    </row>
    <row r="516" spans="1:9" hidden="1" x14ac:dyDescent="0.25">
      <c r="A516" t="s">
        <v>22</v>
      </c>
      <c r="B516" t="s">
        <v>29</v>
      </c>
      <c r="C516" t="s">
        <v>20</v>
      </c>
      <c r="D516" t="s">
        <v>15</v>
      </c>
      <c r="E516">
        <v>2015</v>
      </c>
      <c r="F516">
        <v>6</v>
      </c>
      <c r="I516" t="s">
        <v>25</v>
      </c>
    </row>
    <row r="517" spans="1:9" hidden="1" x14ac:dyDescent="0.25">
      <c r="A517" t="s">
        <v>22</v>
      </c>
      <c r="B517" t="s">
        <v>30</v>
      </c>
      <c r="C517" t="s">
        <v>20</v>
      </c>
      <c r="D517" t="s">
        <v>15</v>
      </c>
      <c r="E517">
        <v>2015</v>
      </c>
      <c r="F517">
        <v>27</v>
      </c>
      <c r="I517" t="s">
        <v>25</v>
      </c>
    </row>
    <row r="518" spans="1:9" hidden="1" x14ac:dyDescent="0.25">
      <c r="A518" t="s">
        <v>21</v>
      </c>
      <c r="B518" t="s">
        <v>24</v>
      </c>
      <c r="C518" t="s">
        <v>31</v>
      </c>
      <c r="D518" t="s">
        <v>12</v>
      </c>
      <c r="E518">
        <v>2015</v>
      </c>
      <c r="F518">
        <v>318</v>
      </c>
      <c r="I518" t="s">
        <v>25</v>
      </c>
    </row>
    <row r="519" spans="1:9" hidden="1" x14ac:dyDescent="0.25">
      <c r="A519" t="s">
        <v>21</v>
      </c>
      <c r="B519" t="s">
        <v>26</v>
      </c>
      <c r="C519" t="s">
        <v>31</v>
      </c>
      <c r="D519" t="s">
        <v>12</v>
      </c>
      <c r="E519">
        <v>2015</v>
      </c>
      <c r="F519">
        <v>4</v>
      </c>
      <c r="I519" t="s">
        <v>25</v>
      </c>
    </row>
    <row r="520" spans="1:9" hidden="1" x14ac:dyDescent="0.25">
      <c r="A520" t="s">
        <v>21</v>
      </c>
      <c r="B520" t="s">
        <v>27</v>
      </c>
      <c r="C520" t="s">
        <v>31</v>
      </c>
      <c r="D520" t="s">
        <v>12</v>
      </c>
      <c r="E520">
        <v>2015</v>
      </c>
      <c r="F520">
        <v>10</v>
      </c>
      <c r="I520" t="s">
        <v>25</v>
      </c>
    </row>
    <row r="521" spans="1:9" hidden="1" x14ac:dyDescent="0.25">
      <c r="A521" t="s">
        <v>21</v>
      </c>
      <c r="B521" t="s">
        <v>28</v>
      </c>
      <c r="C521" t="s">
        <v>31</v>
      </c>
      <c r="D521" t="s">
        <v>12</v>
      </c>
      <c r="E521">
        <v>2015</v>
      </c>
      <c r="F521">
        <v>6</v>
      </c>
      <c r="I521" t="s">
        <v>25</v>
      </c>
    </row>
    <row r="522" spans="1:9" hidden="1" x14ac:dyDescent="0.25">
      <c r="A522" t="s">
        <v>21</v>
      </c>
      <c r="B522" t="s">
        <v>29</v>
      </c>
      <c r="C522" t="s">
        <v>31</v>
      </c>
      <c r="D522" t="s">
        <v>12</v>
      </c>
      <c r="E522">
        <v>2015</v>
      </c>
      <c r="F522">
        <v>0</v>
      </c>
      <c r="I522" t="s">
        <v>25</v>
      </c>
    </row>
    <row r="523" spans="1:9" hidden="1" x14ac:dyDescent="0.25">
      <c r="A523" t="s">
        <v>21</v>
      </c>
      <c r="B523" t="s">
        <v>30</v>
      </c>
      <c r="C523" t="s">
        <v>31</v>
      </c>
      <c r="D523" t="s">
        <v>12</v>
      </c>
      <c r="E523">
        <v>2015</v>
      </c>
      <c r="F523">
        <v>48</v>
      </c>
      <c r="I523" t="s">
        <v>25</v>
      </c>
    </row>
    <row r="524" spans="1:9" hidden="1" x14ac:dyDescent="0.25">
      <c r="A524" t="s">
        <v>10</v>
      </c>
      <c r="B524" t="s">
        <v>24</v>
      </c>
      <c r="C524" t="s">
        <v>31</v>
      </c>
      <c r="D524" t="s">
        <v>12</v>
      </c>
      <c r="E524">
        <v>2015</v>
      </c>
      <c r="F524">
        <v>17330</v>
      </c>
      <c r="I524" t="s">
        <v>25</v>
      </c>
    </row>
    <row r="525" spans="1:9" hidden="1" x14ac:dyDescent="0.25">
      <c r="A525" t="s">
        <v>10</v>
      </c>
      <c r="B525" t="s">
        <v>26</v>
      </c>
      <c r="C525" t="s">
        <v>31</v>
      </c>
      <c r="D525" t="s">
        <v>12</v>
      </c>
      <c r="E525">
        <v>2015</v>
      </c>
      <c r="F525">
        <v>1216</v>
      </c>
      <c r="I525" t="s">
        <v>25</v>
      </c>
    </row>
    <row r="526" spans="1:9" hidden="1" x14ac:dyDescent="0.25">
      <c r="A526" t="s">
        <v>10</v>
      </c>
      <c r="B526" t="s">
        <v>27</v>
      </c>
      <c r="C526" t="s">
        <v>31</v>
      </c>
      <c r="D526" t="s">
        <v>12</v>
      </c>
      <c r="E526">
        <v>2015</v>
      </c>
      <c r="F526">
        <v>608</v>
      </c>
      <c r="I526" t="s">
        <v>25</v>
      </c>
    </row>
    <row r="527" spans="1:9" hidden="1" x14ac:dyDescent="0.25">
      <c r="A527" t="s">
        <v>10</v>
      </c>
      <c r="B527" t="s">
        <v>28</v>
      </c>
      <c r="C527" t="s">
        <v>31</v>
      </c>
      <c r="D527" t="s">
        <v>12</v>
      </c>
      <c r="E527">
        <v>2015</v>
      </c>
      <c r="F527">
        <v>511</v>
      </c>
      <c r="I527" t="s">
        <v>25</v>
      </c>
    </row>
    <row r="528" spans="1:9" hidden="1" x14ac:dyDescent="0.25">
      <c r="A528" t="s">
        <v>10</v>
      </c>
      <c r="B528" t="s">
        <v>29</v>
      </c>
      <c r="C528" t="s">
        <v>31</v>
      </c>
      <c r="D528" t="s">
        <v>12</v>
      </c>
      <c r="E528">
        <v>2015</v>
      </c>
      <c r="F528">
        <f>1+66+46-3</f>
        <v>110</v>
      </c>
      <c r="I528" t="s">
        <v>25</v>
      </c>
    </row>
    <row r="529" spans="1:9" hidden="1" x14ac:dyDescent="0.25">
      <c r="A529" t="s">
        <v>10</v>
      </c>
      <c r="B529" t="s">
        <v>30</v>
      </c>
      <c r="C529" t="s">
        <v>31</v>
      </c>
      <c r="D529" t="s">
        <v>12</v>
      </c>
      <c r="E529">
        <v>2015</v>
      </c>
      <c r="F529">
        <v>2901</v>
      </c>
      <c r="I529" t="s">
        <v>25</v>
      </c>
    </row>
    <row r="530" spans="1:9" hidden="1" x14ac:dyDescent="0.25">
      <c r="A530" t="s">
        <v>22</v>
      </c>
      <c r="B530" t="s">
        <v>24</v>
      </c>
      <c r="C530" t="s">
        <v>31</v>
      </c>
      <c r="D530" t="s">
        <v>12</v>
      </c>
      <c r="E530">
        <v>2015</v>
      </c>
      <c r="F530">
        <v>113</v>
      </c>
      <c r="I530" t="s">
        <v>25</v>
      </c>
    </row>
    <row r="531" spans="1:9" hidden="1" x14ac:dyDescent="0.25">
      <c r="A531" t="s">
        <v>22</v>
      </c>
      <c r="B531" t="s">
        <v>26</v>
      </c>
      <c r="C531" t="s">
        <v>31</v>
      </c>
      <c r="D531" t="s">
        <v>12</v>
      </c>
      <c r="E531">
        <v>2015</v>
      </c>
      <c r="F531">
        <v>30</v>
      </c>
      <c r="I531" t="s">
        <v>25</v>
      </c>
    </row>
    <row r="532" spans="1:9" hidden="1" x14ac:dyDescent="0.25">
      <c r="A532" t="s">
        <v>22</v>
      </c>
      <c r="B532" t="s">
        <v>27</v>
      </c>
      <c r="C532" t="s">
        <v>31</v>
      </c>
      <c r="D532" t="s">
        <v>12</v>
      </c>
      <c r="E532">
        <v>2015</v>
      </c>
      <c r="F532">
        <v>13</v>
      </c>
      <c r="I532" t="s">
        <v>25</v>
      </c>
    </row>
    <row r="533" spans="1:9" hidden="1" x14ac:dyDescent="0.25">
      <c r="A533" t="s">
        <v>22</v>
      </c>
      <c r="B533" t="s">
        <v>28</v>
      </c>
      <c r="C533" t="s">
        <v>31</v>
      </c>
      <c r="D533" t="s">
        <v>12</v>
      </c>
      <c r="E533">
        <v>2015</v>
      </c>
      <c r="F533">
        <v>9</v>
      </c>
      <c r="I533" t="s">
        <v>25</v>
      </c>
    </row>
    <row r="534" spans="1:9" hidden="1" x14ac:dyDescent="0.25">
      <c r="A534" t="s">
        <v>22</v>
      </c>
      <c r="B534" t="s">
        <v>29</v>
      </c>
      <c r="C534" t="s">
        <v>31</v>
      </c>
      <c r="D534" t="s">
        <v>12</v>
      </c>
      <c r="E534">
        <v>2015</v>
      </c>
      <c r="F534">
        <v>1</v>
      </c>
      <c r="I534" t="s">
        <v>25</v>
      </c>
    </row>
    <row r="535" spans="1:9" hidden="1" x14ac:dyDescent="0.25">
      <c r="A535" t="s">
        <v>22</v>
      </c>
      <c r="B535" t="s">
        <v>30</v>
      </c>
      <c r="C535" t="s">
        <v>31</v>
      </c>
      <c r="D535" t="s">
        <v>12</v>
      </c>
      <c r="E535">
        <v>2015</v>
      </c>
      <c r="F535">
        <v>47</v>
      </c>
      <c r="I535" t="s">
        <v>25</v>
      </c>
    </row>
    <row r="536" spans="1:9" hidden="1" x14ac:dyDescent="0.25">
      <c r="A536" t="s">
        <v>21</v>
      </c>
      <c r="B536" t="s">
        <v>26</v>
      </c>
      <c r="C536" t="s">
        <v>31</v>
      </c>
      <c r="D536" t="s">
        <v>15</v>
      </c>
      <c r="E536">
        <v>2015</v>
      </c>
      <c r="F536">
        <v>3</v>
      </c>
      <c r="I536" t="s">
        <v>25</v>
      </c>
    </row>
    <row r="537" spans="1:9" hidden="1" x14ac:dyDescent="0.25">
      <c r="A537" t="s">
        <v>21</v>
      </c>
      <c r="B537" t="s">
        <v>28</v>
      </c>
      <c r="C537" t="s">
        <v>31</v>
      </c>
      <c r="D537" t="s">
        <v>15</v>
      </c>
      <c r="E537">
        <v>2015</v>
      </c>
      <c r="F537">
        <v>16</v>
      </c>
      <c r="I537" t="s">
        <v>25</v>
      </c>
    </row>
    <row r="538" spans="1:9" hidden="1" x14ac:dyDescent="0.25">
      <c r="A538" t="s">
        <v>21</v>
      </c>
      <c r="B538" t="s">
        <v>29</v>
      </c>
      <c r="C538" t="s">
        <v>31</v>
      </c>
      <c r="D538" t="s">
        <v>15</v>
      </c>
      <c r="E538">
        <v>2015</v>
      </c>
      <c r="F538">
        <v>0</v>
      </c>
      <c r="I538" t="s">
        <v>25</v>
      </c>
    </row>
    <row r="539" spans="1:9" hidden="1" x14ac:dyDescent="0.25">
      <c r="A539" t="s">
        <v>21</v>
      </c>
      <c r="B539" t="s">
        <v>30</v>
      </c>
      <c r="C539" t="s">
        <v>31</v>
      </c>
      <c r="D539" t="s">
        <v>15</v>
      </c>
      <c r="E539">
        <v>2015</v>
      </c>
      <c r="F539">
        <v>8</v>
      </c>
      <c r="I539" t="s">
        <v>25</v>
      </c>
    </row>
    <row r="540" spans="1:9" hidden="1" x14ac:dyDescent="0.25">
      <c r="A540" t="s">
        <v>10</v>
      </c>
      <c r="B540" t="s">
        <v>26</v>
      </c>
      <c r="C540" t="s">
        <v>31</v>
      </c>
      <c r="D540" t="s">
        <v>15</v>
      </c>
      <c r="E540">
        <v>2015</v>
      </c>
      <c r="F540">
        <v>617</v>
      </c>
      <c r="I540" t="s">
        <v>25</v>
      </c>
    </row>
    <row r="541" spans="1:9" hidden="1" x14ac:dyDescent="0.25">
      <c r="A541" t="s">
        <v>10</v>
      </c>
      <c r="B541" t="s">
        <v>28</v>
      </c>
      <c r="C541" t="s">
        <v>31</v>
      </c>
      <c r="D541" t="s">
        <v>15</v>
      </c>
      <c r="E541">
        <v>2015</v>
      </c>
      <c r="F541">
        <v>1181</v>
      </c>
      <c r="I541" t="s">
        <v>25</v>
      </c>
    </row>
    <row r="542" spans="1:9" hidden="1" x14ac:dyDescent="0.25">
      <c r="A542" t="s">
        <v>10</v>
      </c>
      <c r="B542" t="s">
        <v>29</v>
      </c>
      <c r="C542" t="s">
        <v>31</v>
      </c>
      <c r="D542" t="s">
        <v>15</v>
      </c>
      <c r="E542">
        <v>2015</v>
      </c>
      <c r="F542">
        <f>58+71+18-2</f>
        <v>145</v>
      </c>
      <c r="I542" t="s">
        <v>25</v>
      </c>
    </row>
    <row r="543" spans="1:9" hidden="1" x14ac:dyDescent="0.25">
      <c r="A543" t="s">
        <v>10</v>
      </c>
      <c r="B543" t="s">
        <v>30</v>
      </c>
      <c r="C543" t="s">
        <v>31</v>
      </c>
      <c r="D543" t="s">
        <v>15</v>
      </c>
      <c r="E543">
        <v>2015</v>
      </c>
      <c r="F543">
        <v>574</v>
      </c>
      <c r="I543" t="s">
        <v>25</v>
      </c>
    </row>
    <row r="544" spans="1:9" hidden="1" x14ac:dyDescent="0.25">
      <c r="A544" t="s">
        <v>22</v>
      </c>
      <c r="B544" t="s">
        <v>26</v>
      </c>
      <c r="C544" t="s">
        <v>31</v>
      </c>
      <c r="D544" t="s">
        <v>15</v>
      </c>
      <c r="E544">
        <v>2015</v>
      </c>
      <c r="F544">
        <v>21</v>
      </c>
      <c r="I544" t="s">
        <v>25</v>
      </c>
    </row>
    <row r="545" spans="1:10" hidden="1" x14ac:dyDescent="0.25">
      <c r="A545" t="s">
        <v>22</v>
      </c>
      <c r="B545" t="s">
        <v>28</v>
      </c>
      <c r="C545" t="s">
        <v>31</v>
      </c>
      <c r="D545" t="s">
        <v>15</v>
      </c>
      <c r="E545">
        <v>2015</v>
      </c>
      <c r="F545">
        <v>16</v>
      </c>
      <c r="I545" t="s">
        <v>25</v>
      </c>
    </row>
    <row r="546" spans="1:10" hidden="1" x14ac:dyDescent="0.25">
      <c r="A546" t="s">
        <v>22</v>
      </c>
      <c r="B546" t="s">
        <v>29</v>
      </c>
      <c r="C546" t="s">
        <v>31</v>
      </c>
      <c r="D546" t="s">
        <v>15</v>
      </c>
      <c r="E546">
        <v>2015</v>
      </c>
      <c r="F546">
        <v>3</v>
      </c>
      <c r="I546" t="s">
        <v>25</v>
      </c>
    </row>
    <row r="547" spans="1:10" hidden="1" x14ac:dyDescent="0.25">
      <c r="A547" t="s">
        <v>22</v>
      </c>
      <c r="B547" t="s">
        <v>30</v>
      </c>
      <c r="C547" t="s">
        <v>31</v>
      </c>
      <c r="D547" t="s">
        <v>15</v>
      </c>
      <c r="E547">
        <v>2015</v>
      </c>
      <c r="F547">
        <v>3</v>
      </c>
      <c r="I547" t="s">
        <v>25</v>
      </c>
    </row>
    <row r="548" spans="1:10" x14ac:dyDescent="0.25">
      <c r="A548" t="s">
        <v>32</v>
      </c>
      <c r="B548" t="s">
        <v>11</v>
      </c>
      <c r="C548" t="s">
        <v>11</v>
      </c>
      <c r="D548" t="s">
        <v>33</v>
      </c>
      <c r="E548">
        <v>2015</v>
      </c>
      <c r="F548">
        <v>1696</v>
      </c>
      <c r="G548">
        <v>1400</v>
      </c>
      <c r="H548">
        <v>2100</v>
      </c>
      <c r="I548" t="s">
        <v>11</v>
      </c>
      <c r="J548" t="s">
        <v>34</v>
      </c>
    </row>
    <row r="549" spans="1:10" x14ac:dyDescent="0.25">
      <c r="A549" t="s">
        <v>32</v>
      </c>
      <c r="B549" t="s">
        <v>11</v>
      </c>
      <c r="C549" t="s">
        <v>11</v>
      </c>
      <c r="D549" t="s">
        <v>33</v>
      </c>
      <c r="E549">
        <v>2014</v>
      </c>
      <c r="F549">
        <v>1775</v>
      </c>
      <c r="G549">
        <v>1500</v>
      </c>
      <c r="H549">
        <v>2100</v>
      </c>
      <c r="I549" t="s">
        <v>11</v>
      </c>
      <c r="J549" t="s">
        <v>34</v>
      </c>
    </row>
    <row r="550" spans="1:10" x14ac:dyDescent="0.25">
      <c r="A550" t="s">
        <v>32</v>
      </c>
      <c r="B550" t="s">
        <v>11</v>
      </c>
      <c r="C550" t="s">
        <v>11</v>
      </c>
      <c r="D550" t="s">
        <v>33</v>
      </c>
      <c r="E550">
        <v>2013</v>
      </c>
      <c r="F550">
        <v>1883</v>
      </c>
      <c r="G550">
        <v>1600</v>
      </c>
      <c r="H550">
        <v>2250</v>
      </c>
      <c r="I550" t="s">
        <v>11</v>
      </c>
      <c r="J550" t="s">
        <v>34</v>
      </c>
    </row>
    <row r="551" spans="1:10" x14ac:dyDescent="0.25">
      <c r="A551" t="s">
        <v>32</v>
      </c>
      <c r="B551" t="s">
        <v>11</v>
      </c>
      <c r="C551" t="s">
        <v>11</v>
      </c>
      <c r="D551" t="s">
        <v>33</v>
      </c>
      <c r="E551">
        <v>2012</v>
      </c>
      <c r="F551">
        <v>2101</v>
      </c>
      <c r="G551">
        <v>1700</v>
      </c>
      <c r="H551">
        <v>2500</v>
      </c>
      <c r="I551" t="s">
        <v>11</v>
      </c>
      <c r="J551" t="s">
        <v>34</v>
      </c>
    </row>
    <row r="552" spans="1:10" x14ac:dyDescent="0.25">
      <c r="A552" t="s">
        <v>32</v>
      </c>
      <c r="B552" t="s">
        <v>11</v>
      </c>
      <c r="C552" t="s">
        <v>11</v>
      </c>
      <c r="D552" t="s">
        <v>33</v>
      </c>
      <c r="E552">
        <v>2011</v>
      </c>
      <c r="F552">
        <v>2424</v>
      </c>
      <c r="G552">
        <v>2000</v>
      </c>
      <c r="H552">
        <v>2900</v>
      </c>
      <c r="I552" t="s">
        <v>11</v>
      </c>
      <c r="J552" t="s">
        <v>34</v>
      </c>
    </row>
    <row r="553" spans="1:10" x14ac:dyDescent="0.25">
      <c r="A553" t="s">
        <v>32</v>
      </c>
      <c r="B553" t="s">
        <v>35</v>
      </c>
      <c r="C553" t="s">
        <v>11</v>
      </c>
      <c r="D553" t="s">
        <v>33</v>
      </c>
      <c r="E553">
        <v>2015</v>
      </c>
      <c r="F553">
        <v>1288</v>
      </c>
      <c r="G553">
        <v>950</v>
      </c>
      <c r="H553">
        <v>1625</v>
      </c>
      <c r="I553" t="s">
        <v>11</v>
      </c>
      <c r="J553" t="s">
        <v>34</v>
      </c>
    </row>
    <row r="554" spans="1:10" x14ac:dyDescent="0.25">
      <c r="A554" t="s">
        <v>32</v>
      </c>
      <c r="B554" t="s">
        <v>35</v>
      </c>
      <c r="C554" t="s">
        <v>11</v>
      </c>
      <c r="D554" t="s">
        <v>33</v>
      </c>
      <c r="E554">
        <v>2014</v>
      </c>
      <c r="F554">
        <v>1387</v>
      </c>
      <c r="G554">
        <v>1150</v>
      </c>
      <c r="H554">
        <v>1625</v>
      </c>
      <c r="I554" t="s">
        <v>11</v>
      </c>
      <c r="J554" t="s">
        <v>34</v>
      </c>
    </row>
    <row r="555" spans="1:10" x14ac:dyDescent="0.25">
      <c r="A555" t="s">
        <v>32</v>
      </c>
      <c r="B555" t="s">
        <v>35</v>
      </c>
      <c r="C555" t="s">
        <v>11</v>
      </c>
      <c r="D555" t="s">
        <v>33</v>
      </c>
      <c r="E555">
        <v>2013</v>
      </c>
      <c r="F555">
        <v>1432</v>
      </c>
      <c r="G555">
        <v>1150</v>
      </c>
      <c r="H555">
        <v>1650</v>
      </c>
      <c r="I555" t="s">
        <v>11</v>
      </c>
      <c r="J555" t="s">
        <v>34</v>
      </c>
    </row>
    <row r="556" spans="1:10" x14ac:dyDescent="0.25">
      <c r="A556" t="s">
        <v>32</v>
      </c>
      <c r="B556" t="s">
        <v>35</v>
      </c>
      <c r="C556" t="s">
        <v>11</v>
      </c>
      <c r="D556" t="s">
        <v>33</v>
      </c>
      <c r="E556">
        <v>2012</v>
      </c>
      <c r="F556">
        <v>1527</v>
      </c>
      <c r="G556">
        <v>1200</v>
      </c>
      <c r="H556">
        <v>1750</v>
      </c>
      <c r="I556" t="s">
        <v>11</v>
      </c>
      <c r="J556" t="s">
        <v>34</v>
      </c>
    </row>
    <row r="557" spans="1:10" x14ac:dyDescent="0.25">
      <c r="A557" t="s">
        <v>32</v>
      </c>
      <c r="B557" t="s">
        <v>35</v>
      </c>
      <c r="C557" t="s">
        <v>11</v>
      </c>
      <c r="D557" t="s">
        <v>33</v>
      </c>
      <c r="E557">
        <v>2011</v>
      </c>
      <c r="F557">
        <v>1749</v>
      </c>
      <c r="G557">
        <v>1300</v>
      </c>
      <c r="H557">
        <v>2100</v>
      </c>
      <c r="I557" t="s">
        <v>11</v>
      </c>
      <c r="J557" t="s">
        <v>34</v>
      </c>
    </row>
    <row r="558" spans="1:10" hidden="1" x14ac:dyDescent="0.25">
      <c r="A558" t="s">
        <v>21</v>
      </c>
      <c r="B558" t="s">
        <v>24</v>
      </c>
      <c r="C558" t="s">
        <v>36</v>
      </c>
      <c r="D558" t="s">
        <v>12</v>
      </c>
      <c r="E558">
        <v>2011</v>
      </c>
      <c r="F558">
        <f>72</f>
        <v>72</v>
      </c>
      <c r="I558" t="s">
        <v>25</v>
      </c>
    </row>
    <row r="559" spans="1:10" hidden="1" x14ac:dyDescent="0.25">
      <c r="A559" t="s">
        <v>21</v>
      </c>
      <c r="B559" t="s">
        <v>26</v>
      </c>
      <c r="C559" t="s">
        <v>36</v>
      </c>
      <c r="D559" t="s">
        <v>12</v>
      </c>
      <c r="E559">
        <v>2011</v>
      </c>
      <c r="F559">
        <f>2</f>
        <v>2</v>
      </c>
      <c r="I559" t="s">
        <v>25</v>
      </c>
    </row>
    <row r="560" spans="1:10" hidden="1" x14ac:dyDescent="0.25">
      <c r="A560" t="s">
        <v>21</v>
      </c>
      <c r="B560" t="s">
        <v>27</v>
      </c>
      <c r="C560" t="s">
        <v>36</v>
      </c>
      <c r="D560" t="s">
        <v>12</v>
      </c>
      <c r="E560">
        <v>2011</v>
      </c>
      <c r="F560">
        <f>0</f>
        <v>0</v>
      </c>
      <c r="I560" t="s">
        <v>25</v>
      </c>
    </row>
    <row r="561" spans="1:9" hidden="1" x14ac:dyDescent="0.25">
      <c r="A561" t="s">
        <v>21</v>
      </c>
      <c r="B561" t="s">
        <v>28</v>
      </c>
      <c r="C561" t="s">
        <v>36</v>
      </c>
      <c r="D561" t="s">
        <v>12</v>
      </c>
      <c r="E561">
        <v>2011</v>
      </c>
      <c r="F561">
        <f>6</f>
        <v>6</v>
      </c>
      <c r="I561" t="s">
        <v>25</v>
      </c>
    </row>
    <row r="562" spans="1:9" hidden="1" x14ac:dyDescent="0.25">
      <c r="A562" t="s">
        <v>21</v>
      </c>
      <c r="B562" t="s">
        <v>29</v>
      </c>
      <c r="C562" t="s">
        <v>36</v>
      </c>
      <c r="D562" t="s">
        <v>12</v>
      </c>
      <c r="E562">
        <v>2011</v>
      </c>
      <c r="F562">
        <v>0</v>
      </c>
      <c r="I562" t="s">
        <v>25</v>
      </c>
    </row>
    <row r="563" spans="1:9" hidden="1" x14ac:dyDescent="0.25">
      <c r="A563" t="s">
        <v>21</v>
      </c>
      <c r="B563" t="s">
        <v>30</v>
      </c>
      <c r="C563" t="s">
        <v>36</v>
      </c>
      <c r="D563" t="s">
        <v>12</v>
      </c>
      <c r="E563">
        <v>2011</v>
      </c>
      <c r="F563">
        <f>17</f>
        <v>17</v>
      </c>
      <c r="I563" t="s">
        <v>25</v>
      </c>
    </row>
    <row r="564" spans="1:9" hidden="1" x14ac:dyDescent="0.25">
      <c r="A564" t="s">
        <v>10</v>
      </c>
      <c r="B564" t="s">
        <v>24</v>
      </c>
      <c r="C564" t="s">
        <v>36</v>
      </c>
      <c r="D564" t="s">
        <v>12</v>
      </c>
      <c r="E564">
        <v>2011</v>
      </c>
      <c r="F564">
        <f>989</f>
        <v>989</v>
      </c>
      <c r="I564" t="s">
        <v>25</v>
      </c>
    </row>
    <row r="565" spans="1:9" hidden="1" x14ac:dyDescent="0.25">
      <c r="A565" t="s">
        <v>10</v>
      </c>
      <c r="B565" t="s">
        <v>26</v>
      </c>
      <c r="C565" t="s">
        <v>36</v>
      </c>
      <c r="D565" t="s">
        <v>12</v>
      </c>
      <c r="E565">
        <v>2011</v>
      </c>
      <c r="F565">
        <f>45</f>
        <v>45</v>
      </c>
      <c r="I565" t="s">
        <v>25</v>
      </c>
    </row>
    <row r="566" spans="1:9" hidden="1" x14ac:dyDescent="0.25">
      <c r="A566" t="s">
        <v>10</v>
      </c>
      <c r="B566" t="s">
        <v>27</v>
      </c>
      <c r="C566" t="s">
        <v>36</v>
      </c>
      <c r="D566" t="s">
        <v>12</v>
      </c>
      <c r="E566">
        <v>2011</v>
      </c>
      <c r="F566">
        <f>26</f>
        <v>26</v>
      </c>
      <c r="I566" t="s">
        <v>25</v>
      </c>
    </row>
    <row r="567" spans="1:9" hidden="1" x14ac:dyDescent="0.25">
      <c r="A567" t="s">
        <v>10</v>
      </c>
      <c r="B567" t="s">
        <v>28</v>
      </c>
      <c r="C567" t="s">
        <v>36</v>
      </c>
      <c r="D567" t="s">
        <v>12</v>
      </c>
      <c r="E567">
        <v>2011</v>
      </c>
      <c r="F567">
        <f>166</f>
        <v>166</v>
      </c>
      <c r="I567" t="s">
        <v>25</v>
      </c>
    </row>
    <row r="568" spans="1:9" hidden="1" x14ac:dyDescent="0.25">
      <c r="A568" t="s">
        <v>10</v>
      </c>
      <c r="B568" t="s">
        <v>29</v>
      </c>
      <c r="C568" t="s">
        <v>36</v>
      </c>
      <c r="D568" t="s">
        <v>12</v>
      </c>
      <c r="E568">
        <v>2011</v>
      </c>
      <c r="F568">
        <f>14-3</f>
        <v>11</v>
      </c>
      <c r="I568" t="s">
        <v>25</v>
      </c>
    </row>
    <row r="569" spans="1:9" hidden="1" x14ac:dyDescent="0.25">
      <c r="A569" t="s">
        <v>10</v>
      </c>
      <c r="B569" t="s">
        <v>30</v>
      </c>
      <c r="C569" t="s">
        <v>36</v>
      </c>
      <c r="D569" t="s">
        <v>12</v>
      </c>
      <c r="E569">
        <v>2011</v>
      </c>
      <c r="F569">
        <f>416</f>
        <v>416</v>
      </c>
      <c r="I569" t="s">
        <v>25</v>
      </c>
    </row>
    <row r="570" spans="1:9" hidden="1" x14ac:dyDescent="0.25">
      <c r="A570" t="s">
        <v>22</v>
      </c>
      <c r="B570" t="s">
        <v>24</v>
      </c>
      <c r="C570" t="s">
        <v>36</v>
      </c>
      <c r="D570" t="s">
        <v>12</v>
      </c>
      <c r="E570">
        <v>2011</v>
      </c>
      <c r="F570">
        <v>3</v>
      </c>
      <c r="I570" t="s">
        <v>25</v>
      </c>
    </row>
    <row r="571" spans="1:9" hidden="1" x14ac:dyDescent="0.25">
      <c r="A571" t="s">
        <v>22</v>
      </c>
      <c r="B571" t="s">
        <v>26</v>
      </c>
      <c r="C571" t="s">
        <v>36</v>
      </c>
      <c r="D571" t="s">
        <v>12</v>
      </c>
      <c r="E571">
        <v>2011</v>
      </c>
      <c r="F571">
        <v>0</v>
      </c>
      <c r="I571" t="s">
        <v>25</v>
      </c>
    </row>
    <row r="572" spans="1:9" hidden="1" x14ac:dyDescent="0.25">
      <c r="A572" t="s">
        <v>22</v>
      </c>
      <c r="B572" t="s">
        <v>27</v>
      </c>
      <c r="C572" t="s">
        <v>36</v>
      </c>
      <c r="D572" t="s">
        <v>12</v>
      </c>
      <c r="E572">
        <v>2011</v>
      </c>
      <c r="F572">
        <v>1</v>
      </c>
      <c r="I572" t="s">
        <v>25</v>
      </c>
    </row>
    <row r="573" spans="1:9" hidden="1" x14ac:dyDescent="0.25">
      <c r="A573" t="s">
        <v>22</v>
      </c>
      <c r="B573" t="s">
        <v>28</v>
      </c>
      <c r="C573" t="s">
        <v>36</v>
      </c>
      <c r="D573" t="s">
        <v>12</v>
      </c>
      <c r="E573">
        <v>2011</v>
      </c>
      <c r="F573">
        <v>5</v>
      </c>
      <c r="I573" t="s">
        <v>25</v>
      </c>
    </row>
    <row r="574" spans="1:9" hidden="1" x14ac:dyDescent="0.25">
      <c r="A574" t="s">
        <v>22</v>
      </c>
      <c r="B574" t="s">
        <v>29</v>
      </c>
      <c r="C574" t="s">
        <v>36</v>
      </c>
      <c r="D574" t="s">
        <v>12</v>
      </c>
      <c r="E574">
        <v>2011</v>
      </c>
      <c r="F574">
        <v>0</v>
      </c>
      <c r="I574" t="s">
        <v>25</v>
      </c>
    </row>
    <row r="575" spans="1:9" hidden="1" x14ac:dyDescent="0.25">
      <c r="A575" t="s">
        <v>22</v>
      </c>
      <c r="B575" t="s">
        <v>30</v>
      </c>
      <c r="C575" t="s">
        <v>36</v>
      </c>
      <c r="D575" t="s">
        <v>12</v>
      </c>
      <c r="E575">
        <v>2011</v>
      </c>
      <c r="F575">
        <v>4</v>
      </c>
      <c r="I575" t="s">
        <v>25</v>
      </c>
    </row>
    <row r="576" spans="1:9" hidden="1" x14ac:dyDescent="0.25">
      <c r="A576" t="s">
        <v>21</v>
      </c>
      <c r="B576" t="s">
        <v>26</v>
      </c>
      <c r="C576" t="s">
        <v>36</v>
      </c>
      <c r="D576" t="s">
        <v>15</v>
      </c>
      <c r="E576">
        <v>2011</v>
      </c>
      <c r="F576">
        <v>0</v>
      </c>
      <c r="I576" t="s">
        <v>25</v>
      </c>
    </row>
    <row r="577" spans="1:9" hidden="1" x14ac:dyDescent="0.25">
      <c r="A577" t="s">
        <v>21</v>
      </c>
      <c r="B577" t="s">
        <v>28</v>
      </c>
      <c r="C577" t="s">
        <v>36</v>
      </c>
      <c r="D577" t="s">
        <v>15</v>
      </c>
      <c r="E577">
        <v>2011</v>
      </c>
      <c r="F577">
        <f>9</f>
        <v>9</v>
      </c>
      <c r="I577" t="s">
        <v>25</v>
      </c>
    </row>
    <row r="578" spans="1:9" hidden="1" x14ac:dyDescent="0.25">
      <c r="A578" t="s">
        <v>21</v>
      </c>
      <c r="B578" t="s">
        <v>29</v>
      </c>
      <c r="C578" t="s">
        <v>36</v>
      </c>
      <c r="D578" t="s">
        <v>15</v>
      </c>
      <c r="E578">
        <v>2011</v>
      </c>
      <c r="F578">
        <v>0</v>
      </c>
      <c r="I578" t="s">
        <v>25</v>
      </c>
    </row>
    <row r="579" spans="1:9" hidden="1" x14ac:dyDescent="0.25">
      <c r="A579" t="s">
        <v>21</v>
      </c>
      <c r="B579" t="s">
        <v>30</v>
      </c>
      <c r="C579" t="s">
        <v>36</v>
      </c>
      <c r="D579" t="s">
        <v>15</v>
      </c>
      <c r="E579">
        <v>2011</v>
      </c>
      <c r="F579">
        <v>2</v>
      </c>
      <c r="I579" t="s">
        <v>25</v>
      </c>
    </row>
    <row r="580" spans="1:9" hidden="1" x14ac:dyDescent="0.25">
      <c r="A580" t="s">
        <v>10</v>
      </c>
      <c r="B580" t="s">
        <v>26</v>
      </c>
      <c r="C580" t="s">
        <v>36</v>
      </c>
      <c r="D580" t="s">
        <v>15</v>
      </c>
      <c r="E580">
        <v>2011</v>
      </c>
      <c r="F580">
        <f>14</f>
        <v>14</v>
      </c>
      <c r="I580" t="s">
        <v>25</v>
      </c>
    </row>
    <row r="581" spans="1:9" hidden="1" x14ac:dyDescent="0.25">
      <c r="A581" t="s">
        <v>10</v>
      </c>
      <c r="B581" t="s">
        <v>28</v>
      </c>
      <c r="C581" t="s">
        <v>36</v>
      </c>
      <c r="D581" t="s">
        <v>15</v>
      </c>
      <c r="E581">
        <v>2011</v>
      </c>
      <c r="F581">
        <f>225</f>
        <v>225</v>
      </c>
      <c r="I581" t="s">
        <v>25</v>
      </c>
    </row>
    <row r="582" spans="1:9" hidden="1" x14ac:dyDescent="0.25">
      <c r="A582" t="s">
        <v>10</v>
      </c>
      <c r="B582" t="s">
        <v>29</v>
      </c>
      <c r="C582" t="s">
        <v>36</v>
      </c>
      <c r="D582" t="s">
        <v>15</v>
      </c>
      <c r="E582">
        <v>2011</v>
      </c>
      <c r="F582">
        <f>24</f>
        <v>24</v>
      </c>
      <c r="I582" t="s">
        <v>25</v>
      </c>
    </row>
    <row r="583" spans="1:9" hidden="1" x14ac:dyDescent="0.25">
      <c r="A583" t="s">
        <v>10</v>
      </c>
      <c r="B583" t="s">
        <v>30</v>
      </c>
      <c r="C583" t="s">
        <v>36</v>
      </c>
      <c r="D583" t="s">
        <v>15</v>
      </c>
      <c r="E583">
        <v>2011</v>
      </c>
      <c r="F583">
        <v>125</v>
      </c>
      <c r="I583" t="s">
        <v>25</v>
      </c>
    </row>
    <row r="584" spans="1:9" hidden="1" x14ac:dyDescent="0.25">
      <c r="A584" t="s">
        <v>22</v>
      </c>
      <c r="B584" t="s">
        <v>26</v>
      </c>
      <c r="C584" t="s">
        <v>36</v>
      </c>
      <c r="D584" t="s">
        <v>15</v>
      </c>
      <c r="E584">
        <v>2011</v>
      </c>
      <c r="F584">
        <v>0</v>
      </c>
      <c r="I584" t="s">
        <v>25</v>
      </c>
    </row>
    <row r="585" spans="1:9" hidden="1" x14ac:dyDescent="0.25">
      <c r="A585" t="s">
        <v>22</v>
      </c>
      <c r="B585" t="s">
        <v>28</v>
      </c>
      <c r="C585" t="s">
        <v>36</v>
      </c>
      <c r="D585" t="s">
        <v>15</v>
      </c>
      <c r="E585">
        <v>2011</v>
      </c>
      <c r="F585">
        <v>4</v>
      </c>
      <c r="I585" t="s">
        <v>25</v>
      </c>
    </row>
    <row r="586" spans="1:9" hidden="1" x14ac:dyDescent="0.25">
      <c r="A586" t="s">
        <v>22</v>
      </c>
      <c r="B586" t="s">
        <v>29</v>
      </c>
      <c r="C586" t="s">
        <v>36</v>
      </c>
      <c r="D586" t="s">
        <v>15</v>
      </c>
      <c r="E586">
        <v>2011</v>
      </c>
      <c r="F586">
        <v>0</v>
      </c>
      <c r="I586" t="s">
        <v>25</v>
      </c>
    </row>
    <row r="587" spans="1:9" hidden="1" x14ac:dyDescent="0.25">
      <c r="A587" t="s">
        <v>22</v>
      </c>
      <c r="B587" t="s">
        <v>30</v>
      </c>
      <c r="C587" t="s">
        <v>36</v>
      </c>
      <c r="D587" t="s">
        <v>15</v>
      </c>
      <c r="E587">
        <v>2011</v>
      </c>
      <c r="F587">
        <v>3</v>
      </c>
      <c r="I587" t="s">
        <v>25</v>
      </c>
    </row>
    <row r="588" spans="1:9" hidden="1" x14ac:dyDescent="0.25">
      <c r="A588" t="s">
        <v>21</v>
      </c>
      <c r="B588" t="s">
        <v>24</v>
      </c>
      <c r="C588" t="s">
        <v>37</v>
      </c>
      <c r="D588" t="s">
        <v>12</v>
      </c>
      <c r="E588">
        <v>2011</v>
      </c>
      <c r="F588">
        <v>1</v>
      </c>
      <c r="I588" t="s">
        <v>25</v>
      </c>
    </row>
    <row r="589" spans="1:9" hidden="1" x14ac:dyDescent="0.25">
      <c r="A589" t="s">
        <v>21</v>
      </c>
      <c r="B589" t="s">
        <v>26</v>
      </c>
      <c r="C589" t="s">
        <v>37</v>
      </c>
      <c r="D589" t="s">
        <v>12</v>
      </c>
      <c r="E589">
        <v>2011</v>
      </c>
      <c r="F589">
        <v>0</v>
      </c>
      <c r="I589" t="s">
        <v>25</v>
      </c>
    </row>
    <row r="590" spans="1:9" hidden="1" x14ac:dyDescent="0.25">
      <c r="A590" t="s">
        <v>21</v>
      </c>
      <c r="B590" t="s">
        <v>27</v>
      </c>
      <c r="C590" t="s">
        <v>37</v>
      </c>
      <c r="D590" t="s">
        <v>12</v>
      </c>
      <c r="E590">
        <v>2011</v>
      </c>
      <c r="F590">
        <v>0</v>
      </c>
      <c r="I590" t="s">
        <v>25</v>
      </c>
    </row>
    <row r="591" spans="1:9" hidden="1" x14ac:dyDescent="0.25">
      <c r="A591" t="s">
        <v>21</v>
      </c>
      <c r="B591" t="s">
        <v>28</v>
      </c>
      <c r="C591" t="s">
        <v>37</v>
      </c>
      <c r="D591" t="s">
        <v>12</v>
      </c>
      <c r="E591">
        <v>2011</v>
      </c>
      <c r="F591">
        <v>1</v>
      </c>
      <c r="I591" t="s">
        <v>25</v>
      </c>
    </row>
    <row r="592" spans="1:9" hidden="1" x14ac:dyDescent="0.25">
      <c r="A592" t="s">
        <v>21</v>
      </c>
      <c r="B592" t="s">
        <v>29</v>
      </c>
      <c r="C592" t="s">
        <v>37</v>
      </c>
      <c r="D592" t="s">
        <v>12</v>
      </c>
      <c r="E592">
        <v>2011</v>
      </c>
      <c r="F592">
        <v>0</v>
      </c>
      <c r="I592" t="s">
        <v>25</v>
      </c>
    </row>
    <row r="593" spans="1:9" hidden="1" x14ac:dyDescent="0.25">
      <c r="A593" t="s">
        <v>21</v>
      </c>
      <c r="B593" t="s">
        <v>30</v>
      </c>
      <c r="C593" t="s">
        <v>37</v>
      </c>
      <c r="D593" t="s">
        <v>12</v>
      </c>
      <c r="E593">
        <v>2011</v>
      </c>
      <c r="F593">
        <v>1</v>
      </c>
      <c r="I593" t="s">
        <v>25</v>
      </c>
    </row>
    <row r="594" spans="1:9" hidden="1" x14ac:dyDescent="0.25">
      <c r="A594" t="s">
        <v>10</v>
      </c>
      <c r="B594" t="s">
        <v>24</v>
      </c>
      <c r="C594" t="s">
        <v>37</v>
      </c>
      <c r="D594" t="s">
        <v>12</v>
      </c>
      <c r="E594">
        <v>2011</v>
      </c>
      <c r="F594">
        <v>91</v>
      </c>
      <c r="I594" t="s">
        <v>25</v>
      </c>
    </row>
    <row r="595" spans="1:9" hidden="1" x14ac:dyDescent="0.25">
      <c r="A595" t="s">
        <v>10</v>
      </c>
      <c r="B595" t="s">
        <v>26</v>
      </c>
      <c r="C595" t="s">
        <v>37</v>
      </c>
      <c r="D595" t="s">
        <v>12</v>
      </c>
      <c r="E595">
        <v>2011</v>
      </c>
      <c r="F595">
        <v>18</v>
      </c>
      <c r="I595" t="s">
        <v>25</v>
      </c>
    </row>
    <row r="596" spans="1:9" hidden="1" x14ac:dyDescent="0.25">
      <c r="A596" t="s">
        <v>10</v>
      </c>
      <c r="B596" t="s">
        <v>27</v>
      </c>
      <c r="C596" t="s">
        <v>37</v>
      </c>
      <c r="D596" t="s">
        <v>12</v>
      </c>
      <c r="E596">
        <v>2011</v>
      </c>
      <c r="F596">
        <v>9</v>
      </c>
      <c r="I596" t="s">
        <v>25</v>
      </c>
    </row>
    <row r="597" spans="1:9" hidden="1" x14ac:dyDescent="0.25">
      <c r="A597" t="s">
        <v>10</v>
      </c>
      <c r="B597" t="s">
        <v>28</v>
      </c>
      <c r="C597" t="s">
        <v>37</v>
      </c>
      <c r="D597" t="s">
        <v>12</v>
      </c>
      <c r="E597">
        <v>2011</v>
      </c>
      <c r="F597">
        <v>15</v>
      </c>
      <c r="I597" t="s">
        <v>25</v>
      </c>
    </row>
    <row r="598" spans="1:9" hidden="1" x14ac:dyDescent="0.25">
      <c r="A598" t="s">
        <v>10</v>
      </c>
      <c r="B598" t="s">
        <v>29</v>
      </c>
      <c r="C598" t="s">
        <v>37</v>
      </c>
      <c r="D598" t="s">
        <v>12</v>
      </c>
      <c r="E598">
        <v>2011</v>
      </c>
      <c r="F598">
        <v>2</v>
      </c>
      <c r="I598" t="s">
        <v>25</v>
      </c>
    </row>
    <row r="599" spans="1:9" hidden="1" x14ac:dyDescent="0.25">
      <c r="A599" t="s">
        <v>10</v>
      </c>
      <c r="B599" t="s">
        <v>30</v>
      </c>
      <c r="C599" t="s">
        <v>37</v>
      </c>
      <c r="D599" t="s">
        <v>12</v>
      </c>
      <c r="E599">
        <v>2011</v>
      </c>
      <c r="F599">
        <v>54</v>
      </c>
      <c r="I599" t="s">
        <v>25</v>
      </c>
    </row>
    <row r="600" spans="1:9" hidden="1" x14ac:dyDescent="0.25">
      <c r="A600" t="s">
        <v>22</v>
      </c>
      <c r="B600" t="s">
        <v>24</v>
      </c>
      <c r="C600" t="s">
        <v>37</v>
      </c>
      <c r="D600" t="s">
        <v>12</v>
      </c>
      <c r="E600">
        <v>2011</v>
      </c>
      <c r="F600">
        <v>2</v>
      </c>
      <c r="I600" t="s">
        <v>25</v>
      </c>
    </row>
    <row r="601" spans="1:9" hidden="1" x14ac:dyDescent="0.25">
      <c r="A601" t="s">
        <v>22</v>
      </c>
      <c r="B601" t="s">
        <v>26</v>
      </c>
      <c r="C601" t="s">
        <v>37</v>
      </c>
      <c r="D601" t="s">
        <v>12</v>
      </c>
      <c r="E601">
        <v>2011</v>
      </c>
      <c r="F601">
        <v>1</v>
      </c>
      <c r="I601" t="s">
        <v>25</v>
      </c>
    </row>
    <row r="602" spans="1:9" hidden="1" x14ac:dyDescent="0.25">
      <c r="A602" t="s">
        <v>22</v>
      </c>
      <c r="B602" t="s">
        <v>27</v>
      </c>
      <c r="C602" t="s">
        <v>37</v>
      </c>
      <c r="D602" t="s">
        <v>12</v>
      </c>
      <c r="E602">
        <v>2011</v>
      </c>
      <c r="F602">
        <v>0</v>
      </c>
      <c r="I602" t="s">
        <v>25</v>
      </c>
    </row>
    <row r="603" spans="1:9" hidden="1" x14ac:dyDescent="0.25">
      <c r="A603" t="s">
        <v>22</v>
      </c>
      <c r="B603" t="s">
        <v>28</v>
      </c>
      <c r="C603" t="s">
        <v>37</v>
      </c>
      <c r="D603" t="s">
        <v>12</v>
      </c>
      <c r="E603">
        <v>2011</v>
      </c>
      <c r="F603">
        <v>0</v>
      </c>
      <c r="I603" t="s">
        <v>25</v>
      </c>
    </row>
    <row r="604" spans="1:9" hidden="1" x14ac:dyDescent="0.25">
      <c r="A604" t="s">
        <v>22</v>
      </c>
      <c r="B604" t="s">
        <v>29</v>
      </c>
      <c r="C604" t="s">
        <v>37</v>
      </c>
      <c r="D604" t="s">
        <v>12</v>
      </c>
      <c r="E604">
        <v>2011</v>
      </c>
      <c r="F604">
        <v>0</v>
      </c>
      <c r="I604" t="s">
        <v>25</v>
      </c>
    </row>
    <row r="605" spans="1:9" hidden="1" x14ac:dyDescent="0.25">
      <c r="A605" t="s">
        <v>22</v>
      </c>
      <c r="B605" t="s">
        <v>30</v>
      </c>
      <c r="C605" t="s">
        <v>37</v>
      </c>
      <c r="D605" t="s">
        <v>12</v>
      </c>
      <c r="E605">
        <v>2011</v>
      </c>
      <c r="F605">
        <v>2</v>
      </c>
      <c r="I605" t="s">
        <v>25</v>
      </c>
    </row>
    <row r="606" spans="1:9" hidden="1" x14ac:dyDescent="0.25">
      <c r="A606" t="s">
        <v>21</v>
      </c>
      <c r="B606" t="s">
        <v>26</v>
      </c>
      <c r="C606" t="s">
        <v>37</v>
      </c>
      <c r="D606" t="s">
        <v>15</v>
      </c>
      <c r="E606">
        <v>2011</v>
      </c>
      <c r="F606">
        <v>0</v>
      </c>
      <c r="I606" t="s">
        <v>25</v>
      </c>
    </row>
    <row r="607" spans="1:9" hidden="1" x14ac:dyDescent="0.25">
      <c r="A607" t="s">
        <v>21</v>
      </c>
      <c r="B607" t="s">
        <v>28</v>
      </c>
      <c r="C607" t="s">
        <v>37</v>
      </c>
      <c r="D607" t="s">
        <v>15</v>
      </c>
      <c r="E607">
        <v>2011</v>
      </c>
      <c r="F607">
        <v>0</v>
      </c>
      <c r="I607" t="s">
        <v>25</v>
      </c>
    </row>
    <row r="608" spans="1:9" hidden="1" x14ac:dyDescent="0.25">
      <c r="A608" t="s">
        <v>21</v>
      </c>
      <c r="B608" t="s">
        <v>29</v>
      </c>
      <c r="C608" t="s">
        <v>37</v>
      </c>
      <c r="D608" t="s">
        <v>15</v>
      </c>
      <c r="E608">
        <v>2011</v>
      </c>
      <c r="F608">
        <v>1</v>
      </c>
      <c r="I608" t="s">
        <v>25</v>
      </c>
    </row>
    <row r="609" spans="1:9" hidden="1" x14ac:dyDescent="0.25">
      <c r="A609" t="s">
        <v>21</v>
      </c>
      <c r="B609" t="s">
        <v>30</v>
      </c>
      <c r="C609" t="s">
        <v>37</v>
      </c>
      <c r="D609" t="s">
        <v>15</v>
      </c>
      <c r="E609">
        <v>2011</v>
      </c>
      <c r="F609">
        <v>0</v>
      </c>
      <c r="I609" t="s">
        <v>25</v>
      </c>
    </row>
    <row r="610" spans="1:9" hidden="1" x14ac:dyDescent="0.25">
      <c r="A610" t="s">
        <v>10</v>
      </c>
      <c r="B610" t="s">
        <v>26</v>
      </c>
      <c r="C610" t="s">
        <v>37</v>
      </c>
      <c r="D610" t="s">
        <v>15</v>
      </c>
      <c r="E610">
        <v>2011</v>
      </c>
      <c r="F610">
        <v>4</v>
      </c>
      <c r="I610" t="s">
        <v>25</v>
      </c>
    </row>
    <row r="611" spans="1:9" hidden="1" x14ac:dyDescent="0.25">
      <c r="A611" t="s">
        <v>10</v>
      </c>
      <c r="B611" t="s">
        <v>28</v>
      </c>
      <c r="C611" t="s">
        <v>37</v>
      </c>
      <c r="D611" t="s">
        <v>15</v>
      </c>
      <c r="E611">
        <v>2011</v>
      </c>
      <c r="F611">
        <v>48</v>
      </c>
      <c r="I611" t="s">
        <v>25</v>
      </c>
    </row>
    <row r="612" spans="1:9" hidden="1" x14ac:dyDescent="0.25">
      <c r="A612" t="s">
        <v>10</v>
      </c>
      <c r="B612" t="s">
        <v>29</v>
      </c>
      <c r="C612" t="s">
        <v>37</v>
      </c>
      <c r="D612" t="s">
        <v>15</v>
      </c>
      <c r="E612">
        <v>2011</v>
      </c>
      <c r="F612">
        <v>7</v>
      </c>
      <c r="I612" t="s">
        <v>25</v>
      </c>
    </row>
    <row r="613" spans="1:9" hidden="1" x14ac:dyDescent="0.25">
      <c r="A613" t="s">
        <v>10</v>
      </c>
      <c r="B613" t="s">
        <v>30</v>
      </c>
      <c r="C613" t="s">
        <v>37</v>
      </c>
      <c r="D613" t="s">
        <v>15</v>
      </c>
      <c r="E613">
        <v>2011</v>
      </c>
      <c r="F613">
        <v>16</v>
      </c>
      <c r="I613" t="s">
        <v>25</v>
      </c>
    </row>
    <row r="614" spans="1:9" hidden="1" x14ac:dyDescent="0.25">
      <c r="A614" t="s">
        <v>22</v>
      </c>
      <c r="B614" t="s">
        <v>26</v>
      </c>
      <c r="C614" t="s">
        <v>37</v>
      </c>
      <c r="D614" t="s">
        <v>15</v>
      </c>
      <c r="E614">
        <v>2011</v>
      </c>
      <c r="F614">
        <v>1</v>
      </c>
      <c r="I614" t="s">
        <v>25</v>
      </c>
    </row>
    <row r="615" spans="1:9" hidden="1" x14ac:dyDescent="0.25">
      <c r="A615" t="s">
        <v>22</v>
      </c>
      <c r="B615" t="s">
        <v>28</v>
      </c>
      <c r="C615" t="s">
        <v>37</v>
      </c>
      <c r="D615" t="s">
        <v>15</v>
      </c>
      <c r="E615">
        <v>2011</v>
      </c>
      <c r="F615">
        <v>0</v>
      </c>
      <c r="I615" t="s">
        <v>25</v>
      </c>
    </row>
    <row r="616" spans="1:9" hidden="1" x14ac:dyDescent="0.25">
      <c r="A616" t="s">
        <v>22</v>
      </c>
      <c r="B616" t="s">
        <v>29</v>
      </c>
      <c r="C616" t="s">
        <v>37</v>
      </c>
      <c r="D616" t="s">
        <v>15</v>
      </c>
      <c r="E616">
        <v>2011</v>
      </c>
      <c r="F616">
        <v>1</v>
      </c>
      <c r="I616" t="s">
        <v>25</v>
      </c>
    </row>
    <row r="617" spans="1:9" hidden="1" x14ac:dyDescent="0.25">
      <c r="A617" t="s">
        <v>22</v>
      </c>
      <c r="B617" t="s">
        <v>30</v>
      </c>
      <c r="C617" t="s">
        <v>37</v>
      </c>
      <c r="D617" t="s">
        <v>15</v>
      </c>
      <c r="E617">
        <v>2011</v>
      </c>
      <c r="F617">
        <v>0</v>
      </c>
      <c r="I617" t="s">
        <v>25</v>
      </c>
    </row>
    <row r="618" spans="1:9" hidden="1" x14ac:dyDescent="0.25">
      <c r="A618" t="s">
        <v>21</v>
      </c>
      <c r="B618" t="s">
        <v>24</v>
      </c>
      <c r="C618" t="s">
        <v>36</v>
      </c>
      <c r="D618" t="s">
        <v>12</v>
      </c>
      <c r="E618">
        <v>2012</v>
      </c>
      <c r="F618">
        <v>69</v>
      </c>
      <c r="I618" t="s">
        <v>25</v>
      </c>
    </row>
    <row r="619" spans="1:9" hidden="1" x14ac:dyDescent="0.25">
      <c r="A619" t="s">
        <v>21</v>
      </c>
      <c r="B619" t="s">
        <v>26</v>
      </c>
      <c r="C619" t="s">
        <v>36</v>
      </c>
      <c r="D619" t="s">
        <v>12</v>
      </c>
      <c r="E619">
        <v>2012</v>
      </c>
      <c r="F619">
        <v>2</v>
      </c>
      <c r="I619" t="s">
        <v>25</v>
      </c>
    </row>
    <row r="620" spans="1:9" hidden="1" x14ac:dyDescent="0.25">
      <c r="A620" t="s">
        <v>21</v>
      </c>
      <c r="B620" t="s">
        <v>27</v>
      </c>
      <c r="C620" t="s">
        <v>36</v>
      </c>
      <c r="D620" t="s">
        <v>12</v>
      </c>
      <c r="E620">
        <v>2012</v>
      </c>
      <c r="F620">
        <v>3</v>
      </c>
      <c r="I620" t="s">
        <v>25</v>
      </c>
    </row>
    <row r="621" spans="1:9" hidden="1" x14ac:dyDescent="0.25">
      <c r="A621" t="s">
        <v>21</v>
      </c>
      <c r="B621" t="s">
        <v>28</v>
      </c>
      <c r="C621" t="s">
        <v>36</v>
      </c>
      <c r="D621" t="s">
        <v>12</v>
      </c>
      <c r="E621">
        <v>2012</v>
      </c>
      <c r="F621">
        <v>3</v>
      </c>
      <c r="I621" t="s">
        <v>25</v>
      </c>
    </row>
    <row r="622" spans="1:9" hidden="1" x14ac:dyDescent="0.25">
      <c r="A622" t="s">
        <v>21</v>
      </c>
      <c r="B622" t="s">
        <v>29</v>
      </c>
      <c r="C622" t="s">
        <v>36</v>
      </c>
      <c r="D622" t="s">
        <v>12</v>
      </c>
      <c r="E622">
        <v>2012</v>
      </c>
      <c r="F622">
        <v>0</v>
      </c>
      <c r="I622" t="s">
        <v>25</v>
      </c>
    </row>
    <row r="623" spans="1:9" hidden="1" x14ac:dyDescent="0.25">
      <c r="A623" t="s">
        <v>21</v>
      </c>
      <c r="B623" t="s">
        <v>30</v>
      </c>
      <c r="C623" t="s">
        <v>36</v>
      </c>
      <c r="D623" t="s">
        <v>12</v>
      </c>
      <c r="E623">
        <v>2012</v>
      </c>
      <c r="F623">
        <v>18</v>
      </c>
      <c r="I623" t="s">
        <v>25</v>
      </c>
    </row>
    <row r="624" spans="1:9" hidden="1" x14ac:dyDescent="0.25">
      <c r="A624" t="s">
        <v>10</v>
      </c>
      <c r="B624" t="s">
        <v>24</v>
      </c>
      <c r="C624" t="s">
        <v>36</v>
      </c>
      <c r="D624" t="s">
        <v>12</v>
      </c>
      <c r="E624">
        <v>2012</v>
      </c>
      <c r="F624">
        <v>1063</v>
      </c>
      <c r="I624" t="s">
        <v>25</v>
      </c>
    </row>
    <row r="625" spans="1:9" hidden="1" x14ac:dyDescent="0.25">
      <c r="A625" t="s">
        <v>10</v>
      </c>
      <c r="B625" t="s">
        <v>26</v>
      </c>
      <c r="C625" t="s">
        <v>36</v>
      </c>
      <c r="D625" t="s">
        <v>12</v>
      </c>
      <c r="E625">
        <v>2012</v>
      </c>
      <c r="F625">
        <v>45</v>
      </c>
      <c r="I625" t="s">
        <v>25</v>
      </c>
    </row>
    <row r="626" spans="1:9" hidden="1" x14ac:dyDescent="0.25">
      <c r="A626" t="s">
        <v>10</v>
      </c>
      <c r="B626" t="s">
        <v>27</v>
      </c>
      <c r="C626" t="s">
        <v>36</v>
      </c>
      <c r="D626" t="s">
        <v>12</v>
      </c>
      <c r="E626">
        <v>2012</v>
      </c>
      <c r="F626">
        <v>28</v>
      </c>
      <c r="I626" t="s">
        <v>25</v>
      </c>
    </row>
    <row r="627" spans="1:9" hidden="1" x14ac:dyDescent="0.25">
      <c r="A627" t="s">
        <v>10</v>
      </c>
      <c r="B627" t="s">
        <v>28</v>
      </c>
      <c r="C627" t="s">
        <v>36</v>
      </c>
      <c r="D627" t="s">
        <v>12</v>
      </c>
      <c r="E627">
        <v>2012</v>
      </c>
      <c r="F627">
        <v>167</v>
      </c>
      <c r="I627" t="s">
        <v>25</v>
      </c>
    </row>
    <row r="628" spans="1:9" hidden="1" x14ac:dyDescent="0.25">
      <c r="A628" t="s">
        <v>10</v>
      </c>
      <c r="B628" t="s">
        <v>29</v>
      </c>
      <c r="C628" t="s">
        <v>36</v>
      </c>
      <c r="D628" t="s">
        <v>12</v>
      </c>
      <c r="E628">
        <v>2012</v>
      </c>
      <c r="F628">
        <f>14-3</f>
        <v>11</v>
      </c>
      <c r="I628" t="s">
        <v>25</v>
      </c>
    </row>
    <row r="629" spans="1:9" hidden="1" x14ac:dyDescent="0.25">
      <c r="A629" t="s">
        <v>10</v>
      </c>
      <c r="B629" t="s">
        <v>30</v>
      </c>
      <c r="C629" t="s">
        <v>36</v>
      </c>
      <c r="D629" t="s">
        <v>12</v>
      </c>
      <c r="E629">
        <v>2012</v>
      </c>
      <c r="F629">
        <v>429</v>
      </c>
      <c r="I629" t="s">
        <v>25</v>
      </c>
    </row>
    <row r="630" spans="1:9" hidden="1" x14ac:dyDescent="0.25">
      <c r="A630" t="s">
        <v>22</v>
      </c>
      <c r="B630" t="s">
        <v>24</v>
      </c>
      <c r="C630" t="s">
        <v>36</v>
      </c>
      <c r="D630" t="s">
        <v>12</v>
      </c>
      <c r="E630">
        <v>2012</v>
      </c>
      <c r="F630">
        <v>8</v>
      </c>
      <c r="I630" t="s">
        <v>25</v>
      </c>
    </row>
    <row r="631" spans="1:9" hidden="1" x14ac:dyDescent="0.25">
      <c r="A631" t="s">
        <v>22</v>
      </c>
      <c r="B631" t="s">
        <v>26</v>
      </c>
      <c r="C631" t="s">
        <v>36</v>
      </c>
      <c r="D631" t="s">
        <v>12</v>
      </c>
      <c r="E631">
        <v>2012</v>
      </c>
      <c r="F631">
        <v>2</v>
      </c>
      <c r="I631" t="s">
        <v>25</v>
      </c>
    </row>
    <row r="632" spans="1:9" hidden="1" x14ac:dyDescent="0.25">
      <c r="A632" t="s">
        <v>22</v>
      </c>
      <c r="B632" t="s">
        <v>27</v>
      </c>
      <c r="C632" t="s">
        <v>36</v>
      </c>
      <c r="D632" t="s">
        <v>12</v>
      </c>
      <c r="E632">
        <v>2012</v>
      </c>
      <c r="F632">
        <v>1</v>
      </c>
      <c r="I632" t="s">
        <v>25</v>
      </c>
    </row>
    <row r="633" spans="1:9" hidden="1" x14ac:dyDescent="0.25">
      <c r="A633" t="s">
        <v>22</v>
      </c>
      <c r="B633" t="s">
        <v>28</v>
      </c>
      <c r="C633" t="s">
        <v>36</v>
      </c>
      <c r="D633" t="s">
        <v>12</v>
      </c>
      <c r="E633">
        <v>2012</v>
      </c>
      <c r="F633">
        <v>3</v>
      </c>
      <c r="I633" t="s">
        <v>25</v>
      </c>
    </row>
    <row r="634" spans="1:9" hidden="1" x14ac:dyDescent="0.25">
      <c r="A634" t="s">
        <v>22</v>
      </c>
      <c r="B634" t="s">
        <v>29</v>
      </c>
      <c r="C634" t="s">
        <v>36</v>
      </c>
      <c r="D634" t="s">
        <v>12</v>
      </c>
      <c r="E634">
        <v>2012</v>
      </c>
      <c r="F634">
        <v>0</v>
      </c>
      <c r="I634" t="s">
        <v>25</v>
      </c>
    </row>
    <row r="635" spans="1:9" hidden="1" x14ac:dyDescent="0.25">
      <c r="A635" t="s">
        <v>22</v>
      </c>
      <c r="B635" t="s">
        <v>30</v>
      </c>
      <c r="C635" t="s">
        <v>36</v>
      </c>
      <c r="D635" t="s">
        <v>12</v>
      </c>
      <c r="E635">
        <v>2012</v>
      </c>
      <c r="F635">
        <v>7</v>
      </c>
      <c r="I635" t="s">
        <v>25</v>
      </c>
    </row>
    <row r="636" spans="1:9" hidden="1" x14ac:dyDescent="0.25">
      <c r="A636" t="s">
        <v>21</v>
      </c>
      <c r="B636" t="s">
        <v>26</v>
      </c>
      <c r="C636" t="s">
        <v>36</v>
      </c>
      <c r="D636" t="s">
        <v>15</v>
      </c>
      <c r="E636">
        <v>2012</v>
      </c>
      <c r="F636">
        <v>1</v>
      </c>
      <c r="I636" t="s">
        <v>25</v>
      </c>
    </row>
    <row r="637" spans="1:9" hidden="1" x14ac:dyDescent="0.25">
      <c r="A637" t="s">
        <v>21</v>
      </c>
      <c r="B637" t="s">
        <v>28</v>
      </c>
      <c r="C637" t="s">
        <v>36</v>
      </c>
      <c r="D637" t="s">
        <v>15</v>
      </c>
      <c r="E637">
        <v>2012</v>
      </c>
      <c r="F637">
        <v>6</v>
      </c>
      <c r="I637" t="s">
        <v>25</v>
      </c>
    </row>
    <row r="638" spans="1:9" hidden="1" x14ac:dyDescent="0.25">
      <c r="A638" t="s">
        <v>21</v>
      </c>
      <c r="B638" t="s">
        <v>29</v>
      </c>
      <c r="C638" t="s">
        <v>36</v>
      </c>
      <c r="D638" t="s">
        <v>15</v>
      </c>
      <c r="E638">
        <v>2012</v>
      </c>
      <c r="F638">
        <v>1</v>
      </c>
      <c r="I638" t="s">
        <v>25</v>
      </c>
    </row>
    <row r="639" spans="1:9" hidden="1" x14ac:dyDescent="0.25">
      <c r="A639" t="s">
        <v>21</v>
      </c>
      <c r="B639" t="s">
        <v>30</v>
      </c>
      <c r="C639" t="s">
        <v>36</v>
      </c>
      <c r="D639" t="s">
        <v>15</v>
      </c>
      <c r="E639">
        <v>2012</v>
      </c>
      <c r="F639">
        <v>4</v>
      </c>
      <c r="I639" t="s">
        <v>25</v>
      </c>
    </row>
    <row r="640" spans="1:9" hidden="1" x14ac:dyDescent="0.25">
      <c r="A640" t="s">
        <v>10</v>
      </c>
      <c r="B640" t="s">
        <v>26</v>
      </c>
      <c r="C640" t="s">
        <v>36</v>
      </c>
      <c r="D640" t="s">
        <v>15</v>
      </c>
      <c r="E640">
        <v>2012</v>
      </c>
      <c r="F640">
        <v>16</v>
      </c>
      <c r="I640" t="s">
        <v>25</v>
      </c>
    </row>
    <row r="641" spans="1:9" hidden="1" x14ac:dyDescent="0.25">
      <c r="A641" t="s">
        <v>10</v>
      </c>
      <c r="B641" t="s">
        <v>28</v>
      </c>
      <c r="C641" t="s">
        <v>36</v>
      </c>
      <c r="D641" t="s">
        <v>15</v>
      </c>
      <c r="E641">
        <v>2012</v>
      </c>
      <c r="F641">
        <v>232</v>
      </c>
      <c r="I641" t="s">
        <v>25</v>
      </c>
    </row>
    <row r="642" spans="1:9" hidden="1" x14ac:dyDescent="0.25">
      <c r="A642" t="s">
        <v>10</v>
      </c>
      <c r="B642" t="s">
        <v>29</v>
      </c>
      <c r="C642" t="s">
        <v>36</v>
      </c>
      <c r="D642" t="s">
        <v>15</v>
      </c>
      <c r="E642">
        <v>2012</v>
      </c>
      <c r="F642">
        <v>25</v>
      </c>
      <c r="I642" t="s">
        <v>25</v>
      </c>
    </row>
    <row r="643" spans="1:9" hidden="1" x14ac:dyDescent="0.25">
      <c r="A643" t="s">
        <v>10</v>
      </c>
      <c r="B643" t="s">
        <v>30</v>
      </c>
      <c r="C643" t="s">
        <v>36</v>
      </c>
      <c r="D643" t="s">
        <v>15</v>
      </c>
      <c r="E643">
        <v>2012</v>
      </c>
      <c r="F643">
        <v>128</v>
      </c>
      <c r="I643" t="s">
        <v>25</v>
      </c>
    </row>
    <row r="644" spans="1:9" hidden="1" x14ac:dyDescent="0.25">
      <c r="A644" t="s">
        <v>22</v>
      </c>
      <c r="B644" t="s">
        <v>26</v>
      </c>
      <c r="C644" t="s">
        <v>36</v>
      </c>
      <c r="D644" t="s">
        <v>15</v>
      </c>
      <c r="E644">
        <v>2012</v>
      </c>
      <c r="F644">
        <v>0</v>
      </c>
      <c r="I644" t="s">
        <v>25</v>
      </c>
    </row>
    <row r="645" spans="1:9" hidden="1" x14ac:dyDescent="0.25">
      <c r="A645" t="s">
        <v>22</v>
      </c>
      <c r="B645" t="s">
        <v>28</v>
      </c>
      <c r="C645" t="s">
        <v>36</v>
      </c>
      <c r="D645" t="s">
        <v>15</v>
      </c>
      <c r="E645">
        <v>2012</v>
      </c>
      <c r="F645">
        <v>1</v>
      </c>
      <c r="I645" t="s">
        <v>25</v>
      </c>
    </row>
    <row r="646" spans="1:9" hidden="1" x14ac:dyDescent="0.25">
      <c r="A646" t="s">
        <v>22</v>
      </c>
      <c r="B646" t="s">
        <v>29</v>
      </c>
      <c r="C646" t="s">
        <v>36</v>
      </c>
      <c r="D646" t="s">
        <v>15</v>
      </c>
      <c r="E646">
        <v>2012</v>
      </c>
      <c r="F646">
        <v>0</v>
      </c>
      <c r="I646" t="s">
        <v>25</v>
      </c>
    </row>
    <row r="647" spans="1:9" hidden="1" x14ac:dyDescent="0.25">
      <c r="A647" t="s">
        <v>22</v>
      </c>
      <c r="B647" t="s">
        <v>30</v>
      </c>
      <c r="C647" t="s">
        <v>36</v>
      </c>
      <c r="D647" t="s">
        <v>15</v>
      </c>
      <c r="E647">
        <v>2012</v>
      </c>
      <c r="F647">
        <v>2</v>
      </c>
      <c r="I647" t="s">
        <v>25</v>
      </c>
    </row>
    <row r="648" spans="1:9" hidden="1" x14ac:dyDescent="0.25">
      <c r="A648" t="s">
        <v>21</v>
      </c>
      <c r="B648" t="s">
        <v>24</v>
      </c>
      <c r="C648" t="s">
        <v>37</v>
      </c>
      <c r="D648" t="s">
        <v>12</v>
      </c>
      <c r="E648">
        <v>2012</v>
      </c>
      <c r="F648">
        <v>0</v>
      </c>
      <c r="I648" t="s">
        <v>25</v>
      </c>
    </row>
    <row r="649" spans="1:9" hidden="1" x14ac:dyDescent="0.25">
      <c r="A649" t="s">
        <v>21</v>
      </c>
      <c r="B649" t="s">
        <v>26</v>
      </c>
      <c r="C649" t="s">
        <v>37</v>
      </c>
      <c r="D649" t="s">
        <v>12</v>
      </c>
      <c r="E649">
        <v>2012</v>
      </c>
      <c r="F649">
        <v>0</v>
      </c>
      <c r="I649" t="s">
        <v>25</v>
      </c>
    </row>
    <row r="650" spans="1:9" hidden="1" x14ac:dyDescent="0.25">
      <c r="A650" t="s">
        <v>21</v>
      </c>
      <c r="B650" t="s">
        <v>27</v>
      </c>
      <c r="C650" t="s">
        <v>37</v>
      </c>
      <c r="D650" t="s">
        <v>12</v>
      </c>
      <c r="E650">
        <v>2012</v>
      </c>
      <c r="F650">
        <v>0</v>
      </c>
      <c r="I650" t="s">
        <v>25</v>
      </c>
    </row>
    <row r="651" spans="1:9" hidden="1" x14ac:dyDescent="0.25">
      <c r="A651" t="s">
        <v>21</v>
      </c>
      <c r="B651" t="s">
        <v>28</v>
      </c>
      <c r="C651" t="s">
        <v>37</v>
      </c>
      <c r="D651" t="s">
        <v>12</v>
      </c>
      <c r="E651">
        <v>2012</v>
      </c>
      <c r="F651">
        <v>1</v>
      </c>
      <c r="I651" t="s">
        <v>25</v>
      </c>
    </row>
    <row r="652" spans="1:9" hidden="1" x14ac:dyDescent="0.25">
      <c r="A652" t="s">
        <v>21</v>
      </c>
      <c r="B652" t="s">
        <v>29</v>
      </c>
      <c r="C652" t="s">
        <v>37</v>
      </c>
      <c r="D652" t="s">
        <v>12</v>
      </c>
      <c r="E652">
        <v>2012</v>
      </c>
      <c r="F652">
        <v>0</v>
      </c>
      <c r="I652" t="s">
        <v>25</v>
      </c>
    </row>
    <row r="653" spans="1:9" hidden="1" x14ac:dyDescent="0.25">
      <c r="A653" t="s">
        <v>21</v>
      </c>
      <c r="B653" t="s">
        <v>30</v>
      </c>
      <c r="C653" t="s">
        <v>37</v>
      </c>
      <c r="D653" t="s">
        <v>12</v>
      </c>
      <c r="E653">
        <v>2012</v>
      </c>
      <c r="F653">
        <v>1</v>
      </c>
      <c r="I653" t="s">
        <v>25</v>
      </c>
    </row>
    <row r="654" spans="1:9" hidden="1" x14ac:dyDescent="0.25">
      <c r="A654" t="s">
        <v>10</v>
      </c>
      <c r="B654" t="s">
        <v>24</v>
      </c>
      <c r="C654" t="s">
        <v>37</v>
      </c>
      <c r="D654" t="s">
        <v>12</v>
      </c>
      <c r="E654">
        <v>2012</v>
      </c>
      <c r="F654">
        <v>92</v>
      </c>
      <c r="I654" t="s">
        <v>25</v>
      </c>
    </row>
    <row r="655" spans="1:9" hidden="1" x14ac:dyDescent="0.25">
      <c r="A655" t="s">
        <v>10</v>
      </c>
      <c r="B655" t="s">
        <v>26</v>
      </c>
      <c r="C655" t="s">
        <v>37</v>
      </c>
      <c r="D655" t="s">
        <v>12</v>
      </c>
      <c r="E655">
        <v>2012</v>
      </c>
      <c r="F655">
        <v>17</v>
      </c>
      <c r="I655" t="s">
        <v>25</v>
      </c>
    </row>
    <row r="656" spans="1:9" hidden="1" x14ac:dyDescent="0.25">
      <c r="A656" t="s">
        <v>10</v>
      </c>
      <c r="B656" t="s">
        <v>27</v>
      </c>
      <c r="C656" t="s">
        <v>37</v>
      </c>
      <c r="D656" t="s">
        <v>12</v>
      </c>
      <c r="E656">
        <v>2012</v>
      </c>
      <c r="F656">
        <v>9</v>
      </c>
      <c r="I656" t="s">
        <v>25</v>
      </c>
    </row>
    <row r="657" spans="1:9" hidden="1" x14ac:dyDescent="0.25">
      <c r="A657" t="s">
        <v>10</v>
      </c>
      <c r="B657" t="s">
        <v>28</v>
      </c>
      <c r="C657" t="s">
        <v>37</v>
      </c>
      <c r="D657" t="s">
        <v>12</v>
      </c>
      <c r="E657">
        <v>2012</v>
      </c>
      <c r="F657">
        <v>15</v>
      </c>
      <c r="I657" t="s">
        <v>25</v>
      </c>
    </row>
    <row r="658" spans="1:9" hidden="1" x14ac:dyDescent="0.25">
      <c r="A658" t="s">
        <v>10</v>
      </c>
      <c r="B658" t="s">
        <v>29</v>
      </c>
      <c r="C658" t="s">
        <v>37</v>
      </c>
      <c r="D658" t="s">
        <v>12</v>
      </c>
      <c r="E658">
        <v>2012</v>
      </c>
      <c r="F658">
        <v>2</v>
      </c>
      <c r="I658" t="s">
        <v>25</v>
      </c>
    </row>
    <row r="659" spans="1:9" hidden="1" x14ac:dyDescent="0.25">
      <c r="A659" t="s">
        <v>10</v>
      </c>
      <c r="B659" t="s">
        <v>30</v>
      </c>
      <c r="C659" t="s">
        <v>37</v>
      </c>
      <c r="D659" t="s">
        <v>12</v>
      </c>
      <c r="E659">
        <v>2012</v>
      </c>
      <c r="F659">
        <v>54</v>
      </c>
      <c r="I659" t="s">
        <v>25</v>
      </c>
    </row>
    <row r="660" spans="1:9" hidden="1" x14ac:dyDescent="0.25">
      <c r="A660" t="s">
        <v>22</v>
      </c>
      <c r="B660" t="s">
        <v>24</v>
      </c>
      <c r="C660" t="s">
        <v>37</v>
      </c>
      <c r="D660" t="s">
        <v>12</v>
      </c>
      <c r="E660">
        <v>2012</v>
      </c>
      <c r="F660">
        <v>0</v>
      </c>
      <c r="I660" t="s">
        <v>25</v>
      </c>
    </row>
    <row r="661" spans="1:9" hidden="1" x14ac:dyDescent="0.25">
      <c r="A661" t="s">
        <v>22</v>
      </c>
      <c r="B661" t="s">
        <v>26</v>
      </c>
      <c r="C661" t="s">
        <v>37</v>
      </c>
      <c r="D661" t="s">
        <v>12</v>
      </c>
      <c r="E661">
        <v>2012</v>
      </c>
      <c r="F661">
        <v>1</v>
      </c>
      <c r="I661" t="s">
        <v>25</v>
      </c>
    </row>
    <row r="662" spans="1:9" hidden="1" x14ac:dyDescent="0.25">
      <c r="A662" t="s">
        <v>22</v>
      </c>
      <c r="B662" t="s">
        <v>27</v>
      </c>
      <c r="C662" t="s">
        <v>37</v>
      </c>
      <c r="D662" t="s">
        <v>12</v>
      </c>
      <c r="E662">
        <v>2012</v>
      </c>
      <c r="F662">
        <v>0</v>
      </c>
      <c r="I662" t="s">
        <v>25</v>
      </c>
    </row>
    <row r="663" spans="1:9" hidden="1" x14ac:dyDescent="0.25">
      <c r="A663" t="s">
        <v>22</v>
      </c>
      <c r="B663" t="s">
        <v>28</v>
      </c>
      <c r="C663" t="s">
        <v>37</v>
      </c>
      <c r="D663" t="s">
        <v>12</v>
      </c>
      <c r="E663">
        <v>2012</v>
      </c>
      <c r="F663">
        <v>1</v>
      </c>
      <c r="I663" t="s">
        <v>25</v>
      </c>
    </row>
    <row r="664" spans="1:9" hidden="1" x14ac:dyDescent="0.25">
      <c r="A664" t="s">
        <v>22</v>
      </c>
      <c r="B664" t="s">
        <v>29</v>
      </c>
      <c r="C664" t="s">
        <v>37</v>
      </c>
      <c r="D664" t="s">
        <v>12</v>
      </c>
      <c r="E664">
        <v>2012</v>
      </c>
      <c r="F664">
        <v>0</v>
      </c>
      <c r="I664" t="s">
        <v>25</v>
      </c>
    </row>
    <row r="665" spans="1:9" hidden="1" x14ac:dyDescent="0.25">
      <c r="A665" t="s">
        <v>22</v>
      </c>
      <c r="B665" t="s">
        <v>30</v>
      </c>
      <c r="C665" t="s">
        <v>37</v>
      </c>
      <c r="D665" t="s">
        <v>12</v>
      </c>
      <c r="E665">
        <v>2012</v>
      </c>
      <c r="F665">
        <v>1</v>
      </c>
      <c r="I665" t="s">
        <v>25</v>
      </c>
    </row>
    <row r="666" spans="1:9" hidden="1" x14ac:dyDescent="0.25">
      <c r="A666" t="s">
        <v>21</v>
      </c>
      <c r="B666" t="s">
        <v>26</v>
      </c>
      <c r="C666" t="s">
        <v>37</v>
      </c>
      <c r="D666" t="s">
        <v>15</v>
      </c>
      <c r="E666">
        <v>2012</v>
      </c>
      <c r="F666">
        <v>0</v>
      </c>
      <c r="I666" t="s">
        <v>25</v>
      </c>
    </row>
    <row r="667" spans="1:9" hidden="1" x14ac:dyDescent="0.25">
      <c r="A667" t="s">
        <v>21</v>
      </c>
      <c r="B667" t="s">
        <v>28</v>
      </c>
      <c r="C667" t="s">
        <v>37</v>
      </c>
      <c r="D667" t="s">
        <v>15</v>
      </c>
      <c r="E667">
        <v>2012</v>
      </c>
      <c r="F667">
        <v>0</v>
      </c>
      <c r="I667" t="s">
        <v>25</v>
      </c>
    </row>
    <row r="668" spans="1:9" hidden="1" x14ac:dyDescent="0.25">
      <c r="A668" t="s">
        <v>21</v>
      </c>
      <c r="B668" t="s">
        <v>29</v>
      </c>
      <c r="C668" t="s">
        <v>37</v>
      </c>
      <c r="D668" t="s">
        <v>15</v>
      </c>
      <c r="E668">
        <v>2012</v>
      </c>
      <c r="F668">
        <v>1</v>
      </c>
      <c r="I668" t="s">
        <v>25</v>
      </c>
    </row>
    <row r="669" spans="1:9" hidden="1" x14ac:dyDescent="0.25">
      <c r="A669" t="s">
        <v>21</v>
      </c>
      <c r="B669" t="s">
        <v>30</v>
      </c>
      <c r="C669" t="s">
        <v>37</v>
      </c>
      <c r="D669" t="s">
        <v>15</v>
      </c>
      <c r="E669">
        <v>2012</v>
      </c>
      <c r="F669">
        <v>0</v>
      </c>
      <c r="I669" t="s">
        <v>25</v>
      </c>
    </row>
    <row r="670" spans="1:9" hidden="1" x14ac:dyDescent="0.25">
      <c r="A670" t="s">
        <v>10</v>
      </c>
      <c r="B670" t="s">
        <v>26</v>
      </c>
      <c r="C670" t="s">
        <v>37</v>
      </c>
      <c r="D670" t="s">
        <v>15</v>
      </c>
      <c r="E670">
        <v>2012</v>
      </c>
      <c r="F670">
        <v>3</v>
      </c>
      <c r="I670" t="s">
        <v>25</v>
      </c>
    </row>
    <row r="671" spans="1:9" hidden="1" x14ac:dyDescent="0.25">
      <c r="A671" t="s">
        <v>10</v>
      </c>
      <c r="B671" t="s">
        <v>28</v>
      </c>
      <c r="C671" t="s">
        <v>37</v>
      </c>
      <c r="D671" t="s">
        <v>15</v>
      </c>
      <c r="E671">
        <v>2012</v>
      </c>
      <c r="F671">
        <v>48</v>
      </c>
      <c r="I671" t="s">
        <v>25</v>
      </c>
    </row>
    <row r="672" spans="1:9" hidden="1" x14ac:dyDescent="0.25">
      <c r="A672" t="s">
        <v>10</v>
      </c>
      <c r="B672" t="s">
        <v>29</v>
      </c>
      <c r="C672" t="s">
        <v>37</v>
      </c>
      <c r="D672" t="s">
        <v>15</v>
      </c>
      <c r="E672">
        <v>2012</v>
      </c>
      <c r="F672">
        <v>8</v>
      </c>
      <c r="I672" t="s">
        <v>25</v>
      </c>
    </row>
    <row r="673" spans="1:9" hidden="1" x14ac:dyDescent="0.25">
      <c r="A673" t="s">
        <v>10</v>
      </c>
      <c r="B673" t="s">
        <v>30</v>
      </c>
      <c r="C673" t="s">
        <v>37</v>
      </c>
      <c r="D673" t="s">
        <v>15</v>
      </c>
      <c r="E673">
        <v>2012</v>
      </c>
      <c r="F673">
        <v>15</v>
      </c>
      <c r="I673" t="s">
        <v>25</v>
      </c>
    </row>
    <row r="674" spans="1:9" hidden="1" x14ac:dyDescent="0.25">
      <c r="A674" t="s">
        <v>22</v>
      </c>
      <c r="B674" t="s">
        <v>26</v>
      </c>
      <c r="C674" t="s">
        <v>37</v>
      </c>
      <c r="D674" t="s">
        <v>15</v>
      </c>
      <c r="E674">
        <v>2012</v>
      </c>
      <c r="F674">
        <v>1</v>
      </c>
      <c r="I674" t="s">
        <v>25</v>
      </c>
    </row>
    <row r="675" spans="1:9" hidden="1" x14ac:dyDescent="0.25">
      <c r="A675" t="s">
        <v>22</v>
      </c>
      <c r="B675" t="s">
        <v>28</v>
      </c>
      <c r="C675" t="s">
        <v>37</v>
      </c>
      <c r="D675" t="s">
        <v>15</v>
      </c>
      <c r="E675">
        <v>2012</v>
      </c>
      <c r="F675">
        <v>0</v>
      </c>
      <c r="I675" t="s">
        <v>25</v>
      </c>
    </row>
    <row r="676" spans="1:9" hidden="1" x14ac:dyDescent="0.25">
      <c r="A676" t="s">
        <v>22</v>
      </c>
      <c r="B676" t="s">
        <v>29</v>
      </c>
      <c r="C676" t="s">
        <v>37</v>
      </c>
      <c r="D676" t="s">
        <v>15</v>
      </c>
      <c r="E676">
        <v>2012</v>
      </c>
      <c r="F676">
        <v>0</v>
      </c>
      <c r="I676" t="s">
        <v>25</v>
      </c>
    </row>
    <row r="677" spans="1:9" hidden="1" x14ac:dyDescent="0.25">
      <c r="A677" t="s">
        <v>22</v>
      </c>
      <c r="B677" t="s">
        <v>30</v>
      </c>
      <c r="C677" t="s">
        <v>37</v>
      </c>
      <c r="D677" t="s">
        <v>15</v>
      </c>
      <c r="E677">
        <v>2012</v>
      </c>
      <c r="F677">
        <v>1</v>
      </c>
      <c r="I677" t="s">
        <v>25</v>
      </c>
    </row>
    <row r="678" spans="1:9" hidden="1" x14ac:dyDescent="0.25">
      <c r="A678" t="s">
        <v>21</v>
      </c>
      <c r="B678" t="s">
        <v>24</v>
      </c>
      <c r="C678" t="s">
        <v>36</v>
      </c>
      <c r="D678" t="s">
        <v>12</v>
      </c>
      <c r="E678">
        <v>2013</v>
      </c>
      <c r="F678">
        <v>86</v>
      </c>
      <c r="I678" t="s">
        <v>25</v>
      </c>
    </row>
    <row r="679" spans="1:9" hidden="1" x14ac:dyDescent="0.25">
      <c r="A679" t="s">
        <v>21</v>
      </c>
      <c r="B679" t="s">
        <v>26</v>
      </c>
      <c r="C679" t="s">
        <v>36</v>
      </c>
      <c r="D679" t="s">
        <v>12</v>
      </c>
      <c r="E679">
        <v>2013</v>
      </c>
      <c r="F679">
        <v>3</v>
      </c>
      <c r="I679" t="s">
        <v>25</v>
      </c>
    </row>
    <row r="680" spans="1:9" hidden="1" x14ac:dyDescent="0.25">
      <c r="A680" t="s">
        <v>21</v>
      </c>
      <c r="B680" t="s">
        <v>27</v>
      </c>
      <c r="C680" t="s">
        <v>36</v>
      </c>
      <c r="D680" t="s">
        <v>12</v>
      </c>
      <c r="E680">
        <v>2013</v>
      </c>
      <c r="F680">
        <v>4</v>
      </c>
      <c r="I680" t="s">
        <v>25</v>
      </c>
    </row>
    <row r="681" spans="1:9" hidden="1" x14ac:dyDescent="0.25">
      <c r="A681" t="s">
        <v>21</v>
      </c>
      <c r="B681" t="s">
        <v>28</v>
      </c>
      <c r="C681" t="s">
        <v>36</v>
      </c>
      <c r="D681" t="s">
        <v>12</v>
      </c>
      <c r="E681">
        <v>2013</v>
      </c>
      <c r="F681">
        <v>5</v>
      </c>
      <c r="I681" t="s">
        <v>25</v>
      </c>
    </row>
    <row r="682" spans="1:9" hidden="1" x14ac:dyDescent="0.25">
      <c r="A682" t="s">
        <v>21</v>
      </c>
      <c r="B682" t="s">
        <v>29</v>
      </c>
      <c r="C682" t="s">
        <v>36</v>
      </c>
      <c r="D682" t="s">
        <v>12</v>
      </c>
      <c r="E682">
        <v>2013</v>
      </c>
      <c r="F682">
        <v>0</v>
      </c>
      <c r="I682" t="s">
        <v>25</v>
      </c>
    </row>
    <row r="683" spans="1:9" hidden="1" x14ac:dyDescent="0.25">
      <c r="A683" t="s">
        <v>21</v>
      </c>
      <c r="B683" t="s">
        <v>30</v>
      </c>
      <c r="C683" t="s">
        <v>36</v>
      </c>
      <c r="D683" t="s">
        <v>12</v>
      </c>
      <c r="E683">
        <v>2013</v>
      </c>
      <c r="F683">
        <v>16</v>
      </c>
      <c r="I683" t="s">
        <v>25</v>
      </c>
    </row>
    <row r="684" spans="1:9" hidden="1" x14ac:dyDescent="0.25">
      <c r="A684" t="s">
        <v>10</v>
      </c>
      <c r="B684" t="s">
        <v>24</v>
      </c>
      <c r="C684" t="s">
        <v>36</v>
      </c>
      <c r="D684" t="s">
        <v>12</v>
      </c>
      <c r="E684">
        <v>2013</v>
      </c>
      <c r="F684">
        <v>1156</v>
      </c>
      <c r="I684" t="s">
        <v>25</v>
      </c>
    </row>
    <row r="685" spans="1:9" hidden="1" x14ac:dyDescent="0.25">
      <c r="A685" t="s">
        <v>10</v>
      </c>
      <c r="B685" t="s">
        <v>26</v>
      </c>
      <c r="C685" t="s">
        <v>36</v>
      </c>
      <c r="D685" t="s">
        <v>12</v>
      </c>
      <c r="E685">
        <v>2013</v>
      </c>
      <c r="F685">
        <v>47</v>
      </c>
      <c r="I685" t="s">
        <v>25</v>
      </c>
    </row>
    <row r="686" spans="1:9" hidden="1" x14ac:dyDescent="0.25">
      <c r="A686" t="s">
        <v>10</v>
      </c>
      <c r="B686" t="s">
        <v>27</v>
      </c>
      <c r="C686" t="s">
        <v>36</v>
      </c>
      <c r="D686" t="s">
        <v>12</v>
      </c>
      <c r="E686">
        <v>2013</v>
      </c>
      <c r="F686">
        <v>32</v>
      </c>
      <c r="I686" t="s">
        <v>25</v>
      </c>
    </row>
    <row r="687" spans="1:9" hidden="1" x14ac:dyDescent="0.25">
      <c r="A687" t="s">
        <v>10</v>
      </c>
      <c r="B687" t="s">
        <v>28</v>
      </c>
      <c r="C687" t="s">
        <v>36</v>
      </c>
      <c r="D687" t="s">
        <v>12</v>
      </c>
      <c r="E687">
        <v>2013</v>
      </c>
      <c r="F687">
        <v>171</v>
      </c>
      <c r="I687" t="s">
        <v>25</v>
      </c>
    </row>
    <row r="688" spans="1:9" hidden="1" x14ac:dyDescent="0.25">
      <c r="A688" t="s">
        <v>10</v>
      </c>
      <c r="B688" t="s">
        <v>29</v>
      </c>
      <c r="C688" t="s">
        <v>36</v>
      </c>
      <c r="D688" t="s">
        <v>12</v>
      </c>
      <c r="E688">
        <v>2013</v>
      </c>
      <c r="F688">
        <v>11</v>
      </c>
      <c r="I688" t="s">
        <v>25</v>
      </c>
    </row>
    <row r="689" spans="1:9" hidden="1" x14ac:dyDescent="0.25">
      <c r="A689" t="s">
        <v>10</v>
      </c>
      <c r="B689" t="s">
        <v>30</v>
      </c>
      <c r="C689" t="s">
        <v>36</v>
      </c>
      <c r="D689" t="s">
        <v>12</v>
      </c>
      <c r="E689">
        <v>2013</v>
      </c>
      <c r="F689">
        <v>439</v>
      </c>
      <c r="I689" t="s">
        <v>25</v>
      </c>
    </row>
    <row r="690" spans="1:9" hidden="1" x14ac:dyDescent="0.25">
      <c r="A690" t="s">
        <v>22</v>
      </c>
      <c r="B690" t="s">
        <v>24</v>
      </c>
      <c r="C690" t="s">
        <v>36</v>
      </c>
      <c r="D690" t="s">
        <v>12</v>
      </c>
      <c r="E690">
        <v>2013</v>
      </c>
      <c r="F690">
        <v>4</v>
      </c>
      <c r="I690" t="s">
        <v>25</v>
      </c>
    </row>
    <row r="691" spans="1:9" hidden="1" x14ac:dyDescent="0.25">
      <c r="A691" t="s">
        <v>22</v>
      </c>
      <c r="B691" t="s">
        <v>26</v>
      </c>
      <c r="C691" t="s">
        <v>36</v>
      </c>
      <c r="D691" t="s">
        <v>12</v>
      </c>
      <c r="E691">
        <v>2013</v>
      </c>
      <c r="F691">
        <v>1</v>
      </c>
      <c r="I691" t="s">
        <v>25</v>
      </c>
    </row>
    <row r="692" spans="1:9" hidden="1" x14ac:dyDescent="0.25">
      <c r="A692" t="s">
        <v>22</v>
      </c>
      <c r="B692" t="s">
        <v>27</v>
      </c>
      <c r="C692" t="s">
        <v>36</v>
      </c>
      <c r="D692" t="s">
        <v>12</v>
      </c>
      <c r="E692">
        <v>2013</v>
      </c>
      <c r="F692">
        <v>0</v>
      </c>
      <c r="I692" t="s">
        <v>25</v>
      </c>
    </row>
    <row r="693" spans="1:9" hidden="1" x14ac:dyDescent="0.25">
      <c r="A693" t="s">
        <v>22</v>
      </c>
      <c r="B693" t="s">
        <v>28</v>
      </c>
      <c r="C693" t="s">
        <v>36</v>
      </c>
      <c r="D693" t="s">
        <v>12</v>
      </c>
      <c r="E693">
        <v>2013</v>
      </c>
      <c r="F693">
        <v>1</v>
      </c>
      <c r="I693" t="s">
        <v>25</v>
      </c>
    </row>
    <row r="694" spans="1:9" hidden="1" x14ac:dyDescent="0.25">
      <c r="A694" t="s">
        <v>22</v>
      </c>
      <c r="B694" t="s">
        <v>29</v>
      </c>
      <c r="C694" t="s">
        <v>36</v>
      </c>
      <c r="D694" t="s">
        <v>12</v>
      </c>
      <c r="E694">
        <v>2013</v>
      </c>
      <c r="F694">
        <v>0</v>
      </c>
      <c r="I694" t="s">
        <v>25</v>
      </c>
    </row>
    <row r="695" spans="1:9" hidden="1" x14ac:dyDescent="0.25">
      <c r="A695" t="s">
        <v>22</v>
      </c>
      <c r="B695" t="s">
        <v>30</v>
      </c>
      <c r="C695" t="s">
        <v>36</v>
      </c>
      <c r="D695" t="s">
        <v>12</v>
      </c>
      <c r="E695">
        <v>2013</v>
      </c>
      <c r="F695">
        <v>9</v>
      </c>
      <c r="I695" t="s">
        <v>25</v>
      </c>
    </row>
    <row r="696" spans="1:9" hidden="1" x14ac:dyDescent="0.25">
      <c r="A696" t="s">
        <v>21</v>
      </c>
      <c r="B696" t="s">
        <v>26</v>
      </c>
      <c r="C696" t="s">
        <v>36</v>
      </c>
      <c r="D696" t="s">
        <v>15</v>
      </c>
      <c r="E696">
        <v>2013</v>
      </c>
      <c r="F696">
        <v>0</v>
      </c>
      <c r="I696" t="s">
        <v>25</v>
      </c>
    </row>
    <row r="697" spans="1:9" hidden="1" x14ac:dyDescent="0.25">
      <c r="A697" t="s">
        <v>21</v>
      </c>
      <c r="B697" t="s">
        <v>28</v>
      </c>
      <c r="C697" t="s">
        <v>36</v>
      </c>
      <c r="D697" t="s">
        <v>15</v>
      </c>
      <c r="E697">
        <v>2013</v>
      </c>
      <c r="F697">
        <v>7</v>
      </c>
      <c r="I697" t="s">
        <v>25</v>
      </c>
    </row>
    <row r="698" spans="1:9" hidden="1" x14ac:dyDescent="0.25">
      <c r="A698" t="s">
        <v>21</v>
      </c>
      <c r="B698" t="s">
        <v>29</v>
      </c>
      <c r="C698" t="s">
        <v>36</v>
      </c>
      <c r="D698" t="s">
        <v>15</v>
      </c>
      <c r="E698">
        <v>2013</v>
      </c>
      <c r="F698">
        <v>1</v>
      </c>
      <c r="I698" t="s">
        <v>25</v>
      </c>
    </row>
    <row r="699" spans="1:9" hidden="1" x14ac:dyDescent="0.25">
      <c r="A699" t="s">
        <v>21</v>
      </c>
      <c r="B699" t="s">
        <v>30</v>
      </c>
      <c r="C699" t="s">
        <v>36</v>
      </c>
      <c r="D699" t="s">
        <v>15</v>
      </c>
      <c r="E699">
        <v>2013</v>
      </c>
      <c r="F699">
        <v>2</v>
      </c>
      <c r="I699" t="s">
        <v>25</v>
      </c>
    </row>
    <row r="700" spans="1:9" hidden="1" x14ac:dyDescent="0.25">
      <c r="A700" t="s">
        <v>10</v>
      </c>
      <c r="B700" t="s">
        <v>26</v>
      </c>
      <c r="C700" t="s">
        <v>36</v>
      </c>
      <c r="D700" t="s">
        <v>15</v>
      </c>
      <c r="E700">
        <v>2013</v>
      </c>
      <c r="F700">
        <v>16</v>
      </c>
      <c r="I700" t="s">
        <v>25</v>
      </c>
    </row>
    <row r="701" spans="1:9" hidden="1" x14ac:dyDescent="0.25">
      <c r="A701" t="s">
        <v>10</v>
      </c>
      <c r="B701" t="s">
        <v>28</v>
      </c>
      <c r="C701" t="s">
        <v>36</v>
      </c>
      <c r="D701" t="s">
        <v>15</v>
      </c>
      <c r="E701">
        <v>2013</v>
      </c>
      <c r="F701">
        <v>235</v>
      </c>
      <c r="I701" t="s">
        <v>25</v>
      </c>
    </row>
    <row r="702" spans="1:9" hidden="1" x14ac:dyDescent="0.25">
      <c r="A702" t="s">
        <v>10</v>
      </c>
      <c r="B702" t="s">
        <v>29</v>
      </c>
      <c r="C702" t="s">
        <v>36</v>
      </c>
      <c r="D702" t="s">
        <v>15</v>
      </c>
      <c r="E702">
        <v>2013</v>
      </c>
      <c r="F702">
        <v>25</v>
      </c>
      <c r="I702" t="s">
        <v>25</v>
      </c>
    </row>
    <row r="703" spans="1:9" hidden="1" x14ac:dyDescent="0.25">
      <c r="A703" t="s">
        <v>10</v>
      </c>
      <c r="B703" t="s">
        <v>30</v>
      </c>
      <c r="C703" t="s">
        <v>36</v>
      </c>
      <c r="D703" t="s">
        <v>15</v>
      </c>
      <c r="E703">
        <v>2013</v>
      </c>
      <c r="F703">
        <v>130</v>
      </c>
      <c r="I703" t="s">
        <v>25</v>
      </c>
    </row>
    <row r="704" spans="1:9" hidden="1" x14ac:dyDescent="0.25">
      <c r="A704" t="s">
        <v>22</v>
      </c>
      <c r="B704" t="s">
        <v>26</v>
      </c>
      <c r="C704" t="s">
        <v>36</v>
      </c>
      <c r="D704" t="s">
        <v>15</v>
      </c>
      <c r="E704">
        <v>2013</v>
      </c>
      <c r="F704">
        <v>0</v>
      </c>
      <c r="I704" t="s">
        <v>25</v>
      </c>
    </row>
    <row r="705" spans="1:9" hidden="1" x14ac:dyDescent="0.25">
      <c r="A705" t="s">
        <v>22</v>
      </c>
      <c r="B705" t="s">
        <v>28</v>
      </c>
      <c r="C705" t="s">
        <v>36</v>
      </c>
      <c r="D705" t="s">
        <v>15</v>
      </c>
      <c r="E705">
        <v>2013</v>
      </c>
      <c r="F705">
        <v>6</v>
      </c>
      <c r="I705" t="s">
        <v>25</v>
      </c>
    </row>
    <row r="706" spans="1:9" hidden="1" x14ac:dyDescent="0.25">
      <c r="A706" t="s">
        <v>22</v>
      </c>
      <c r="B706" t="s">
        <v>29</v>
      </c>
      <c r="C706" t="s">
        <v>36</v>
      </c>
      <c r="D706" t="s">
        <v>15</v>
      </c>
      <c r="E706">
        <v>2013</v>
      </c>
      <c r="F706">
        <v>1</v>
      </c>
      <c r="I706" t="s">
        <v>25</v>
      </c>
    </row>
    <row r="707" spans="1:9" hidden="1" x14ac:dyDescent="0.25">
      <c r="A707" t="s">
        <v>22</v>
      </c>
      <c r="B707" t="s">
        <v>30</v>
      </c>
      <c r="C707" t="s">
        <v>36</v>
      </c>
      <c r="D707" t="s">
        <v>15</v>
      </c>
      <c r="E707">
        <v>2013</v>
      </c>
      <c r="F707">
        <v>0</v>
      </c>
      <c r="I707" t="s">
        <v>25</v>
      </c>
    </row>
    <row r="708" spans="1:9" hidden="1" x14ac:dyDescent="0.25">
      <c r="A708" t="s">
        <v>21</v>
      </c>
      <c r="B708" t="s">
        <v>24</v>
      </c>
      <c r="C708" t="s">
        <v>37</v>
      </c>
      <c r="D708" t="s">
        <v>12</v>
      </c>
      <c r="E708">
        <v>2013</v>
      </c>
      <c r="F708">
        <v>3</v>
      </c>
      <c r="I708" t="s">
        <v>25</v>
      </c>
    </row>
    <row r="709" spans="1:9" hidden="1" x14ac:dyDescent="0.25">
      <c r="A709" t="s">
        <v>21</v>
      </c>
      <c r="B709" t="s">
        <v>26</v>
      </c>
      <c r="C709" t="s">
        <v>37</v>
      </c>
      <c r="D709" t="s">
        <v>12</v>
      </c>
      <c r="E709">
        <v>2013</v>
      </c>
      <c r="F709">
        <v>0</v>
      </c>
      <c r="I709" t="s">
        <v>25</v>
      </c>
    </row>
    <row r="710" spans="1:9" hidden="1" x14ac:dyDescent="0.25">
      <c r="A710" t="s">
        <v>21</v>
      </c>
      <c r="B710" t="s">
        <v>27</v>
      </c>
      <c r="C710" t="s">
        <v>37</v>
      </c>
      <c r="D710" t="s">
        <v>12</v>
      </c>
      <c r="E710">
        <v>2013</v>
      </c>
      <c r="F710">
        <v>0</v>
      </c>
      <c r="I710" t="s">
        <v>25</v>
      </c>
    </row>
    <row r="711" spans="1:9" hidden="1" x14ac:dyDescent="0.25">
      <c r="A711" t="s">
        <v>21</v>
      </c>
      <c r="B711" t="s">
        <v>28</v>
      </c>
      <c r="C711" t="s">
        <v>37</v>
      </c>
      <c r="D711" t="s">
        <v>12</v>
      </c>
      <c r="E711">
        <v>2013</v>
      </c>
      <c r="F711">
        <v>1</v>
      </c>
      <c r="I711" t="s">
        <v>25</v>
      </c>
    </row>
    <row r="712" spans="1:9" hidden="1" x14ac:dyDescent="0.25">
      <c r="A712" t="s">
        <v>21</v>
      </c>
      <c r="B712" t="s">
        <v>29</v>
      </c>
      <c r="C712" t="s">
        <v>37</v>
      </c>
      <c r="D712" t="s">
        <v>12</v>
      </c>
      <c r="E712">
        <v>2013</v>
      </c>
      <c r="F712">
        <v>0</v>
      </c>
      <c r="I712" t="s">
        <v>25</v>
      </c>
    </row>
    <row r="713" spans="1:9" hidden="1" x14ac:dyDescent="0.25">
      <c r="A713" t="s">
        <v>21</v>
      </c>
      <c r="B713" t="s">
        <v>30</v>
      </c>
      <c r="C713" t="s">
        <v>37</v>
      </c>
      <c r="D713" t="s">
        <v>12</v>
      </c>
      <c r="E713">
        <v>2013</v>
      </c>
      <c r="F713">
        <v>1</v>
      </c>
      <c r="I713" t="s">
        <v>25</v>
      </c>
    </row>
    <row r="714" spans="1:9" hidden="1" x14ac:dyDescent="0.25">
      <c r="A714" t="s">
        <v>10</v>
      </c>
      <c r="B714" t="s">
        <v>24</v>
      </c>
      <c r="C714" t="s">
        <v>37</v>
      </c>
      <c r="D714" t="s">
        <v>12</v>
      </c>
      <c r="E714">
        <v>2013</v>
      </c>
      <c r="F714">
        <v>95</v>
      </c>
      <c r="I714" t="s">
        <v>25</v>
      </c>
    </row>
    <row r="715" spans="1:9" hidden="1" x14ac:dyDescent="0.25">
      <c r="A715" t="s">
        <v>10</v>
      </c>
      <c r="B715" t="s">
        <v>26</v>
      </c>
      <c r="C715" t="s">
        <v>37</v>
      </c>
      <c r="D715" t="s">
        <v>12</v>
      </c>
      <c r="E715">
        <v>2013</v>
      </c>
      <c r="F715">
        <v>15</v>
      </c>
      <c r="I715" t="s">
        <v>25</v>
      </c>
    </row>
    <row r="716" spans="1:9" hidden="1" x14ac:dyDescent="0.25">
      <c r="A716" t="s">
        <v>10</v>
      </c>
      <c r="B716" t="s">
        <v>27</v>
      </c>
      <c r="C716" t="s">
        <v>37</v>
      </c>
      <c r="D716" t="s">
        <v>12</v>
      </c>
      <c r="E716">
        <v>2013</v>
      </c>
      <c r="F716">
        <v>9</v>
      </c>
      <c r="I716" t="s">
        <v>25</v>
      </c>
    </row>
    <row r="717" spans="1:9" hidden="1" x14ac:dyDescent="0.25">
      <c r="A717" t="s">
        <v>10</v>
      </c>
      <c r="B717" t="s">
        <v>28</v>
      </c>
      <c r="C717" t="s">
        <v>37</v>
      </c>
      <c r="D717" t="s">
        <v>12</v>
      </c>
      <c r="E717">
        <v>2013</v>
      </c>
      <c r="F717">
        <v>16</v>
      </c>
      <c r="I717" t="s">
        <v>25</v>
      </c>
    </row>
    <row r="718" spans="1:9" hidden="1" x14ac:dyDescent="0.25">
      <c r="A718" t="s">
        <v>10</v>
      </c>
      <c r="B718" t="s">
        <v>29</v>
      </c>
      <c r="C718" t="s">
        <v>37</v>
      </c>
      <c r="D718" t="s">
        <v>12</v>
      </c>
      <c r="E718">
        <v>2013</v>
      </c>
      <c r="F718">
        <v>2</v>
      </c>
      <c r="I718" t="s">
        <v>25</v>
      </c>
    </row>
    <row r="719" spans="1:9" hidden="1" x14ac:dyDescent="0.25">
      <c r="A719" t="s">
        <v>10</v>
      </c>
      <c r="B719" t="s">
        <v>30</v>
      </c>
      <c r="C719" t="s">
        <v>37</v>
      </c>
      <c r="D719" t="s">
        <v>12</v>
      </c>
      <c r="E719">
        <v>2013</v>
      </c>
      <c r="F719">
        <v>53</v>
      </c>
      <c r="I719" t="s">
        <v>25</v>
      </c>
    </row>
    <row r="720" spans="1:9" hidden="1" x14ac:dyDescent="0.25">
      <c r="A720" t="s">
        <v>22</v>
      </c>
      <c r="B720" t="s">
        <v>24</v>
      </c>
      <c r="C720" t="s">
        <v>37</v>
      </c>
      <c r="D720" t="s">
        <v>12</v>
      </c>
      <c r="E720">
        <v>2013</v>
      </c>
      <c r="F720">
        <v>0</v>
      </c>
      <c r="I720" t="s">
        <v>25</v>
      </c>
    </row>
    <row r="721" spans="1:9" hidden="1" x14ac:dyDescent="0.25">
      <c r="A721" t="s">
        <v>22</v>
      </c>
      <c r="B721" t="s">
        <v>26</v>
      </c>
      <c r="C721" t="s">
        <v>37</v>
      </c>
      <c r="D721" t="s">
        <v>12</v>
      </c>
      <c r="E721">
        <v>2013</v>
      </c>
      <c r="F721">
        <v>2</v>
      </c>
      <c r="I721" t="s">
        <v>25</v>
      </c>
    </row>
    <row r="722" spans="1:9" hidden="1" x14ac:dyDescent="0.25">
      <c r="A722" t="s">
        <v>22</v>
      </c>
      <c r="B722" t="s">
        <v>27</v>
      </c>
      <c r="C722" t="s">
        <v>37</v>
      </c>
      <c r="D722" t="s">
        <v>12</v>
      </c>
      <c r="E722">
        <v>2013</v>
      </c>
      <c r="F722">
        <v>0</v>
      </c>
      <c r="I722" t="s">
        <v>25</v>
      </c>
    </row>
    <row r="723" spans="1:9" hidden="1" x14ac:dyDescent="0.25">
      <c r="A723" t="s">
        <v>22</v>
      </c>
      <c r="B723" t="s">
        <v>28</v>
      </c>
      <c r="C723" t="s">
        <v>37</v>
      </c>
      <c r="D723" t="s">
        <v>12</v>
      </c>
      <c r="E723">
        <v>2013</v>
      </c>
      <c r="F723">
        <v>0</v>
      </c>
      <c r="I723" t="s">
        <v>25</v>
      </c>
    </row>
    <row r="724" spans="1:9" hidden="1" x14ac:dyDescent="0.25">
      <c r="A724" t="s">
        <v>22</v>
      </c>
      <c r="B724" t="s">
        <v>29</v>
      </c>
      <c r="C724" t="s">
        <v>37</v>
      </c>
      <c r="D724" t="s">
        <v>12</v>
      </c>
      <c r="E724">
        <v>2013</v>
      </c>
      <c r="F724">
        <v>0</v>
      </c>
      <c r="I724" t="s">
        <v>25</v>
      </c>
    </row>
    <row r="725" spans="1:9" hidden="1" x14ac:dyDescent="0.25">
      <c r="A725" t="s">
        <v>22</v>
      </c>
      <c r="B725" t="s">
        <v>30</v>
      </c>
      <c r="C725" t="s">
        <v>37</v>
      </c>
      <c r="D725" t="s">
        <v>12</v>
      </c>
      <c r="E725">
        <v>2013</v>
      </c>
      <c r="F725">
        <v>2</v>
      </c>
      <c r="I725" t="s">
        <v>25</v>
      </c>
    </row>
    <row r="726" spans="1:9" hidden="1" x14ac:dyDescent="0.25">
      <c r="A726" t="s">
        <v>21</v>
      </c>
      <c r="B726" t="s">
        <v>26</v>
      </c>
      <c r="C726" t="s">
        <v>37</v>
      </c>
      <c r="D726" t="s">
        <v>15</v>
      </c>
      <c r="E726">
        <v>2013</v>
      </c>
      <c r="F726">
        <v>0</v>
      </c>
      <c r="I726" t="s">
        <v>25</v>
      </c>
    </row>
    <row r="727" spans="1:9" hidden="1" x14ac:dyDescent="0.25">
      <c r="A727" t="s">
        <v>21</v>
      </c>
      <c r="B727" t="s">
        <v>28</v>
      </c>
      <c r="C727" t="s">
        <v>37</v>
      </c>
      <c r="D727" t="s">
        <v>15</v>
      </c>
      <c r="E727">
        <v>2013</v>
      </c>
      <c r="F727">
        <v>1</v>
      </c>
      <c r="I727" t="s">
        <v>25</v>
      </c>
    </row>
    <row r="728" spans="1:9" hidden="1" x14ac:dyDescent="0.25">
      <c r="A728" t="s">
        <v>21</v>
      </c>
      <c r="B728" t="s">
        <v>29</v>
      </c>
      <c r="C728" t="s">
        <v>37</v>
      </c>
      <c r="D728" t="s">
        <v>15</v>
      </c>
      <c r="E728">
        <v>2013</v>
      </c>
      <c r="F728">
        <v>0</v>
      </c>
      <c r="I728" t="s">
        <v>25</v>
      </c>
    </row>
    <row r="729" spans="1:9" hidden="1" x14ac:dyDescent="0.25">
      <c r="A729" t="s">
        <v>21</v>
      </c>
      <c r="B729" t="s">
        <v>30</v>
      </c>
      <c r="C729" t="s">
        <v>37</v>
      </c>
      <c r="D729" t="s">
        <v>15</v>
      </c>
      <c r="E729">
        <v>2013</v>
      </c>
      <c r="F729">
        <v>0</v>
      </c>
      <c r="I729" t="s">
        <v>25</v>
      </c>
    </row>
    <row r="730" spans="1:9" hidden="1" x14ac:dyDescent="0.25">
      <c r="A730" t="s">
        <v>10</v>
      </c>
      <c r="B730" t="s">
        <v>26</v>
      </c>
      <c r="C730" t="s">
        <v>37</v>
      </c>
      <c r="D730" t="s">
        <v>15</v>
      </c>
      <c r="E730">
        <v>2013</v>
      </c>
      <c r="F730">
        <v>3</v>
      </c>
      <c r="I730" t="s">
        <v>25</v>
      </c>
    </row>
    <row r="731" spans="1:9" hidden="1" x14ac:dyDescent="0.25">
      <c r="A731" t="s">
        <v>10</v>
      </c>
      <c r="B731" t="s">
        <v>28</v>
      </c>
      <c r="C731" t="s">
        <v>37</v>
      </c>
      <c r="D731" t="s">
        <v>15</v>
      </c>
      <c r="E731">
        <v>2013</v>
      </c>
      <c r="F731">
        <v>48</v>
      </c>
      <c r="I731" t="s">
        <v>25</v>
      </c>
    </row>
    <row r="732" spans="1:9" hidden="1" x14ac:dyDescent="0.25">
      <c r="A732" t="s">
        <v>10</v>
      </c>
      <c r="B732" t="s">
        <v>29</v>
      </c>
      <c r="C732" t="s">
        <v>37</v>
      </c>
      <c r="D732" t="s">
        <v>15</v>
      </c>
      <c r="E732">
        <v>2013</v>
      </c>
      <c r="F732">
        <v>8</v>
      </c>
      <c r="I732" t="s">
        <v>25</v>
      </c>
    </row>
    <row r="733" spans="1:9" hidden="1" x14ac:dyDescent="0.25">
      <c r="A733" t="s">
        <v>10</v>
      </c>
      <c r="B733" t="s">
        <v>30</v>
      </c>
      <c r="C733" t="s">
        <v>37</v>
      </c>
      <c r="D733" t="s">
        <v>15</v>
      </c>
      <c r="E733">
        <v>2013</v>
      </c>
      <c r="F733">
        <v>15</v>
      </c>
      <c r="I733" t="s">
        <v>25</v>
      </c>
    </row>
    <row r="734" spans="1:9" hidden="1" x14ac:dyDescent="0.25">
      <c r="A734" t="s">
        <v>22</v>
      </c>
      <c r="B734" t="s">
        <v>26</v>
      </c>
      <c r="C734" t="s">
        <v>37</v>
      </c>
      <c r="D734" t="s">
        <v>15</v>
      </c>
      <c r="E734">
        <v>2013</v>
      </c>
      <c r="F734">
        <v>0</v>
      </c>
      <c r="I734" t="s">
        <v>25</v>
      </c>
    </row>
    <row r="735" spans="1:9" hidden="1" x14ac:dyDescent="0.25">
      <c r="A735" t="s">
        <v>22</v>
      </c>
      <c r="B735" t="s">
        <v>28</v>
      </c>
      <c r="C735" t="s">
        <v>37</v>
      </c>
      <c r="D735" t="s">
        <v>15</v>
      </c>
      <c r="E735">
        <v>2013</v>
      </c>
      <c r="F735">
        <v>1</v>
      </c>
      <c r="I735" t="s">
        <v>25</v>
      </c>
    </row>
    <row r="736" spans="1:9" hidden="1" x14ac:dyDescent="0.25">
      <c r="A736" t="s">
        <v>22</v>
      </c>
      <c r="B736" t="s">
        <v>29</v>
      </c>
      <c r="C736" t="s">
        <v>37</v>
      </c>
      <c r="D736" t="s">
        <v>15</v>
      </c>
      <c r="E736">
        <v>2013</v>
      </c>
      <c r="F736">
        <v>0</v>
      </c>
      <c r="I736" t="s">
        <v>25</v>
      </c>
    </row>
    <row r="737" spans="1:9" hidden="1" x14ac:dyDescent="0.25">
      <c r="A737" t="s">
        <v>22</v>
      </c>
      <c r="B737" t="s">
        <v>30</v>
      </c>
      <c r="C737" t="s">
        <v>37</v>
      </c>
      <c r="D737" t="s">
        <v>15</v>
      </c>
      <c r="E737">
        <v>2013</v>
      </c>
      <c r="F737">
        <v>0</v>
      </c>
      <c r="I737" t="s">
        <v>25</v>
      </c>
    </row>
    <row r="738" spans="1:9" hidden="1" x14ac:dyDescent="0.25">
      <c r="A738" t="s">
        <v>21</v>
      </c>
      <c r="B738" t="s">
        <v>24</v>
      </c>
      <c r="C738" t="s">
        <v>36</v>
      </c>
      <c r="D738" t="s">
        <v>12</v>
      </c>
      <c r="E738">
        <v>2014</v>
      </c>
      <c r="F738">
        <v>92</v>
      </c>
      <c r="I738" t="s">
        <v>25</v>
      </c>
    </row>
    <row r="739" spans="1:9" hidden="1" x14ac:dyDescent="0.25">
      <c r="A739" t="s">
        <v>21</v>
      </c>
      <c r="B739" t="s">
        <v>26</v>
      </c>
      <c r="C739" t="s">
        <v>36</v>
      </c>
      <c r="D739" t="s">
        <v>12</v>
      </c>
      <c r="E739">
        <v>2014</v>
      </c>
      <c r="F739">
        <v>3</v>
      </c>
      <c r="I739" t="s">
        <v>25</v>
      </c>
    </row>
    <row r="740" spans="1:9" hidden="1" x14ac:dyDescent="0.25">
      <c r="A740" t="s">
        <v>21</v>
      </c>
      <c r="B740" t="s">
        <v>27</v>
      </c>
      <c r="C740" t="s">
        <v>36</v>
      </c>
      <c r="D740" t="s">
        <v>12</v>
      </c>
      <c r="E740">
        <v>2014</v>
      </c>
      <c r="F740">
        <v>1</v>
      </c>
      <c r="I740" t="s">
        <v>25</v>
      </c>
    </row>
    <row r="741" spans="1:9" hidden="1" x14ac:dyDescent="0.25">
      <c r="A741" t="s">
        <v>21</v>
      </c>
      <c r="B741" t="s">
        <v>28</v>
      </c>
      <c r="C741" t="s">
        <v>36</v>
      </c>
      <c r="D741" t="s">
        <v>12</v>
      </c>
      <c r="E741">
        <v>2014</v>
      </c>
      <c r="F741">
        <v>4</v>
      </c>
      <c r="I741" t="s">
        <v>25</v>
      </c>
    </row>
    <row r="742" spans="1:9" hidden="1" x14ac:dyDescent="0.25">
      <c r="A742" t="s">
        <v>21</v>
      </c>
      <c r="B742" t="s">
        <v>29</v>
      </c>
      <c r="C742" t="s">
        <v>36</v>
      </c>
      <c r="D742" t="s">
        <v>12</v>
      </c>
      <c r="E742">
        <v>2014</v>
      </c>
      <c r="F742">
        <v>0</v>
      </c>
      <c r="I742" t="s">
        <v>25</v>
      </c>
    </row>
    <row r="743" spans="1:9" hidden="1" x14ac:dyDescent="0.25">
      <c r="A743" t="s">
        <v>21</v>
      </c>
      <c r="B743" t="s">
        <v>30</v>
      </c>
      <c r="C743" t="s">
        <v>36</v>
      </c>
      <c r="D743" t="s">
        <v>12</v>
      </c>
      <c r="E743">
        <v>2014</v>
      </c>
      <c r="F743">
        <v>12</v>
      </c>
      <c r="I743" t="s">
        <v>25</v>
      </c>
    </row>
    <row r="744" spans="1:9" hidden="1" x14ac:dyDescent="0.25">
      <c r="A744" t="s">
        <v>10</v>
      </c>
      <c r="B744" t="s">
        <v>24</v>
      </c>
      <c r="C744" t="s">
        <v>36</v>
      </c>
      <c r="D744" t="s">
        <v>12</v>
      </c>
      <c r="E744">
        <v>2014</v>
      </c>
      <c r="F744">
        <v>1255</v>
      </c>
      <c r="I744" t="s">
        <v>25</v>
      </c>
    </row>
    <row r="745" spans="1:9" hidden="1" x14ac:dyDescent="0.25">
      <c r="A745" t="s">
        <v>10</v>
      </c>
      <c r="B745" t="s">
        <v>26</v>
      </c>
      <c r="C745" t="s">
        <v>36</v>
      </c>
      <c r="D745" t="s">
        <v>12</v>
      </c>
      <c r="E745">
        <v>2014</v>
      </c>
      <c r="F745">
        <v>48</v>
      </c>
      <c r="I745" t="s">
        <v>25</v>
      </c>
    </row>
    <row r="746" spans="1:9" hidden="1" x14ac:dyDescent="0.25">
      <c r="A746" t="s">
        <v>10</v>
      </c>
      <c r="B746" t="s">
        <v>27</v>
      </c>
      <c r="C746" t="s">
        <v>36</v>
      </c>
      <c r="D746" t="s">
        <v>12</v>
      </c>
      <c r="E746">
        <v>2014</v>
      </c>
      <c r="F746">
        <v>33</v>
      </c>
      <c r="I746" t="s">
        <v>25</v>
      </c>
    </row>
    <row r="747" spans="1:9" hidden="1" x14ac:dyDescent="0.25">
      <c r="A747" t="s">
        <v>10</v>
      </c>
      <c r="B747" t="s">
        <v>28</v>
      </c>
      <c r="C747" t="s">
        <v>36</v>
      </c>
      <c r="D747" t="s">
        <v>12</v>
      </c>
      <c r="E747">
        <v>2014</v>
      </c>
      <c r="F747">
        <v>172</v>
      </c>
      <c r="I747" t="s">
        <v>25</v>
      </c>
    </row>
    <row r="748" spans="1:9" hidden="1" x14ac:dyDescent="0.25">
      <c r="A748" t="s">
        <v>10</v>
      </c>
      <c r="B748" t="s">
        <v>29</v>
      </c>
      <c r="C748" t="s">
        <v>36</v>
      </c>
      <c r="D748" t="s">
        <v>12</v>
      </c>
      <c r="E748">
        <v>2014</v>
      </c>
      <c r="F748">
        <v>11</v>
      </c>
      <c r="I748" t="s">
        <v>25</v>
      </c>
    </row>
    <row r="749" spans="1:9" hidden="1" x14ac:dyDescent="0.25">
      <c r="A749" t="s">
        <v>10</v>
      </c>
      <c r="B749" t="s">
        <v>30</v>
      </c>
      <c r="C749" t="s">
        <v>36</v>
      </c>
      <c r="D749" t="s">
        <v>12</v>
      </c>
      <c r="E749">
        <v>2014</v>
      </c>
      <c r="F749">
        <v>450</v>
      </c>
      <c r="I749" t="s">
        <v>25</v>
      </c>
    </row>
    <row r="750" spans="1:9" hidden="1" x14ac:dyDescent="0.25">
      <c r="A750" t="s">
        <v>22</v>
      </c>
      <c r="B750" t="s">
        <v>24</v>
      </c>
      <c r="C750" t="s">
        <v>36</v>
      </c>
      <c r="D750" t="s">
        <v>12</v>
      </c>
      <c r="E750">
        <v>2014</v>
      </c>
      <c r="F750">
        <v>4</v>
      </c>
      <c r="I750" t="s">
        <v>25</v>
      </c>
    </row>
    <row r="751" spans="1:9" hidden="1" x14ac:dyDescent="0.25">
      <c r="A751" t="s">
        <v>22</v>
      </c>
      <c r="B751" t="s">
        <v>26</v>
      </c>
      <c r="C751" t="s">
        <v>36</v>
      </c>
      <c r="D751" t="s">
        <v>12</v>
      </c>
      <c r="E751">
        <v>2014</v>
      </c>
      <c r="F751">
        <v>2</v>
      </c>
      <c r="I751" t="s">
        <v>25</v>
      </c>
    </row>
    <row r="752" spans="1:9" hidden="1" x14ac:dyDescent="0.25">
      <c r="A752" t="s">
        <v>22</v>
      </c>
      <c r="B752" t="s">
        <v>27</v>
      </c>
      <c r="C752" t="s">
        <v>36</v>
      </c>
      <c r="D752" t="s">
        <v>12</v>
      </c>
      <c r="E752">
        <v>2014</v>
      </c>
      <c r="F752">
        <v>0</v>
      </c>
      <c r="I752" t="s">
        <v>25</v>
      </c>
    </row>
    <row r="753" spans="1:9" hidden="1" x14ac:dyDescent="0.25">
      <c r="A753" t="s">
        <v>22</v>
      </c>
      <c r="B753" t="s">
        <v>28</v>
      </c>
      <c r="C753" t="s">
        <v>36</v>
      </c>
      <c r="D753" t="s">
        <v>12</v>
      </c>
      <c r="E753">
        <v>2014</v>
      </c>
      <c r="F753">
        <v>3</v>
      </c>
      <c r="I753" t="s">
        <v>25</v>
      </c>
    </row>
    <row r="754" spans="1:9" hidden="1" x14ac:dyDescent="0.25">
      <c r="A754" t="s">
        <v>22</v>
      </c>
      <c r="B754" t="s">
        <v>29</v>
      </c>
      <c r="C754" t="s">
        <v>36</v>
      </c>
      <c r="D754" t="s">
        <v>12</v>
      </c>
      <c r="E754">
        <v>2014</v>
      </c>
      <c r="F754">
        <v>0</v>
      </c>
      <c r="I754" t="s">
        <v>25</v>
      </c>
    </row>
    <row r="755" spans="1:9" hidden="1" x14ac:dyDescent="0.25">
      <c r="A755" t="s">
        <v>22</v>
      </c>
      <c r="B755" t="s">
        <v>30</v>
      </c>
      <c r="C755" t="s">
        <v>36</v>
      </c>
      <c r="D755" t="s">
        <v>12</v>
      </c>
      <c r="E755">
        <v>2014</v>
      </c>
      <c r="F755">
        <v>3</v>
      </c>
      <c r="I755" t="s">
        <v>25</v>
      </c>
    </row>
    <row r="756" spans="1:9" hidden="1" x14ac:dyDescent="0.25">
      <c r="A756" t="s">
        <v>21</v>
      </c>
      <c r="B756" t="s">
        <v>26</v>
      </c>
      <c r="C756" t="s">
        <v>36</v>
      </c>
      <c r="D756" t="s">
        <v>15</v>
      </c>
      <c r="E756">
        <v>2014</v>
      </c>
      <c r="F756">
        <v>1</v>
      </c>
      <c r="I756" t="s">
        <v>25</v>
      </c>
    </row>
    <row r="757" spans="1:9" hidden="1" x14ac:dyDescent="0.25">
      <c r="A757" t="s">
        <v>21</v>
      </c>
      <c r="B757" t="s">
        <v>28</v>
      </c>
      <c r="C757" t="s">
        <v>36</v>
      </c>
      <c r="D757" t="s">
        <v>15</v>
      </c>
      <c r="E757">
        <v>2014</v>
      </c>
      <c r="F757">
        <v>9</v>
      </c>
      <c r="I757" t="s">
        <v>25</v>
      </c>
    </row>
    <row r="758" spans="1:9" hidden="1" x14ac:dyDescent="0.25">
      <c r="A758" t="s">
        <v>21</v>
      </c>
      <c r="B758" t="s">
        <v>29</v>
      </c>
      <c r="C758" t="s">
        <v>36</v>
      </c>
      <c r="D758" t="s">
        <v>15</v>
      </c>
      <c r="E758">
        <v>2014</v>
      </c>
      <c r="F758">
        <v>0</v>
      </c>
      <c r="I758" t="s">
        <v>25</v>
      </c>
    </row>
    <row r="759" spans="1:9" hidden="1" x14ac:dyDescent="0.25">
      <c r="A759" t="s">
        <v>21</v>
      </c>
      <c r="B759" t="s">
        <v>30</v>
      </c>
      <c r="C759" t="s">
        <v>36</v>
      </c>
      <c r="D759" t="s">
        <v>15</v>
      </c>
      <c r="E759">
        <v>2014</v>
      </c>
      <c r="F759">
        <v>1</v>
      </c>
      <c r="I759" t="s">
        <v>25</v>
      </c>
    </row>
    <row r="760" spans="1:9" hidden="1" x14ac:dyDescent="0.25">
      <c r="A760" t="s">
        <v>10</v>
      </c>
      <c r="B760" t="s">
        <v>26</v>
      </c>
      <c r="C760" t="s">
        <v>36</v>
      </c>
      <c r="D760" t="s">
        <v>15</v>
      </c>
      <c r="E760">
        <v>2014</v>
      </c>
      <c r="F760">
        <v>17</v>
      </c>
      <c r="I760" t="s">
        <v>25</v>
      </c>
    </row>
    <row r="761" spans="1:9" hidden="1" x14ac:dyDescent="0.25">
      <c r="A761" t="s">
        <v>10</v>
      </c>
      <c r="B761" t="s">
        <v>28</v>
      </c>
      <c r="C761" t="s">
        <v>36</v>
      </c>
      <c r="D761" t="s">
        <v>15</v>
      </c>
      <c r="E761">
        <v>2014</v>
      </c>
      <c r="F761">
        <v>243</v>
      </c>
      <c r="I761" t="s">
        <v>25</v>
      </c>
    </row>
    <row r="762" spans="1:9" hidden="1" x14ac:dyDescent="0.25">
      <c r="A762" t="s">
        <v>10</v>
      </c>
      <c r="B762" t="s">
        <v>29</v>
      </c>
      <c r="C762" t="s">
        <v>36</v>
      </c>
      <c r="D762" t="s">
        <v>15</v>
      </c>
      <c r="E762">
        <v>2014</v>
      </c>
      <c r="F762">
        <v>25</v>
      </c>
      <c r="I762" t="s">
        <v>25</v>
      </c>
    </row>
    <row r="763" spans="1:9" hidden="1" x14ac:dyDescent="0.25">
      <c r="A763" t="s">
        <v>10</v>
      </c>
      <c r="B763" t="s">
        <v>30</v>
      </c>
      <c r="C763" t="s">
        <v>36</v>
      </c>
      <c r="D763" t="s">
        <v>15</v>
      </c>
      <c r="E763">
        <v>2014</v>
      </c>
      <c r="F763">
        <v>131</v>
      </c>
      <c r="I763" t="s">
        <v>25</v>
      </c>
    </row>
    <row r="764" spans="1:9" hidden="1" x14ac:dyDescent="0.25">
      <c r="A764" t="s">
        <v>22</v>
      </c>
      <c r="B764" t="s">
        <v>26</v>
      </c>
      <c r="C764" t="s">
        <v>36</v>
      </c>
      <c r="D764" t="s">
        <v>15</v>
      </c>
      <c r="E764">
        <v>2014</v>
      </c>
      <c r="F764">
        <v>0</v>
      </c>
      <c r="I764" t="s">
        <v>25</v>
      </c>
    </row>
    <row r="765" spans="1:9" hidden="1" x14ac:dyDescent="0.25">
      <c r="A765" t="s">
        <v>22</v>
      </c>
      <c r="B765" t="s">
        <v>28</v>
      </c>
      <c r="C765" t="s">
        <v>36</v>
      </c>
      <c r="D765" t="s">
        <v>15</v>
      </c>
      <c r="E765">
        <v>2014</v>
      </c>
      <c r="F765">
        <v>2</v>
      </c>
      <c r="I765" t="s">
        <v>25</v>
      </c>
    </row>
    <row r="766" spans="1:9" hidden="1" x14ac:dyDescent="0.25">
      <c r="A766" t="s">
        <v>22</v>
      </c>
      <c r="B766" t="s">
        <v>29</v>
      </c>
      <c r="C766" t="s">
        <v>36</v>
      </c>
      <c r="D766" t="s">
        <v>15</v>
      </c>
      <c r="E766">
        <v>2014</v>
      </c>
      <c r="F766">
        <v>0</v>
      </c>
      <c r="I766" t="s">
        <v>25</v>
      </c>
    </row>
    <row r="767" spans="1:9" hidden="1" x14ac:dyDescent="0.25">
      <c r="A767" t="s">
        <v>22</v>
      </c>
      <c r="B767" t="s">
        <v>30</v>
      </c>
      <c r="C767" t="s">
        <v>36</v>
      </c>
      <c r="D767" t="s">
        <v>15</v>
      </c>
      <c r="E767">
        <v>2014</v>
      </c>
      <c r="F767">
        <v>1</v>
      </c>
      <c r="I767" t="s">
        <v>25</v>
      </c>
    </row>
    <row r="768" spans="1:9" hidden="1" x14ac:dyDescent="0.25">
      <c r="A768" t="s">
        <v>21</v>
      </c>
      <c r="B768" t="s">
        <v>24</v>
      </c>
      <c r="C768" t="s">
        <v>37</v>
      </c>
      <c r="D768" t="s">
        <v>12</v>
      </c>
      <c r="E768">
        <v>2014</v>
      </c>
      <c r="F768">
        <v>4</v>
      </c>
      <c r="I768" t="s">
        <v>25</v>
      </c>
    </row>
    <row r="769" spans="1:9" hidden="1" x14ac:dyDescent="0.25">
      <c r="A769" t="s">
        <v>21</v>
      </c>
      <c r="B769" t="s">
        <v>26</v>
      </c>
      <c r="C769" t="s">
        <v>37</v>
      </c>
      <c r="D769" t="s">
        <v>12</v>
      </c>
      <c r="E769">
        <v>2014</v>
      </c>
      <c r="F769">
        <v>1</v>
      </c>
      <c r="I769" t="s">
        <v>25</v>
      </c>
    </row>
    <row r="770" spans="1:9" hidden="1" x14ac:dyDescent="0.25">
      <c r="A770" t="s">
        <v>21</v>
      </c>
      <c r="B770" t="s">
        <v>27</v>
      </c>
      <c r="C770" t="s">
        <v>37</v>
      </c>
      <c r="D770" t="s">
        <v>12</v>
      </c>
      <c r="E770">
        <v>2014</v>
      </c>
      <c r="F770">
        <v>0</v>
      </c>
      <c r="I770" t="s">
        <v>25</v>
      </c>
    </row>
    <row r="771" spans="1:9" hidden="1" x14ac:dyDescent="0.25">
      <c r="A771" t="s">
        <v>21</v>
      </c>
      <c r="B771" t="s">
        <v>28</v>
      </c>
      <c r="C771" t="s">
        <v>37</v>
      </c>
      <c r="D771" t="s">
        <v>12</v>
      </c>
      <c r="E771">
        <v>2014</v>
      </c>
      <c r="F771">
        <v>1</v>
      </c>
      <c r="I771" t="s">
        <v>25</v>
      </c>
    </row>
    <row r="772" spans="1:9" hidden="1" x14ac:dyDescent="0.25">
      <c r="A772" t="s">
        <v>21</v>
      </c>
      <c r="B772" t="s">
        <v>29</v>
      </c>
      <c r="C772" t="s">
        <v>37</v>
      </c>
      <c r="D772" t="s">
        <v>12</v>
      </c>
      <c r="E772">
        <v>2014</v>
      </c>
      <c r="F772">
        <v>0</v>
      </c>
      <c r="I772" t="s">
        <v>25</v>
      </c>
    </row>
    <row r="773" spans="1:9" hidden="1" x14ac:dyDescent="0.25">
      <c r="A773" t="s">
        <v>21</v>
      </c>
      <c r="B773" t="s">
        <v>30</v>
      </c>
      <c r="C773" t="s">
        <v>37</v>
      </c>
      <c r="D773" t="s">
        <v>12</v>
      </c>
      <c r="E773">
        <v>2014</v>
      </c>
      <c r="F773">
        <v>0</v>
      </c>
      <c r="I773" t="s">
        <v>25</v>
      </c>
    </row>
    <row r="774" spans="1:9" hidden="1" x14ac:dyDescent="0.25">
      <c r="A774" t="s">
        <v>10</v>
      </c>
      <c r="B774" t="s">
        <v>24</v>
      </c>
      <c r="C774" t="s">
        <v>37</v>
      </c>
      <c r="D774" t="s">
        <v>12</v>
      </c>
      <c r="E774">
        <v>2014</v>
      </c>
      <c r="F774">
        <v>98</v>
      </c>
      <c r="I774" t="s">
        <v>25</v>
      </c>
    </row>
    <row r="775" spans="1:9" hidden="1" x14ac:dyDescent="0.25">
      <c r="A775" t="s">
        <v>10</v>
      </c>
      <c r="B775" t="s">
        <v>26</v>
      </c>
      <c r="C775" t="s">
        <v>37</v>
      </c>
      <c r="D775" t="s">
        <v>12</v>
      </c>
      <c r="E775">
        <v>2014</v>
      </c>
      <c r="F775">
        <v>16</v>
      </c>
      <c r="I775" t="s">
        <v>25</v>
      </c>
    </row>
    <row r="776" spans="1:9" hidden="1" x14ac:dyDescent="0.25">
      <c r="A776" t="s">
        <v>10</v>
      </c>
      <c r="B776" t="s">
        <v>27</v>
      </c>
      <c r="C776" t="s">
        <v>37</v>
      </c>
      <c r="D776" t="s">
        <v>12</v>
      </c>
      <c r="E776">
        <v>2014</v>
      </c>
      <c r="F776">
        <v>9</v>
      </c>
      <c r="I776" t="s">
        <v>25</v>
      </c>
    </row>
    <row r="777" spans="1:9" hidden="1" x14ac:dyDescent="0.25">
      <c r="A777" t="s">
        <v>10</v>
      </c>
      <c r="B777" t="s">
        <v>28</v>
      </c>
      <c r="C777" t="s">
        <v>37</v>
      </c>
      <c r="D777" t="s">
        <v>12</v>
      </c>
      <c r="E777">
        <v>2014</v>
      </c>
      <c r="F777">
        <v>17</v>
      </c>
      <c r="I777" t="s">
        <v>25</v>
      </c>
    </row>
    <row r="778" spans="1:9" hidden="1" x14ac:dyDescent="0.25">
      <c r="A778" t="s">
        <v>10</v>
      </c>
      <c r="B778" t="s">
        <v>29</v>
      </c>
      <c r="C778" t="s">
        <v>37</v>
      </c>
      <c r="D778" t="s">
        <v>12</v>
      </c>
      <c r="E778">
        <v>2014</v>
      </c>
      <c r="F778">
        <v>2</v>
      </c>
      <c r="I778" t="s">
        <v>25</v>
      </c>
    </row>
    <row r="779" spans="1:9" hidden="1" x14ac:dyDescent="0.25">
      <c r="A779" t="s">
        <v>10</v>
      </c>
      <c r="B779" t="s">
        <v>30</v>
      </c>
      <c r="C779" t="s">
        <v>37</v>
      </c>
      <c r="D779" t="s">
        <v>12</v>
      </c>
      <c r="E779">
        <v>2014</v>
      </c>
      <c r="F779">
        <v>52</v>
      </c>
      <c r="I779" t="s">
        <v>25</v>
      </c>
    </row>
    <row r="780" spans="1:9" hidden="1" x14ac:dyDescent="0.25">
      <c r="A780" t="s">
        <v>22</v>
      </c>
      <c r="B780" t="s">
        <v>24</v>
      </c>
      <c r="C780" t="s">
        <v>37</v>
      </c>
      <c r="D780" t="s">
        <v>12</v>
      </c>
      <c r="E780">
        <v>2014</v>
      </c>
      <c r="F780">
        <v>1</v>
      </c>
      <c r="I780" t="s">
        <v>25</v>
      </c>
    </row>
    <row r="781" spans="1:9" hidden="1" x14ac:dyDescent="0.25">
      <c r="A781" t="s">
        <v>22</v>
      </c>
      <c r="B781" t="s">
        <v>26</v>
      </c>
      <c r="C781" t="s">
        <v>37</v>
      </c>
      <c r="D781" t="s">
        <v>12</v>
      </c>
      <c r="E781">
        <v>2014</v>
      </c>
      <c r="F781">
        <v>0</v>
      </c>
      <c r="I781" t="s">
        <v>25</v>
      </c>
    </row>
    <row r="782" spans="1:9" hidden="1" x14ac:dyDescent="0.25">
      <c r="A782" t="s">
        <v>22</v>
      </c>
      <c r="B782" t="s">
        <v>27</v>
      </c>
      <c r="C782" t="s">
        <v>37</v>
      </c>
      <c r="D782" t="s">
        <v>12</v>
      </c>
      <c r="E782">
        <v>2014</v>
      </c>
      <c r="F782">
        <v>0</v>
      </c>
      <c r="I782" t="s">
        <v>25</v>
      </c>
    </row>
    <row r="783" spans="1:9" hidden="1" x14ac:dyDescent="0.25">
      <c r="A783" t="s">
        <v>22</v>
      </c>
      <c r="B783" t="s">
        <v>28</v>
      </c>
      <c r="C783" t="s">
        <v>37</v>
      </c>
      <c r="D783" t="s">
        <v>12</v>
      </c>
      <c r="E783">
        <v>2014</v>
      </c>
      <c r="F783">
        <v>0</v>
      </c>
      <c r="I783" t="s">
        <v>25</v>
      </c>
    </row>
    <row r="784" spans="1:9" hidden="1" x14ac:dyDescent="0.25">
      <c r="A784" t="s">
        <v>22</v>
      </c>
      <c r="B784" t="s">
        <v>29</v>
      </c>
      <c r="C784" t="s">
        <v>37</v>
      </c>
      <c r="D784" t="s">
        <v>12</v>
      </c>
      <c r="E784">
        <v>2014</v>
      </c>
      <c r="F784">
        <v>0</v>
      </c>
      <c r="I784" t="s">
        <v>25</v>
      </c>
    </row>
    <row r="785" spans="1:9" hidden="1" x14ac:dyDescent="0.25">
      <c r="A785" t="s">
        <v>22</v>
      </c>
      <c r="B785" t="s">
        <v>30</v>
      </c>
      <c r="C785" t="s">
        <v>37</v>
      </c>
      <c r="D785" t="s">
        <v>12</v>
      </c>
      <c r="E785">
        <v>2014</v>
      </c>
      <c r="F785">
        <v>1</v>
      </c>
      <c r="I785" t="s">
        <v>25</v>
      </c>
    </row>
    <row r="786" spans="1:9" hidden="1" x14ac:dyDescent="0.25">
      <c r="A786" t="s">
        <v>21</v>
      </c>
      <c r="B786" t="s">
        <v>26</v>
      </c>
      <c r="C786" t="s">
        <v>37</v>
      </c>
      <c r="D786" t="s">
        <v>15</v>
      </c>
      <c r="E786">
        <v>2014</v>
      </c>
      <c r="F786">
        <v>0</v>
      </c>
      <c r="I786" t="s">
        <v>25</v>
      </c>
    </row>
    <row r="787" spans="1:9" hidden="1" x14ac:dyDescent="0.25">
      <c r="A787" t="s">
        <v>21</v>
      </c>
      <c r="B787" t="s">
        <v>28</v>
      </c>
      <c r="C787" t="s">
        <v>37</v>
      </c>
      <c r="D787" t="s">
        <v>15</v>
      </c>
      <c r="E787">
        <v>2014</v>
      </c>
      <c r="F787">
        <v>1</v>
      </c>
      <c r="I787" t="s">
        <v>25</v>
      </c>
    </row>
    <row r="788" spans="1:9" hidden="1" x14ac:dyDescent="0.25">
      <c r="A788" t="s">
        <v>21</v>
      </c>
      <c r="B788" t="s">
        <v>29</v>
      </c>
      <c r="C788" t="s">
        <v>37</v>
      </c>
      <c r="D788" t="s">
        <v>15</v>
      </c>
      <c r="E788">
        <v>2014</v>
      </c>
      <c r="F788">
        <v>1</v>
      </c>
      <c r="I788" t="s">
        <v>25</v>
      </c>
    </row>
    <row r="789" spans="1:9" hidden="1" x14ac:dyDescent="0.25">
      <c r="A789" t="s">
        <v>21</v>
      </c>
      <c r="B789" t="s">
        <v>30</v>
      </c>
      <c r="C789" t="s">
        <v>37</v>
      </c>
      <c r="D789" t="s">
        <v>15</v>
      </c>
      <c r="E789">
        <v>2014</v>
      </c>
      <c r="F789">
        <v>0</v>
      </c>
      <c r="I789" t="s">
        <v>25</v>
      </c>
    </row>
    <row r="790" spans="1:9" hidden="1" x14ac:dyDescent="0.25">
      <c r="A790" t="s">
        <v>10</v>
      </c>
      <c r="B790" t="s">
        <v>26</v>
      </c>
      <c r="C790" t="s">
        <v>37</v>
      </c>
      <c r="D790" t="s">
        <v>15</v>
      </c>
      <c r="E790">
        <v>2014</v>
      </c>
      <c r="F790">
        <v>3</v>
      </c>
      <c r="I790" t="s">
        <v>25</v>
      </c>
    </row>
    <row r="791" spans="1:9" hidden="1" x14ac:dyDescent="0.25">
      <c r="A791" t="s">
        <v>10</v>
      </c>
      <c r="B791" t="s">
        <v>28</v>
      </c>
      <c r="C791" t="s">
        <v>37</v>
      </c>
      <c r="D791" t="s">
        <v>15</v>
      </c>
      <c r="E791">
        <v>2014</v>
      </c>
      <c r="F791">
        <v>48</v>
      </c>
      <c r="I791" t="s">
        <v>25</v>
      </c>
    </row>
    <row r="792" spans="1:9" hidden="1" x14ac:dyDescent="0.25">
      <c r="A792" t="s">
        <v>10</v>
      </c>
      <c r="B792" t="s">
        <v>29</v>
      </c>
      <c r="C792" t="s">
        <v>37</v>
      </c>
      <c r="D792" t="s">
        <v>15</v>
      </c>
      <c r="E792">
        <v>2014</v>
      </c>
      <c r="F792">
        <v>9</v>
      </c>
      <c r="I792" t="s">
        <v>25</v>
      </c>
    </row>
    <row r="793" spans="1:9" hidden="1" x14ac:dyDescent="0.25">
      <c r="A793" t="s">
        <v>10</v>
      </c>
      <c r="B793" t="s">
        <v>30</v>
      </c>
      <c r="C793" t="s">
        <v>37</v>
      </c>
      <c r="D793" t="s">
        <v>15</v>
      </c>
      <c r="E793">
        <v>2014</v>
      </c>
      <c r="F793">
        <v>15</v>
      </c>
      <c r="I793" t="s">
        <v>25</v>
      </c>
    </row>
    <row r="794" spans="1:9" hidden="1" x14ac:dyDescent="0.25">
      <c r="A794" t="s">
        <v>22</v>
      </c>
      <c r="B794" t="s">
        <v>26</v>
      </c>
      <c r="C794" t="s">
        <v>37</v>
      </c>
      <c r="D794" t="s">
        <v>15</v>
      </c>
      <c r="E794">
        <v>2014</v>
      </c>
      <c r="F794">
        <v>0</v>
      </c>
      <c r="I794" t="s">
        <v>25</v>
      </c>
    </row>
    <row r="795" spans="1:9" hidden="1" x14ac:dyDescent="0.25">
      <c r="A795" t="s">
        <v>22</v>
      </c>
      <c r="B795" t="s">
        <v>28</v>
      </c>
      <c r="C795" t="s">
        <v>37</v>
      </c>
      <c r="D795" t="s">
        <v>15</v>
      </c>
      <c r="E795">
        <v>2014</v>
      </c>
      <c r="F795">
        <v>1</v>
      </c>
      <c r="I795" t="s">
        <v>25</v>
      </c>
    </row>
    <row r="796" spans="1:9" hidden="1" x14ac:dyDescent="0.25">
      <c r="A796" t="s">
        <v>22</v>
      </c>
      <c r="B796" t="s">
        <v>29</v>
      </c>
      <c r="C796" t="s">
        <v>37</v>
      </c>
      <c r="D796" t="s">
        <v>15</v>
      </c>
      <c r="E796">
        <v>2014</v>
      </c>
      <c r="F796">
        <v>0</v>
      </c>
      <c r="I796" t="s">
        <v>25</v>
      </c>
    </row>
    <row r="797" spans="1:9" hidden="1" x14ac:dyDescent="0.25">
      <c r="A797" t="s">
        <v>22</v>
      </c>
      <c r="B797" t="s">
        <v>30</v>
      </c>
      <c r="C797" t="s">
        <v>37</v>
      </c>
      <c r="D797" t="s">
        <v>15</v>
      </c>
      <c r="E797">
        <v>2014</v>
      </c>
      <c r="F797">
        <v>0</v>
      </c>
      <c r="I797" t="s">
        <v>25</v>
      </c>
    </row>
    <row r="798" spans="1:9" hidden="1" x14ac:dyDescent="0.25">
      <c r="A798" t="s">
        <v>21</v>
      </c>
      <c r="B798" t="s">
        <v>24</v>
      </c>
      <c r="C798" t="s">
        <v>36</v>
      </c>
      <c r="D798" t="s">
        <v>12</v>
      </c>
      <c r="E798">
        <v>2015</v>
      </c>
      <c r="F798">
        <v>81</v>
      </c>
      <c r="I798" t="s">
        <v>25</v>
      </c>
    </row>
    <row r="799" spans="1:9" hidden="1" x14ac:dyDescent="0.25">
      <c r="A799" t="s">
        <v>21</v>
      </c>
      <c r="B799" t="s">
        <v>26</v>
      </c>
      <c r="C799" t="s">
        <v>36</v>
      </c>
      <c r="D799" t="s">
        <v>12</v>
      </c>
      <c r="E799">
        <v>2015</v>
      </c>
      <c r="F799">
        <v>2</v>
      </c>
      <c r="I799" t="s">
        <v>25</v>
      </c>
    </row>
    <row r="800" spans="1:9" hidden="1" x14ac:dyDescent="0.25">
      <c r="A800" t="s">
        <v>21</v>
      </c>
      <c r="B800" t="s">
        <v>27</v>
      </c>
      <c r="C800" t="s">
        <v>36</v>
      </c>
      <c r="D800" t="s">
        <v>12</v>
      </c>
      <c r="E800">
        <v>2015</v>
      </c>
      <c r="F800">
        <v>1</v>
      </c>
      <c r="I800" t="s">
        <v>25</v>
      </c>
    </row>
    <row r="801" spans="1:9" hidden="1" x14ac:dyDescent="0.25">
      <c r="A801" t="s">
        <v>21</v>
      </c>
      <c r="B801" t="s">
        <v>28</v>
      </c>
      <c r="C801" t="s">
        <v>36</v>
      </c>
      <c r="D801" t="s">
        <v>12</v>
      </c>
      <c r="E801">
        <v>2015</v>
      </c>
      <c r="F801">
        <v>5</v>
      </c>
      <c r="I801" t="s">
        <v>25</v>
      </c>
    </row>
    <row r="802" spans="1:9" hidden="1" x14ac:dyDescent="0.25">
      <c r="A802" t="s">
        <v>21</v>
      </c>
      <c r="B802" t="s">
        <v>29</v>
      </c>
      <c r="C802" t="s">
        <v>36</v>
      </c>
      <c r="D802" t="s">
        <v>12</v>
      </c>
      <c r="E802">
        <v>2015</v>
      </c>
      <c r="F802">
        <v>0</v>
      </c>
      <c r="I802" t="s">
        <v>25</v>
      </c>
    </row>
    <row r="803" spans="1:9" hidden="1" x14ac:dyDescent="0.25">
      <c r="A803" t="s">
        <v>21</v>
      </c>
      <c r="B803" t="s">
        <v>30</v>
      </c>
      <c r="C803" t="s">
        <v>36</v>
      </c>
      <c r="D803" t="s">
        <v>12</v>
      </c>
      <c r="E803">
        <v>2015</v>
      </c>
      <c r="F803">
        <v>12</v>
      </c>
      <c r="I803" t="s">
        <v>25</v>
      </c>
    </row>
    <row r="804" spans="1:9" hidden="1" x14ac:dyDescent="0.25">
      <c r="A804" t="s">
        <v>10</v>
      </c>
      <c r="B804" t="s">
        <v>24</v>
      </c>
      <c r="C804" t="s">
        <v>36</v>
      </c>
      <c r="D804" t="s">
        <v>12</v>
      </c>
      <c r="E804">
        <v>2015</v>
      </c>
      <c r="F804">
        <v>1333</v>
      </c>
      <c r="I804" t="s">
        <v>25</v>
      </c>
    </row>
    <row r="805" spans="1:9" hidden="1" x14ac:dyDescent="0.25">
      <c r="A805" t="s">
        <v>10</v>
      </c>
      <c r="B805" t="s">
        <v>26</v>
      </c>
      <c r="C805" t="s">
        <v>36</v>
      </c>
      <c r="D805" t="s">
        <v>12</v>
      </c>
      <c r="E805">
        <v>2015</v>
      </c>
      <c r="F805">
        <v>49</v>
      </c>
      <c r="I805" t="s">
        <v>25</v>
      </c>
    </row>
    <row r="806" spans="1:9" hidden="1" x14ac:dyDescent="0.25">
      <c r="A806" t="s">
        <v>10</v>
      </c>
      <c r="B806" t="s">
        <v>27</v>
      </c>
      <c r="C806" t="s">
        <v>36</v>
      </c>
      <c r="D806" t="s">
        <v>12</v>
      </c>
      <c r="E806">
        <v>2015</v>
      </c>
      <c r="F806">
        <v>34</v>
      </c>
      <c r="I806" t="s">
        <v>25</v>
      </c>
    </row>
    <row r="807" spans="1:9" hidden="1" x14ac:dyDescent="0.25">
      <c r="A807" t="s">
        <v>10</v>
      </c>
      <c r="B807" t="s">
        <v>28</v>
      </c>
      <c r="C807" t="s">
        <v>36</v>
      </c>
      <c r="D807" t="s">
        <v>12</v>
      </c>
      <c r="E807">
        <v>2015</v>
      </c>
      <c r="F807">
        <v>174</v>
      </c>
      <c r="I807" t="s">
        <v>25</v>
      </c>
    </row>
    <row r="808" spans="1:9" hidden="1" x14ac:dyDescent="0.25">
      <c r="A808" t="s">
        <v>10</v>
      </c>
      <c r="B808" t="s">
        <v>29</v>
      </c>
      <c r="C808" t="s">
        <v>36</v>
      </c>
      <c r="D808" t="s">
        <v>12</v>
      </c>
      <c r="E808">
        <v>2015</v>
      </c>
      <c r="F808">
        <v>11</v>
      </c>
      <c r="I808" t="s">
        <v>25</v>
      </c>
    </row>
    <row r="809" spans="1:9" hidden="1" x14ac:dyDescent="0.25">
      <c r="A809" t="s">
        <v>10</v>
      </c>
      <c r="B809" t="s">
        <v>30</v>
      </c>
      <c r="C809" t="s">
        <v>36</v>
      </c>
      <c r="D809" t="s">
        <v>12</v>
      </c>
      <c r="E809">
        <v>2015</v>
      </c>
      <c r="F809">
        <v>460</v>
      </c>
      <c r="I809" t="s">
        <v>25</v>
      </c>
    </row>
    <row r="810" spans="1:9" hidden="1" x14ac:dyDescent="0.25">
      <c r="A810" t="s">
        <v>22</v>
      </c>
      <c r="B810" t="s">
        <v>24</v>
      </c>
      <c r="C810" t="s">
        <v>36</v>
      </c>
      <c r="D810" t="s">
        <v>12</v>
      </c>
      <c r="E810">
        <v>2015</v>
      </c>
      <c r="F810">
        <v>10</v>
      </c>
      <c r="I810" t="s">
        <v>25</v>
      </c>
    </row>
    <row r="811" spans="1:9" hidden="1" x14ac:dyDescent="0.25">
      <c r="A811" t="s">
        <v>22</v>
      </c>
      <c r="B811" t="s">
        <v>26</v>
      </c>
      <c r="C811" t="s">
        <v>36</v>
      </c>
      <c r="D811" t="s">
        <v>12</v>
      </c>
      <c r="E811">
        <v>2015</v>
      </c>
      <c r="F811">
        <v>1</v>
      </c>
      <c r="I811" t="s">
        <v>25</v>
      </c>
    </row>
    <row r="812" spans="1:9" hidden="1" x14ac:dyDescent="0.25">
      <c r="A812" t="s">
        <v>22</v>
      </c>
      <c r="B812" t="s">
        <v>27</v>
      </c>
      <c r="C812" t="s">
        <v>36</v>
      </c>
      <c r="D812" t="s">
        <v>12</v>
      </c>
      <c r="E812">
        <v>2015</v>
      </c>
      <c r="F812">
        <v>0</v>
      </c>
      <c r="I812" t="s">
        <v>25</v>
      </c>
    </row>
    <row r="813" spans="1:9" hidden="1" x14ac:dyDescent="0.25">
      <c r="A813" t="s">
        <v>22</v>
      </c>
      <c r="B813" t="s">
        <v>28</v>
      </c>
      <c r="C813" t="s">
        <v>36</v>
      </c>
      <c r="D813" t="s">
        <v>12</v>
      </c>
      <c r="E813">
        <v>2015</v>
      </c>
      <c r="F813">
        <v>3</v>
      </c>
      <c r="I813" t="s">
        <v>25</v>
      </c>
    </row>
    <row r="814" spans="1:9" hidden="1" x14ac:dyDescent="0.25">
      <c r="A814" t="s">
        <v>22</v>
      </c>
      <c r="B814" t="s">
        <v>29</v>
      </c>
      <c r="C814" t="s">
        <v>36</v>
      </c>
      <c r="D814" t="s">
        <v>12</v>
      </c>
      <c r="E814">
        <v>2015</v>
      </c>
      <c r="F814">
        <v>0</v>
      </c>
      <c r="I814" t="s">
        <v>25</v>
      </c>
    </row>
    <row r="815" spans="1:9" hidden="1" x14ac:dyDescent="0.25">
      <c r="A815" t="s">
        <v>22</v>
      </c>
      <c r="B815" t="s">
        <v>30</v>
      </c>
      <c r="C815" t="s">
        <v>36</v>
      </c>
      <c r="D815" t="s">
        <v>12</v>
      </c>
      <c r="E815">
        <v>2015</v>
      </c>
      <c r="F815">
        <v>6</v>
      </c>
      <c r="I815" t="s">
        <v>25</v>
      </c>
    </row>
    <row r="816" spans="1:9" hidden="1" x14ac:dyDescent="0.25">
      <c r="A816" t="s">
        <v>21</v>
      </c>
      <c r="B816" t="s">
        <v>26</v>
      </c>
      <c r="C816" t="s">
        <v>36</v>
      </c>
      <c r="D816" t="s">
        <v>15</v>
      </c>
      <c r="E816">
        <v>2015</v>
      </c>
      <c r="F816">
        <v>0</v>
      </c>
      <c r="I816" t="s">
        <v>25</v>
      </c>
    </row>
    <row r="817" spans="1:9" hidden="1" x14ac:dyDescent="0.25">
      <c r="A817" t="s">
        <v>21</v>
      </c>
      <c r="B817" t="s">
        <v>28</v>
      </c>
      <c r="C817" t="s">
        <v>36</v>
      </c>
      <c r="D817" t="s">
        <v>15</v>
      </c>
      <c r="E817">
        <v>2015</v>
      </c>
      <c r="F817">
        <v>10</v>
      </c>
      <c r="I817" t="s">
        <v>25</v>
      </c>
    </row>
    <row r="818" spans="1:9" hidden="1" x14ac:dyDescent="0.25">
      <c r="A818" t="s">
        <v>21</v>
      </c>
      <c r="B818" t="s">
        <v>29</v>
      </c>
      <c r="C818" t="s">
        <v>36</v>
      </c>
      <c r="D818" t="s">
        <v>15</v>
      </c>
      <c r="E818">
        <v>2015</v>
      </c>
      <c r="F818">
        <v>1</v>
      </c>
      <c r="I818" t="s">
        <v>25</v>
      </c>
    </row>
    <row r="819" spans="1:9" hidden="1" x14ac:dyDescent="0.25">
      <c r="A819" t="s">
        <v>21</v>
      </c>
      <c r="B819" t="s">
        <v>30</v>
      </c>
      <c r="C819" t="s">
        <v>36</v>
      </c>
      <c r="D819" t="s">
        <v>15</v>
      </c>
      <c r="E819">
        <v>2015</v>
      </c>
      <c r="F819">
        <v>3</v>
      </c>
      <c r="I819" t="s">
        <v>25</v>
      </c>
    </row>
    <row r="820" spans="1:9" hidden="1" x14ac:dyDescent="0.25">
      <c r="A820" t="s">
        <v>10</v>
      </c>
      <c r="B820" t="s">
        <v>26</v>
      </c>
      <c r="C820" t="s">
        <v>36</v>
      </c>
      <c r="D820" t="s">
        <v>15</v>
      </c>
      <c r="E820">
        <v>2015</v>
      </c>
      <c r="F820">
        <v>17</v>
      </c>
      <c r="I820" t="s">
        <v>25</v>
      </c>
    </row>
    <row r="821" spans="1:9" hidden="1" x14ac:dyDescent="0.25">
      <c r="A821" t="s">
        <v>10</v>
      </c>
      <c r="B821" t="s">
        <v>28</v>
      </c>
      <c r="C821" t="s">
        <v>36</v>
      </c>
      <c r="D821" t="s">
        <v>15</v>
      </c>
      <c r="E821">
        <v>2015</v>
      </c>
      <c r="F821">
        <v>250</v>
      </c>
      <c r="I821" t="s">
        <v>25</v>
      </c>
    </row>
    <row r="822" spans="1:9" hidden="1" x14ac:dyDescent="0.25">
      <c r="A822" t="s">
        <v>10</v>
      </c>
      <c r="B822" t="s">
        <v>29</v>
      </c>
      <c r="C822" t="s">
        <v>36</v>
      </c>
      <c r="D822" t="s">
        <v>15</v>
      </c>
      <c r="E822">
        <v>2015</v>
      </c>
      <c r="F822">
        <v>25</v>
      </c>
      <c r="I822" t="s">
        <v>25</v>
      </c>
    </row>
    <row r="823" spans="1:9" hidden="1" x14ac:dyDescent="0.25">
      <c r="A823" t="s">
        <v>10</v>
      </c>
      <c r="B823" t="s">
        <v>30</v>
      </c>
      <c r="C823" t="s">
        <v>36</v>
      </c>
      <c r="D823" t="s">
        <v>15</v>
      </c>
      <c r="E823">
        <v>2015</v>
      </c>
      <c r="F823">
        <v>134</v>
      </c>
      <c r="I823" t="s">
        <v>25</v>
      </c>
    </row>
    <row r="824" spans="1:9" hidden="1" x14ac:dyDescent="0.25">
      <c r="A824" t="s">
        <v>22</v>
      </c>
      <c r="B824" t="s">
        <v>26</v>
      </c>
      <c r="C824" t="s">
        <v>36</v>
      </c>
      <c r="D824" t="s">
        <v>15</v>
      </c>
      <c r="E824">
        <v>2015</v>
      </c>
      <c r="F824">
        <v>0</v>
      </c>
      <c r="I824" t="s">
        <v>25</v>
      </c>
    </row>
    <row r="825" spans="1:9" hidden="1" x14ac:dyDescent="0.25">
      <c r="A825" t="s">
        <v>22</v>
      </c>
      <c r="B825" t="s">
        <v>28</v>
      </c>
      <c r="C825" t="s">
        <v>36</v>
      </c>
      <c r="D825" t="s">
        <v>15</v>
      </c>
      <c r="E825">
        <v>2015</v>
      </c>
      <c r="F825">
        <v>3</v>
      </c>
      <c r="I825" t="s">
        <v>25</v>
      </c>
    </row>
    <row r="826" spans="1:9" hidden="1" x14ac:dyDescent="0.25">
      <c r="A826" t="s">
        <v>22</v>
      </c>
      <c r="B826" t="s">
        <v>29</v>
      </c>
      <c r="C826" t="s">
        <v>36</v>
      </c>
      <c r="D826" t="s">
        <v>15</v>
      </c>
      <c r="E826">
        <v>2015</v>
      </c>
      <c r="F826">
        <v>1</v>
      </c>
      <c r="I826" t="s">
        <v>25</v>
      </c>
    </row>
    <row r="827" spans="1:9" hidden="1" x14ac:dyDescent="0.25">
      <c r="A827" t="s">
        <v>22</v>
      </c>
      <c r="B827" t="s">
        <v>30</v>
      </c>
      <c r="C827" t="s">
        <v>36</v>
      </c>
      <c r="D827" t="s">
        <v>15</v>
      </c>
      <c r="E827">
        <v>2015</v>
      </c>
      <c r="F827">
        <v>1</v>
      </c>
      <c r="I827" t="s">
        <v>25</v>
      </c>
    </row>
    <row r="828" spans="1:9" hidden="1" x14ac:dyDescent="0.25">
      <c r="A828" t="s">
        <v>21</v>
      </c>
      <c r="B828" t="s">
        <v>24</v>
      </c>
      <c r="C828" t="s">
        <v>37</v>
      </c>
      <c r="D828" t="s">
        <v>12</v>
      </c>
      <c r="E828">
        <v>2015</v>
      </c>
      <c r="F828">
        <v>2</v>
      </c>
      <c r="I828" t="s">
        <v>25</v>
      </c>
    </row>
    <row r="829" spans="1:9" hidden="1" x14ac:dyDescent="0.25">
      <c r="A829" t="s">
        <v>21</v>
      </c>
      <c r="B829" t="s">
        <v>26</v>
      </c>
      <c r="C829" t="s">
        <v>37</v>
      </c>
      <c r="D829" t="s">
        <v>12</v>
      </c>
      <c r="E829">
        <v>2015</v>
      </c>
      <c r="F829">
        <v>0</v>
      </c>
      <c r="I829" t="s">
        <v>25</v>
      </c>
    </row>
    <row r="830" spans="1:9" hidden="1" x14ac:dyDescent="0.25">
      <c r="A830" t="s">
        <v>21</v>
      </c>
      <c r="B830" t="s">
        <v>27</v>
      </c>
      <c r="C830" t="s">
        <v>37</v>
      </c>
      <c r="D830" t="s">
        <v>12</v>
      </c>
      <c r="E830">
        <v>2015</v>
      </c>
      <c r="F830">
        <v>0</v>
      </c>
      <c r="I830" t="s">
        <v>25</v>
      </c>
    </row>
    <row r="831" spans="1:9" hidden="1" x14ac:dyDescent="0.25">
      <c r="A831" t="s">
        <v>21</v>
      </c>
      <c r="B831" t="s">
        <v>28</v>
      </c>
      <c r="C831" t="s">
        <v>37</v>
      </c>
      <c r="D831" t="s">
        <v>12</v>
      </c>
      <c r="E831">
        <v>2015</v>
      </c>
      <c r="F831">
        <v>0</v>
      </c>
      <c r="I831" t="s">
        <v>25</v>
      </c>
    </row>
    <row r="832" spans="1:9" hidden="1" x14ac:dyDescent="0.25">
      <c r="A832" t="s">
        <v>21</v>
      </c>
      <c r="B832" t="s">
        <v>29</v>
      </c>
      <c r="C832" t="s">
        <v>37</v>
      </c>
      <c r="D832" t="s">
        <v>12</v>
      </c>
      <c r="E832">
        <v>2015</v>
      </c>
      <c r="F832">
        <v>0</v>
      </c>
      <c r="I832" t="s">
        <v>25</v>
      </c>
    </row>
    <row r="833" spans="1:9" hidden="1" x14ac:dyDescent="0.25">
      <c r="A833" t="s">
        <v>21</v>
      </c>
      <c r="B833" t="s">
        <v>30</v>
      </c>
      <c r="C833" t="s">
        <v>37</v>
      </c>
      <c r="D833" t="s">
        <v>12</v>
      </c>
      <c r="E833">
        <v>2015</v>
      </c>
      <c r="F833">
        <v>0</v>
      </c>
      <c r="I833" t="s">
        <v>25</v>
      </c>
    </row>
    <row r="834" spans="1:9" hidden="1" x14ac:dyDescent="0.25">
      <c r="A834" t="s">
        <v>10</v>
      </c>
      <c r="B834" t="s">
        <v>24</v>
      </c>
      <c r="C834" t="s">
        <v>37</v>
      </c>
      <c r="D834" t="s">
        <v>12</v>
      </c>
      <c r="E834">
        <v>2015</v>
      </c>
      <c r="F834">
        <v>98</v>
      </c>
      <c r="I834" t="s">
        <v>25</v>
      </c>
    </row>
    <row r="835" spans="1:9" hidden="1" x14ac:dyDescent="0.25">
      <c r="A835" t="s">
        <v>10</v>
      </c>
      <c r="B835" t="s">
        <v>26</v>
      </c>
      <c r="C835" t="s">
        <v>37</v>
      </c>
      <c r="D835" t="s">
        <v>12</v>
      </c>
      <c r="E835">
        <v>2015</v>
      </c>
      <c r="F835">
        <v>15</v>
      </c>
      <c r="I835" t="s">
        <v>25</v>
      </c>
    </row>
    <row r="836" spans="1:9" hidden="1" x14ac:dyDescent="0.25">
      <c r="A836" t="s">
        <v>10</v>
      </c>
      <c r="B836" t="s">
        <v>27</v>
      </c>
      <c r="C836" t="s">
        <v>37</v>
      </c>
      <c r="D836" t="s">
        <v>12</v>
      </c>
      <c r="E836">
        <v>2015</v>
      </c>
      <c r="F836">
        <v>9</v>
      </c>
      <c r="I836" t="s">
        <v>25</v>
      </c>
    </row>
    <row r="837" spans="1:9" hidden="1" x14ac:dyDescent="0.25">
      <c r="A837" t="s">
        <v>10</v>
      </c>
      <c r="B837" t="s">
        <v>28</v>
      </c>
      <c r="C837" t="s">
        <v>37</v>
      </c>
      <c r="D837" t="s">
        <v>12</v>
      </c>
      <c r="E837">
        <v>2015</v>
      </c>
      <c r="F837">
        <v>17</v>
      </c>
      <c r="I837" t="s">
        <v>25</v>
      </c>
    </row>
    <row r="838" spans="1:9" hidden="1" x14ac:dyDescent="0.25">
      <c r="A838" t="s">
        <v>10</v>
      </c>
      <c r="B838" t="s">
        <v>29</v>
      </c>
      <c r="C838" t="s">
        <v>37</v>
      </c>
      <c r="D838" t="s">
        <v>12</v>
      </c>
      <c r="E838">
        <v>2015</v>
      </c>
      <c r="F838">
        <v>2</v>
      </c>
      <c r="I838" t="s">
        <v>25</v>
      </c>
    </row>
    <row r="839" spans="1:9" hidden="1" x14ac:dyDescent="0.25">
      <c r="A839" t="s">
        <v>10</v>
      </c>
      <c r="B839" t="s">
        <v>30</v>
      </c>
      <c r="C839" t="s">
        <v>37</v>
      </c>
      <c r="D839" t="s">
        <v>12</v>
      </c>
      <c r="E839">
        <v>2015</v>
      </c>
      <c r="F839">
        <v>53</v>
      </c>
      <c r="I839" t="s">
        <v>25</v>
      </c>
    </row>
    <row r="840" spans="1:9" hidden="1" x14ac:dyDescent="0.25">
      <c r="A840" t="s">
        <v>22</v>
      </c>
      <c r="B840" t="s">
        <v>24</v>
      </c>
      <c r="C840" t="s">
        <v>37</v>
      </c>
      <c r="D840" t="s">
        <v>12</v>
      </c>
      <c r="E840">
        <v>2015</v>
      </c>
      <c r="F840">
        <v>2</v>
      </c>
      <c r="I840" t="s">
        <v>25</v>
      </c>
    </row>
    <row r="841" spans="1:9" hidden="1" x14ac:dyDescent="0.25">
      <c r="A841" t="s">
        <v>22</v>
      </c>
      <c r="B841" t="s">
        <v>26</v>
      </c>
      <c r="C841" t="s">
        <v>37</v>
      </c>
      <c r="D841" t="s">
        <v>12</v>
      </c>
      <c r="E841">
        <v>2015</v>
      </c>
      <c r="F841">
        <v>1</v>
      </c>
      <c r="I841" t="s">
        <v>25</v>
      </c>
    </row>
    <row r="842" spans="1:9" hidden="1" x14ac:dyDescent="0.25">
      <c r="A842" t="s">
        <v>22</v>
      </c>
      <c r="B842" t="s">
        <v>27</v>
      </c>
      <c r="C842" t="s">
        <v>37</v>
      </c>
      <c r="D842" t="s">
        <v>12</v>
      </c>
      <c r="E842">
        <v>2015</v>
      </c>
      <c r="F842">
        <v>0</v>
      </c>
      <c r="I842" t="s">
        <v>25</v>
      </c>
    </row>
    <row r="843" spans="1:9" hidden="1" x14ac:dyDescent="0.25">
      <c r="A843" t="s">
        <v>22</v>
      </c>
      <c r="B843" t="s">
        <v>28</v>
      </c>
      <c r="C843" t="s">
        <v>37</v>
      </c>
      <c r="D843" t="s">
        <v>12</v>
      </c>
      <c r="E843">
        <v>2015</v>
      </c>
      <c r="F843">
        <v>0</v>
      </c>
      <c r="I843" t="s">
        <v>25</v>
      </c>
    </row>
    <row r="844" spans="1:9" hidden="1" x14ac:dyDescent="0.25">
      <c r="A844" t="s">
        <v>22</v>
      </c>
      <c r="B844" t="s">
        <v>29</v>
      </c>
      <c r="C844" t="s">
        <v>37</v>
      </c>
      <c r="D844" t="s">
        <v>12</v>
      </c>
      <c r="E844">
        <v>2015</v>
      </c>
      <c r="F844">
        <v>0</v>
      </c>
      <c r="I844" t="s">
        <v>25</v>
      </c>
    </row>
    <row r="845" spans="1:9" hidden="1" x14ac:dyDescent="0.25">
      <c r="A845" t="s">
        <v>22</v>
      </c>
      <c r="B845" t="s">
        <v>30</v>
      </c>
      <c r="C845" t="s">
        <v>37</v>
      </c>
      <c r="D845" t="s">
        <v>12</v>
      </c>
      <c r="E845">
        <v>2015</v>
      </c>
      <c r="F845">
        <v>0</v>
      </c>
      <c r="I845" t="s">
        <v>25</v>
      </c>
    </row>
    <row r="846" spans="1:9" hidden="1" x14ac:dyDescent="0.25">
      <c r="A846" t="s">
        <v>21</v>
      </c>
      <c r="B846" t="s">
        <v>26</v>
      </c>
      <c r="C846" t="s">
        <v>37</v>
      </c>
      <c r="D846" t="s">
        <v>15</v>
      </c>
      <c r="E846">
        <v>2015</v>
      </c>
      <c r="F846">
        <v>0</v>
      </c>
      <c r="I846" t="s">
        <v>25</v>
      </c>
    </row>
    <row r="847" spans="1:9" hidden="1" x14ac:dyDescent="0.25">
      <c r="A847" t="s">
        <v>21</v>
      </c>
      <c r="B847" t="s">
        <v>28</v>
      </c>
      <c r="C847" t="s">
        <v>37</v>
      </c>
      <c r="D847" t="s">
        <v>15</v>
      </c>
      <c r="E847">
        <v>2015</v>
      </c>
      <c r="F847">
        <v>0</v>
      </c>
      <c r="I847" t="s">
        <v>25</v>
      </c>
    </row>
    <row r="848" spans="1:9" hidden="1" x14ac:dyDescent="0.25">
      <c r="A848" t="s">
        <v>21</v>
      </c>
      <c r="B848" t="s">
        <v>29</v>
      </c>
      <c r="C848" t="s">
        <v>37</v>
      </c>
      <c r="D848" t="s">
        <v>15</v>
      </c>
      <c r="E848">
        <v>2015</v>
      </c>
      <c r="F848">
        <v>0</v>
      </c>
      <c r="I848" t="s">
        <v>25</v>
      </c>
    </row>
    <row r="849" spans="1:9" hidden="1" x14ac:dyDescent="0.25">
      <c r="A849" t="s">
        <v>21</v>
      </c>
      <c r="B849" t="s">
        <v>30</v>
      </c>
      <c r="C849" t="s">
        <v>37</v>
      </c>
      <c r="D849" t="s">
        <v>15</v>
      </c>
      <c r="E849">
        <v>2015</v>
      </c>
      <c r="F849">
        <v>1</v>
      </c>
      <c r="I849" t="s">
        <v>25</v>
      </c>
    </row>
    <row r="850" spans="1:9" hidden="1" x14ac:dyDescent="0.25">
      <c r="A850" t="s">
        <v>10</v>
      </c>
      <c r="B850" t="s">
        <v>26</v>
      </c>
      <c r="C850" t="s">
        <v>37</v>
      </c>
      <c r="D850" t="s">
        <v>15</v>
      </c>
      <c r="E850">
        <v>2015</v>
      </c>
      <c r="F850">
        <v>3</v>
      </c>
      <c r="I850" t="s">
        <v>25</v>
      </c>
    </row>
    <row r="851" spans="1:9" hidden="1" x14ac:dyDescent="0.25">
      <c r="A851" t="s">
        <v>10</v>
      </c>
      <c r="B851" t="s">
        <v>28</v>
      </c>
      <c r="C851" t="s">
        <v>37</v>
      </c>
      <c r="D851" t="s">
        <v>15</v>
      </c>
      <c r="E851">
        <v>2015</v>
      </c>
      <c r="F851">
        <v>47</v>
      </c>
      <c r="I851" t="s">
        <v>25</v>
      </c>
    </row>
    <row r="852" spans="1:9" hidden="1" x14ac:dyDescent="0.25">
      <c r="A852" t="s">
        <v>10</v>
      </c>
      <c r="B852" t="s">
        <v>29</v>
      </c>
      <c r="C852" t="s">
        <v>37</v>
      </c>
      <c r="D852" t="s">
        <v>15</v>
      </c>
      <c r="E852">
        <v>2015</v>
      </c>
      <c r="F852">
        <v>9</v>
      </c>
      <c r="I852" t="s">
        <v>25</v>
      </c>
    </row>
    <row r="853" spans="1:9" hidden="1" x14ac:dyDescent="0.25">
      <c r="A853" t="s">
        <v>10</v>
      </c>
      <c r="B853" t="s">
        <v>30</v>
      </c>
      <c r="C853" t="s">
        <v>37</v>
      </c>
      <c r="D853" t="s">
        <v>15</v>
      </c>
      <c r="E853">
        <v>2015</v>
      </c>
      <c r="F853">
        <v>16</v>
      </c>
      <c r="I853" t="s">
        <v>25</v>
      </c>
    </row>
    <row r="854" spans="1:9" hidden="1" x14ac:dyDescent="0.25">
      <c r="A854" t="s">
        <v>22</v>
      </c>
      <c r="B854" t="s">
        <v>26</v>
      </c>
      <c r="C854" t="s">
        <v>37</v>
      </c>
      <c r="D854" t="s">
        <v>15</v>
      </c>
      <c r="E854">
        <v>2015</v>
      </c>
      <c r="F854">
        <v>0</v>
      </c>
      <c r="I854" t="s">
        <v>25</v>
      </c>
    </row>
    <row r="855" spans="1:9" hidden="1" x14ac:dyDescent="0.25">
      <c r="A855" t="s">
        <v>22</v>
      </c>
      <c r="B855" t="s">
        <v>28</v>
      </c>
      <c r="C855" t="s">
        <v>37</v>
      </c>
      <c r="D855" t="s">
        <v>15</v>
      </c>
      <c r="E855">
        <v>2015</v>
      </c>
      <c r="F855">
        <v>1</v>
      </c>
      <c r="I855" t="s">
        <v>25</v>
      </c>
    </row>
    <row r="856" spans="1:9" hidden="1" x14ac:dyDescent="0.25">
      <c r="A856" t="s">
        <v>22</v>
      </c>
      <c r="B856" t="s">
        <v>29</v>
      </c>
      <c r="C856" t="s">
        <v>37</v>
      </c>
      <c r="D856" t="s">
        <v>15</v>
      </c>
      <c r="E856">
        <v>2015</v>
      </c>
      <c r="F856">
        <v>0</v>
      </c>
      <c r="I856" t="s">
        <v>25</v>
      </c>
    </row>
    <row r="857" spans="1:9" hidden="1" x14ac:dyDescent="0.25">
      <c r="A857" t="s">
        <v>22</v>
      </c>
      <c r="B857" t="s">
        <v>30</v>
      </c>
      <c r="C857" t="s">
        <v>37</v>
      </c>
      <c r="D857" t="s">
        <v>15</v>
      </c>
      <c r="E857">
        <v>2015</v>
      </c>
      <c r="F857">
        <v>0</v>
      </c>
      <c r="I857" t="s">
        <v>25</v>
      </c>
    </row>
  </sheetData>
  <autoFilter ref="A1:J857">
    <filterColumn colId="0">
      <filters>
        <filter val="Incident HIV infections"/>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workbookViewId="0">
      <pane ySplit="1" topLeftCell="A2" activePane="bottomLeft" state="frozen"/>
      <selection activeCell="E872" sqref="E872"/>
      <selection pane="bottomLeft" activeCell="E872" sqref="E872"/>
    </sheetView>
  </sheetViews>
  <sheetFormatPr defaultRowHeight="15" x14ac:dyDescent="0.25"/>
  <cols>
    <col min="1" max="1" width="28.5703125" bestFit="1" customWidth="1"/>
    <col min="2" max="2" width="10.140625" bestFit="1" customWidth="1"/>
    <col min="3" max="3" width="13.85546875" bestFit="1" customWidth="1"/>
  </cols>
  <sheetData>
    <row r="1" spans="1:6" x14ac:dyDescent="0.25">
      <c r="A1" t="s">
        <v>0</v>
      </c>
      <c r="B1" t="s">
        <v>1</v>
      </c>
      <c r="C1" t="s">
        <v>2</v>
      </c>
      <c r="D1" t="s">
        <v>3</v>
      </c>
      <c r="E1" t="s">
        <v>4</v>
      </c>
      <c r="F1" t="s">
        <v>5</v>
      </c>
    </row>
    <row r="2" spans="1:6" x14ac:dyDescent="0.25">
      <c r="A2" t="s">
        <v>21</v>
      </c>
      <c r="B2" t="s">
        <v>11</v>
      </c>
      <c r="C2" t="s">
        <v>19</v>
      </c>
      <c r="D2" t="s">
        <v>12</v>
      </c>
      <c r="E2">
        <v>2011</v>
      </c>
      <c r="F2">
        <f>13.2</f>
        <v>13.2</v>
      </c>
    </row>
    <row r="3" spans="1:6" x14ac:dyDescent="0.25">
      <c r="A3" t="s">
        <v>21</v>
      </c>
      <c r="B3" t="s">
        <v>11</v>
      </c>
      <c r="C3" t="s">
        <v>20</v>
      </c>
      <c r="D3" t="s">
        <v>12</v>
      </c>
      <c r="E3">
        <v>2011</v>
      </c>
      <c r="F3">
        <f>9.9</f>
        <v>9.9</v>
      </c>
    </row>
    <row r="4" spans="1:6" x14ac:dyDescent="0.25">
      <c r="A4" t="s">
        <v>21</v>
      </c>
      <c r="B4" t="s">
        <v>11</v>
      </c>
      <c r="C4" t="s">
        <v>11</v>
      </c>
      <c r="D4" t="s">
        <v>12</v>
      </c>
      <c r="E4">
        <v>2011</v>
      </c>
      <c r="F4">
        <f>13.5</f>
        <v>13.5</v>
      </c>
    </row>
    <row r="5" spans="1:6" x14ac:dyDescent="0.25">
      <c r="A5" t="s">
        <v>21</v>
      </c>
      <c r="B5" t="s">
        <v>11</v>
      </c>
      <c r="C5" t="s">
        <v>19</v>
      </c>
      <c r="D5" t="s">
        <v>15</v>
      </c>
      <c r="E5">
        <v>2011</v>
      </c>
      <c r="F5">
        <f>8</f>
        <v>8</v>
      </c>
    </row>
    <row r="6" spans="1:6" x14ac:dyDescent="0.25">
      <c r="A6" t="s">
        <v>21</v>
      </c>
      <c r="B6" t="s">
        <v>11</v>
      </c>
      <c r="C6" t="s">
        <v>20</v>
      </c>
      <c r="D6" t="s">
        <v>15</v>
      </c>
      <c r="E6">
        <v>2011</v>
      </c>
      <c r="F6">
        <f>8</f>
        <v>8</v>
      </c>
    </row>
    <row r="7" spans="1:6" x14ac:dyDescent="0.25">
      <c r="A7" t="s">
        <v>21</v>
      </c>
      <c r="B7" t="s">
        <v>11</v>
      </c>
      <c r="C7" t="s">
        <v>11</v>
      </c>
      <c r="D7" t="s">
        <v>15</v>
      </c>
      <c r="E7">
        <v>2011</v>
      </c>
      <c r="F7">
        <f>9</f>
        <v>9</v>
      </c>
    </row>
    <row r="8" spans="1:6" x14ac:dyDescent="0.25">
      <c r="A8" t="s">
        <v>10</v>
      </c>
      <c r="B8" t="s">
        <v>11</v>
      </c>
      <c r="C8" t="s">
        <v>19</v>
      </c>
      <c r="D8" t="s">
        <v>12</v>
      </c>
      <c r="E8">
        <v>2011</v>
      </c>
      <c r="F8">
        <f>9.3</f>
        <v>9.3000000000000007</v>
      </c>
    </row>
    <row r="9" spans="1:6" x14ac:dyDescent="0.25">
      <c r="A9" t="s">
        <v>10</v>
      </c>
      <c r="B9" t="s">
        <v>11</v>
      </c>
      <c r="C9" t="s">
        <v>20</v>
      </c>
      <c r="D9" t="s">
        <v>12</v>
      </c>
      <c r="E9">
        <v>2011</v>
      </c>
      <c r="F9">
        <f>6.9</f>
        <v>6.9</v>
      </c>
    </row>
    <row r="10" spans="1:6" x14ac:dyDescent="0.25">
      <c r="A10" t="s">
        <v>10</v>
      </c>
      <c r="B10" t="s">
        <v>11</v>
      </c>
      <c r="C10" t="s">
        <v>11</v>
      </c>
      <c r="D10" t="s">
        <v>12</v>
      </c>
      <c r="E10">
        <v>2011</v>
      </c>
      <c r="F10">
        <f>10.9</f>
        <v>10.9</v>
      </c>
    </row>
    <row r="11" spans="1:6" x14ac:dyDescent="0.25">
      <c r="A11" t="s">
        <v>10</v>
      </c>
      <c r="B11" t="s">
        <v>11</v>
      </c>
      <c r="C11" t="s">
        <v>19</v>
      </c>
      <c r="D11" t="s">
        <v>15</v>
      </c>
      <c r="E11">
        <v>2011</v>
      </c>
      <c r="F11">
        <f>5.5</f>
        <v>5.5</v>
      </c>
    </row>
    <row r="12" spans="1:6" x14ac:dyDescent="0.25">
      <c r="A12" t="s">
        <v>10</v>
      </c>
      <c r="B12" t="s">
        <v>11</v>
      </c>
      <c r="C12" t="s">
        <v>20</v>
      </c>
      <c r="D12" t="s">
        <v>15</v>
      </c>
      <c r="E12">
        <v>2011</v>
      </c>
      <c r="F12">
        <f>4.5</f>
        <v>4.5</v>
      </c>
    </row>
    <row r="13" spans="1:6" x14ac:dyDescent="0.25">
      <c r="A13" t="s">
        <v>10</v>
      </c>
      <c r="B13" t="s">
        <v>11</v>
      </c>
      <c r="C13" t="s">
        <v>11</v>
      </c>
      <c r="D13" t="s">
        <v>15</v>
      </c>
      <c r="E13">
        <v>2011</v>
      </c>
      <c r="F13">
        <f>6.1</f>
        <v>6.1</v>
      </c>
    </row>
    <row r="14" spans="1:6" x14ac:dyDescent="0.25">
      <c r="A14" t="s">
        <v>22</v>
      </c>
      <c r="B14" t="s">
        <v>11</v>
      </c>
      <c r="C14" t="s">
        <v>19</v>
      </c>
      <c r="D14" t="s">
        <v>12</v>
      </c>
      <c r="E14">
        <v>2011</v>
      </c>
      <c r="F14">
        <f>4.8</f>
        <v>4.8</v>
      </c>
    </row>
    <row r="15" spans="1:6" x14ac:dyDescent="0.25">
      <c r="A15" t="s">
        <v>22</v>
      </c>
      <c r="B15" t="s">
        <v>11</v>
      </c>
      <c r="C15" t="s">
        <v>20</v>
      </c>
      <c r="D15" t="s">
        <v>12</v>
      </c>
      <c r="E15">
        <v>2011</v>
      </c>
      <c r="F15">
        <f>2.1</f>
        <v>2.1</v>
      </c>
    </row>
    <row r="16" spans="1:6" x14ac:dyDescent="0.25">
      <c r="A16" t="s">
        <v>22</v>
      </c>
      <c r="B16" t="s">
        <v>11</v>
      </c>
      <c r="C16" t="s">
        <v>11</v>
      </c>
      <c r="D16" t="s">
        <v>12</v>
      </c>
      <c r="E16">
        <v>2011</v>
      </c>
      <c r="F16">
        <f>4.9</f>
        <v>4.9000000000000004</v>
      </c>
    </row>
    <row r="17" spans="1:6" x14ac:dyDescent="0.25">
      <c r="A17" t="s">
        <v>22</v>
      </c>
      <c r="B17" t="s">
        <v>11</v>
      </c>
      <c r="C17" t="s">
        <v>19</v>
      </c>
      <c r="D17" t="s">
        <v>15</v>
      </c>
      <c r="E17">
        <v>2011</v>
      </c>
      <c r="F17">
        <f>2.8</f>
        <v>2.8</v>
      </c>
    </row>
    <row r="18" spans="1:6" x14ac:dyDescent="0.25">
      <c r="A18" t="s">
        <v>22</v>
      </c>
      <c r="B18" t="s">
        <v>11</v>
      </c>
      <c r="C18" t="s">
        <v>20</v>
      </c>
      <c r="D18" t="s">
        <v>15</v>
      </c>
      <c r="E18">
        <v>2011</v>
      </c>
      <c r="F18">
        <f>1.5</f>
        <v>1.5</v>
      </c>
    </row>
    <row r="19" spans="1:6" x14ac:dyDescent="0.25">
      <c r="A19" t="s">
        <v>22</v>
      </c>
      <c r="B19" t="s">
        <v>11</v>
      </c>
      <c r="C19" t="s">
        <v>11</v>
      </c>
      <c r="D19" t="s">
        <v>15</v>
      </c>
      <c r="E19">
        <v>2011</v>
      </c>
      <c r="F19">
        <f>2.6</f>
        <v>2.6</v>
      </c>
    </row>
    <row r="20" spans="1:6" x14ac:dyDescent="0.25">
      <c r="A20" t="s">
        <v>21</v>
      </c>
      <c r="B20" t="s">
        <v>11</v>
      </c>
      <c r="C20" t="s">
        <v>19</v>
      </c>
      <c r="D20" t="s">
        <v>12</v>
      </c>
      <c r="E20">
        <v>2012</v>
      </c>
      <c r="F20">
        <f>11.4</f>
        <v>11.4</v>
      </c>
    </row>
    <row r="21" spans="1:6" x14ac:dyDescent="0.25">
      <c r="A21" t="s">
        <v>21</v>
      </c>
      <c r="B21" t="s">
        <v>11</v>
      </c>
      <c r="C21" t="s">
        <v>20</v>
      </c>
      <c r="D21" t="s">
        <v>12</v>
      </c>
      <c r="E21">
        <v>2012</v>
      </c>
      <c r="F21">
        <f>10.6</f>
        <v>10.6</v>
      </c>
    </row>
    <row r="22" spans="1:6" x14ac:dyDescent="0.25">
      <c r="A22" t="s">
        <v>21</v>
      </c>
      <c r="B22" t="s">
        <v>11</v>
      </c>
      <c r="C22" t="s">
        <v>11</v>
      </c>
      <c r="D22" t="s">
        <v>12</v>
      </c>
      <c r="E22">
        <v>2012</v>
      </c>
      <c r="F22">
        <f>13.9</f>
        <v>13.9</v>
      </c>
    </row>
    <row r="23" spans="1:6" x14ac:dyDescent="0.25">
      <c r="A23" t="s">
        <v>21</v>
      </c>
      <c r="B23" t="s">
        <v>11</v>
      </c>
      <c r="C23" t="s">
        <v>19</v>
      </c>
      <c r="D23" t="s">
        <v>15</v>
      </c>
      <c r="E23">
        <v>2012</v>
      </c>
      <c r="F23">
        <f>6.7</f>
        <v>6.7</v>
      </c>
    </row>
    <row r="24" spans="1:6" x14ac:dyDescent="0.25">
      <c r="A24" t="s">
        <v>21</v>
      </c>
      <c r="B24" t="s">
        <v>11</v>
      </c>
      <c r="C24" t="s">
        <v>20</v>
      </c>
      <c r="D24" t="s">
        <v>15</v>
      </c>
      <c r="E24">
        <v>2012</v>
      </c>
      <c r="F24">
        <f>5.8</f>
        <v>5.8</v>
      </c>
    </row>
    <row r="25" spans="1:6" x14ac:dyDescent="0.25">
      <c r="A25" t="s">
        <v>21</v>
      </c>
      <c r="B25" t="s">
        <v>11</v>
      </c>
      <c r="C25" t="s">
        <v>11</v>
      </c>
      <c r="D25" t="s">
        <v>15</v>
      </c>
      <c r="E25">
        <v>2012</v>
      </c>
      <c r="F25">
        <f>7</f>
        <v>7</v>
      </c>
    </row>
    <row r="26" spans="1:6" x14ac:dyDescent="0.25">
      <c r="A26" t="s">
        <v>10</v>
      </c>
      <c r="B26" t="s">
        <v>11</v>
      </c>
      <c r="C26" t="s">
        <v>19</v>
      </c>
      <c r="D26" t="s">
        <v>12</v>
      </c>
      <c r="E26">
        <v>2012</v>
      </c>
      <c r="F26">
        <f>9</f>
        <v>9</v>
      </c>
    </row>
    <row r="27" spans="1:6" x14ac:dyDescent="0.25">
      <c r="A27" t="s">
        <v>10</v>
      </c>
      <c r="B27" t="s">
        <v>11</v>
      </c>
      <c r="C27" t="s">
        <v>20</v>
      </c>
      <c r="D27" t="s">
        <v>12</v>
      </c>
      <c r="E27">
        <v>2012</v>
      </c>
      <c r="F27">
        <f>6.8</f>
        <v>6.8</v>
      </c>
    </row>
    <row r="28" spans="1:6" x14ac:dyDescent="0.25">
      <c r="A28" t="s">
        <v>10</v>
      </c>
      <c r="B28" t="s">
        <v>11</v>
      </c>
      <c r="C28" t="s">
        <v>11</v>
      </c>
      <c r="D28" t="s">
        <v>12</v>
      </c>
      <c r="E28">
        <v>2012</v>
      </c>
      <c r="F28">
        <f>10.8</f>
        <v>10.8</v>
      </c>
    </row>
    <row r="29" spans="1:6" x14ac:dyDescent="0.25">
      <c r="A29" t="s">
        <v>10</v>
      </c>
      <c r="B29" t="s">
        <v>11</v>
      </c>
      <c r="C29" t="s">
        <v>19</v>
      </c>
      <c r="D29" t="s">
        <v>15</v>
      </c>
      <c r="E29">
        <v>2012</v>
      </c>
      <c r="F29">
        <f>5.5</f>
        <v>5.5</v>
      </c>
    </row>
    <row r="30" spans="1:6" x14ac:dyDescent="0.25">
      <c r="A30" t="s">
        <v>10</v>
      </c>
      <c r="B30" t="s">
        <v>11</v>
      </c>
      <c r="C30" t="s">
        <v>20</v>
      </c>
      <c r="D30" t="s">
        <v>15</v>
      </c>
      <c r="E30">
        <v>2012</v>
      </c>
      <c r="F30">
        <f>4.5</f>
        <v>4.5</v>
      </c>
    </row>
    <row r="31" spans="1:6" x14ac:dyDescent="0.25">
      <c r="A31" t="s">
        <v>10</v>
      </c>
      <c r="B31" t="s">
        <v>11</v>
      </c>
      <c r="C31" t="s">
        <v>11</v>
      </c>
      <c r="D31" t="s">
        <v>15</v>
      </c>
      <c r="E31">
        <v>2012</v>
      </c>
      <c r="F31">
        <f>6.2</f>
        <v>6.2</v>
      </c>
    </row>
    <row r="32" spans="1:6" x14ac:dyDescent="0.25">
      <c r="A32" t="s">
        <v>22</v>
      </c>
      <c r="B32" t="s">
        <v>11</v>
      </c>
      <c r="C32" t="s">
        <v>19</v>
      </c>
      <c r="D32" t="s">
        <v>12</v>
      </c>
      <c r="E32">
        <v>2012</v>
      </c>
      <c r="F32">
        <f>4.1</f>
        <v>4.0999999999999996</v>
      </c>
    </row>
    <row r="33" spans="1:6" x14ac:dyDescent="0.25">
      <c r="A33" t="s">
        <v>22</v>
      </c>
      <c r="B33" t="s">
        <v>11</v>
      </c>
      <c r="C33" t="s">
        <v>20</v>
      </c>
      <c r="D33" t="s">
        <v>12</v>
      </c>
      <c r="E33">
        <v>2012</v>
      </c>
      <c r="F33">
        <f>3.9</f>
        <v>3.9</v>
      </c>
    </row>
    <row r="34" spans="1:6" x14ac:dyDescent="0.25">
      <c r="A34" t="s">
        <v>22</v>
      </c>
      <c r="B34" t="s">
        <v>11</v>
      </c>
      <c r="C34" t="s">
        <v>11</v>
      </c>
      <c r="D34" t="s">
        <v>12</v>
      </c>
      <c r="E34">
        <v>2012</v>
      </c>
      <c r="F34">
        <f>5.2</f>
        <v>5.2</v>
      </c>
    </row>
    <row r="35" spans="1:6" x14ac:dyDescent="0.25">
      <c r="A35" t="s">
        <v>22</v>
      </c>
      <c r="B35" t="s">
        <v>11</v>
      </c>
      <c r="C35" t="s">
        <v>19</v>
      </c>
      <c r="D35" t="s">
        <v>15</v>
      </c>
      <c r="E35">
        <v>2012</v>
      </c>
      <c r="F35">
        <f>2.7</f>
        <v>2.7</v>
      </c>
    </row>
    <row r="36" spans="1:6" x14ac:dyDescent="0.25">
      <c r="A36" t="s">
        <v>22</v>
      </c>
      <c r="B36" t="s">
        <v>11</v>
      </c>
      <c r="C36" t="s">
        <v>20</v>
      </c>
      <c r="D36" t="s">
        <v>15</v>
      </c>
      <c r="E36">
        <v>2012</v>
      </c>
      <c r="F36">
        <f>2.2</f>
        <v>2.2000000000000002</v>
      </c>
    </row>
    <row r="37" spans="1:6" x14ac:dyDescent="0.25">
      <c r="A37" t="s">
        <v>22</v>
      </c>
      <c r="B37" t="s">
        <v>11</v>
      </c>
      <c r="C37" t="s">
        <v>11</v>
      </c>
      <c r="D37" t="s">
        <v>15</v>
      </c>
      <c r="E37">
        <v>2012</v>
      </c>
      <c r="F37">
        <f>3.3</f>
        <v>3.3</v>
      </c>
    </row>
    <row r="38" spans="1:6" x14ac:dyDescent="0.25">
      <c r="A38" t="s">
        <v>21</v>
      </c>
      <c r="B38" t="s">
        <v>11</v>
      </c>
      <c r="C38" t="s">
        <v>19</v>
      </c>
      <c r="D38" t="s">
        <v>12</v>
      </c>
      <c r="E38">
        <v>2013</v>
      </c>
      <c r="F38">
        <f>12.7</f>
        <v>12.7</v>
      </c>
    </row>
    <row r="39" spans="1:6" x14ac:dyDescent="0.25">
      <c r="A39" t="s">
        <v>21</v>
      </c>
      <c r="B39" t="s">
        <v>11</v>
      </c>
      <c r="C39" t="s">
        <v>20</v>
      </c>
      <c r="D39" t="s">
        <v>12</v>
      </c>
      <c r="E39">
        <v>2013</v>
      </c>
      <c r="F39">
        <f>10.7</f>
        <v>10.7</v>
      </c>
    </row>
    <row r="40" spans="1:6" x14ac:dyDescent="0.25">
      <c r="A40" t="s">
        <v>21</v>
      </c>
      <c r="B40" t="s">
        <v>11</v>
      </c>
      <c r="C40" t="s">
        <v>11</v>
      </c>
      <c r="D40" t="s">
        <v>12</v>
      </c>
      <c r="E40">
        <v>2013</v>
      </c>
      <c r="F40">
        <f>13.5</f>
        <v>13.5</v>
      </c>
    </row>
    <row r="41" spans="1:6" x14ac:dyDescent="0.25">
      <c r="A41" t="s">
        <v>21</v>
      </c>
      <c r="B41" t="s">
        <v>11</v>
      </c>
      <c r="C41" t="s">
        <v>19</v>
      </c>
      <c r="D41" t="s">
        <v>15</v>
      </c>
      <c r="E41">
        <v>2013</v>
      </c>
      <c r="F41">
        <f>8.7</f>
        <v>8.6999999999999993</v>
      </c>
    </row>
    <row r="42" spans="1:6" x14ac:dyDescent="0.25">
      <c r="A42" t="s">
        <v>21</v>
      </c>
      <c r="B42" t="s">
        <v>11</v>
      </c>
      <c r="C42" t="s">
        <v>20</v>
      </c>
      <c r="D42" t="s">
        <v>15</v>
      </c>
      <c r="E42">
        <v>2013</v>
      </c>
      <c r="F42">
        <f>2.7</f>
        <v>2.7</v>
      </c>
    </row>
    <row r="43" spans="1:6" x14ac:dyDescent="0.25">
      <c r="A43" t="s">
        <v>21</v>
      </c>
      <c r="B43" t="s">
        <v>11</v>
      </c>
      <c r="C43" t="s">
        <v>11</v>
      </c>
      <c r="D43" t="s">
        <v>15</v>
      </c>
      <c r="E43">
        <v>2013</v>
      </c>
      <c r="F43">
        <f>6.8</f>
        <v>6.8</v>
      </c>
    </row>
    <row r="44" spans="1:6" x14ac:dyDescent="0.25">
      <c r="A44" t="s">
        <v>10</v>
      </c>
      <c r="B44" t="s">
        <v>11</v>
      </c>
      <c r="C44" t="s">
        <v>19</v>
      </c>
      <c r="D44" t="s">
        <v>12</v>
      </c>
      <c r="E44">
        <v>2013</v>
      </c>
      <c r="F44">
        <f>8.3</f>
        <v>8.3000000000000007</v>
      </c>
    </row>
    <row r="45" spans="1:6" x14ac:dyDescent="0.25">
      <c r="A45" t="s">
        <v>10</v>
      </c>
      <c r="B45" t="s">
        <v>11</v>
      </c>
      <c r="C45" t="s">
        <v>20</v>
      </c>
      <c r="D45" t="s">
        <v>12</v>
      </c>
      <c r="E45">
        <v>2013</v>
      </c>
      <c r="F45">
        <f>6.6</f>
        <v>6.6</v>
      </c>
    </row>
    <row r="46" spans="1:6" x14ac:dyDescent="0.25">
      <c r="A46" t="s">
        <v>10</v>
      </c>
      <c r="B46" t="s">
        <v>11</v>
      </c>
      <c r="C46" t="s">
        <v>11</v>
      </c>
      <c r="D46" t="s">
        <v>12</v>
      </c>
      <c r="E46">
        <v>2013</v>
      </c>
      <c r="F46">
        <f>10.3</f>
        <v>10.3</v>
      </c>
    </row>
    <row r="47" spans="1:6" x14ac:dyDescent="0.25">
      <c r="A47" t="s">
        <v>10</v>
      </c>
      <c r="B47" t="s">
        <v>11</v>
      </c>
      <c r="C47" t="s">
        <v>19</v>
      </c>
      <c r="D47" t="s">
        <v>15</v>
      </c>
      <c r="E47">
        <v>2013</v>
      </c>
      <c r="F47">
        <f>5.5</f>
        <v>5.5</v>
      </c>
    </row>
    <row r="48" spans="1:6" x14ac:dyDescent="0.25">
      <c r="A48" t="s">
        <v>10</v>
      </c>
      <c r="B48" t="s">
        <v>11</v>
      </c>
      <c r="C48" t="s">
        <v>20</v>
      </c>
      <c r="D48" t="s">
        <v>15</v>
      </c>
      <c r="E48">
        <v>2013</v>
      </c>
      <c r="F48">
        <f>4.3</f>
        <v>4.3</v>
      </c>
    </row>
    <row r="49" spans="1:6" x14ac:dyDescent="0.25">
      <c r="A49" t="s">
        <v>10</v>
      </c>
      <c r="B49" t="s">
        <v>11</v>
      </c>
      <c r="C49" t="s">
        <v>11</v>
      </c>
      <c r="D49" t="s">
        <v>15</v>
      </c>
      <c r="E49">
        <v>2013</v>
      </c>
      <c r="F49">
        <f>6.1</f>
        <v>6.1</v>
      </c>
    </row>
    <row r="50" spans="1:6" x14ac:dyDescent="0.25">
      <c r="A50" t="s">
        <v>22</v>
      </c>
      <c r="B50" t="s">
        <v>11</v>
      </c>
      <c r="C50" t="s">
        <v>19</v>
      </c>
      <c r="D50" t="s">
        <v>12</v>
      </c>
      <c r="E50">
        <v>2013</v>
      </c>
      <c r="F50">
        <f>4.2</f>
        <v>4.2</v>
      </c>
    </row>
    <row r="51" spans="1:6" x14ac:dyDescent="0.25">
      <c r="A51" t="s">
        <v>22</v>
      </c>
      <c r="B51" t="s">
        <v>11</v>
      </c>
      <c r="C51" t="s">
        <v>20</v>
      </c>
      <c r="D51" t="s">
        <v>12</v>
      </c>
      <c r="E51">
        <v>2013</v>
      </c>
      <c r="F51">
        <f>1.8</f>
        <v>1.8</v>
      </c>
    </row>
    <row r="52" spans="1:6" x14ac:dyDescent="0.25">
      <c r="A52" t="s">
        <v>22</v>
      </c>
      <c r="B52" t="s">
        <v>11</v>
      </c>
      <c r="C52" t="s">
        <v>11</v>
      </c>
      <c r="D52" t="s">
        <v>12</v>
      </c>
      <c r="E52">
        <v>2013</v>
      </c>
      <c r="F52">
        <f>4.1</f>
        <v>4.0999999999999996</v>
      </c>
    </row>
    <row r="53" spans="1:6" x14ac:dyDescent="0.25">
      <c r="A53" t="s">
        <v>22</v>
      </c>
      <c r="B53" t="s">
        <v>11</v>
      </c>
      <c r="C53" t="s">
        <v>19</v>
      </c>
      <c r="D53" t="s">
        <v>15</v>
      </c>
      <c r="E53">
        <v>2013</v>
      </c>
      <c r="F53">
        <f>2.3</f>
        <v>2.2999999999999998</v>
      </c>
    </row>
    <row r="54" spans="1:6" x14ac:dyDescent="0.25">
      <c r="A54" t="s">
        <v>22</v>
      </c>
      <c r="B54" t="s">
        <v>11</v>
      </c>
      <c r="C54" t="s">
        <v>20</v>
      </c>
      <c r="D54" t="s">
        <v>15</v>
      </c>
      <c r="E54">
        <v>2013</v>
      </c>
      <c r="F54">
        <f>1.7</f>
        <v>1.7</v>
      </c>
    </row>
    <row r="55" spans="1:6" x14ac:dyDescent="0.25">
      <c r="A55" t="s">
        <v>22</v>
      </c>
      <c r="B55" t="s">
        <v>11</v>
      </c>
      <c r="C55" t="s">
        <v>11</v>
      </c>
      <c r="D55" t="s">
        <v>15</v>
      </c>
      <c r="E55">
        <v>2013</v>
      </c>
      <c r="F55">
        <f>2.2</f>
        <v>2.2000000000000002</v>
      </c>
    </row>
    <row r="56" spans="1:6" x14ac:dyDescent="0.25">
      <c r="A56" t="s">
        <v>21</v>
      </c>
      <c r="B56" t="s">
        <v>11</v>
      </c>
      <c r="C56" t="s">
        <v>19</v>
      </c>
      <c r="D56" t="s">
        <v>12</v>
      </c>
      <c r="E56">
        <v>2014</v>
      </c>
      <c r="F56">
        <f>11.2</f>
        <v>11.2</v>
      </c>
    </row>
    <row r="57" spans="1:6" x14ac:dyDescent="0.25">
      <c r="A57" t="s">
        <v>21</v>
      </c>
      <c r="B57" t="s">
        <v>11</v>
      </c>
      <c r="C57" t="s">
        <v>20</v>
      </c>
      <c r="D57" t="s">
        <v>12</v>
      </c>
      <c r="E57">
        <v>2014</v>
      </c>
      <c r="F57">
        <f>11</f>
        <v>11</v>
      </c>
    </row>
    <row r="58" spans="1:6" x14ac:dyDescent="0.25">
      <c r="A58" t="s">
        <v>21</v>
      </c>
      <c r="B58" t="s">
        <v>11</v>
      </c>
      <c r="C58" t="s">
        <v>11</v>
      </c>
      <c r="D58" t="s">
        <v>12</v>
      </c>
      <c r="E58">
        <v>2014</v>
      </c>
      <c r="F58">
        <f>11.7</f>
        <v>11.7</v>
      </c>
    </row>
    <row r="59" spans="1:6" x14ac:dyDescent="0.25">
      <c r="A59" t="s">
        <v>21</v>
      </c>
      <c r="B59" t="s">
        <v>11</v>
      </c>
      <c r="C59" t="s">
        <v>19</v>
      </c>
      <c r="D59" t="s">
        <v>15</v>
      </c>
      <c r="E59">
        <v>2014</v>
      </c>
      <c r="F59">
        <f>8.3</f>
        <v>8.3000000000000007</v>
      </c>
    </row>
    <row r="60" spans="1:6" x14ac:dyDescent="0.25">
      <c r="A60" t="s">
        <v>21</v>
      </c>
      <c r="B60" t="s">
        <v>11</v>
      </c>
      <c r="C60" t="s">
        <v>20</v>
      </c>
      <c r="D60" t="s">
        <v>15</v>
      </c>
      <c r="E60">
        <v>2014</v>
      </c>
      <c r="F60">
        <f>5</f>
        <v>5</v>
      </c>
    </row>
    <row r="61" spans="1:6" x14ac:dyDescent="0.25">
      <c r="A61" t="s">
        <v>21</v>
      </c>
      <c r="B61" t="s">
        <v>11</v>
      </c>
      <c r="C61" t="s">
        <v>11</v>
      </c>
      <c r="D61" t="s">
        <v>15</v>
      </c>
      <c r="E61">
        <v>2014</v>
      </c>
      <c r="F61">
        <f>8.4</f>
        <v>8.4</v>
      </c>
    </row>
    <row r="62" spans="1:6" x14ac:dyDescent="0.25">
      <c r="A62" t="s">
        <v>10</v>
      </c>
      <c r="B62" t="s">
        <v>11</v>
      </c>
      <c r="C62" t="s">
        <v>19</v>
      </c>
      <c r="D62" t="s">
        <v>12</v>
      </c>
      <c r="E62">
        <v>2014</v>
      </c>
      <c r="F62">
        <f>7.8</f>
        <v>7.8</v>
      </c>
    </row>
    <row r="63" spans="1:6" x14ac:dyDescent="0.25">
      <c r="A63" t="s">
        <v>10</v>
      </c>
      <c r="B63" t="s">
        <v>11</v>
      </c>
      <c r="C63" t="s">
        <v>20</v>
      </c>
      <c r="D63" t="s">
        <v>12</v>
      </c>
      <c r="E63">
        <v>2014</v>
      </c>
      <c r="F63">
        <f>6.4</f>
        <v>6.4</v>
      </c>
    </row>
    <row r="64" spans="1:6" x14ac:dyDescent="0.25">
      <c r="A64" t="s">
        <v>10</v>
      </c>
      <c r="B64" t="s">
        <v>11</v>
      </c>
      <c r="C64" t="s">
        <v>11</v>
      </c>
      <c r="D64" t="s">
        <v>12</v>
      </c>
      <c r="E64">
        <v>2014</v>
      </c>
      <c r="F64">
        <f>10</f>
        <v>10</v>
      </c>
    </row>
    <row r="65" spans="1:6" x14ac:dyDescent="0.25">
      <c r="A65" t="s">
        <v>10</v>
      </c>
      <c r="B65" t="s">
        <v>11</v>
      </c>
      <c r="C65" t="s">
        <v>19</v>
      </c>
      <c r="D65" t="s">
        <v>15</v>
      </c>
      <c r="E65">
        <v>2014</v>
      </c>
      <c r="F65">
        <f>5.5</f>
        <v>5.5</v>
      </c>
    </row>
    <row r="66" spans="1:6" x14ac:dyDescent="0.25">
      <c r="A66" t="s">
        <v>10</v>
      </c>
      <c r="B66" t="s">
        <v>11</v>
      </c>
      <c r="C66" t="s">
        <v>20</v>
      </c>
      <c r="D66" t="s">
        <v>15</v>
      </c>
      <c r="E66">
        <v>2014</v>
      </c>
      <c r="F66">
        <f>4.3</f>
        <v>4.3</v>
      </c>
    </row>
    <row r="67" spans="1:6" x14ac:dyDescent="0.25">
      <c r="A67" t="s">
        <v>10</v>
      </c>
      <c r="B67" t="s">
        <v>11</v>
      </c>
      <c r="C67" t="s">
        <v>11</v>
      </c>
      <c r="D67" t="s">
        <v>15</v>
      </c>
      <c r="E67">
        <v>2014</v>
      </c>
      <c r="F67">
        <f>6.1</f>
        <v>6.1</v>
      </c>
    </row>
    <row r="68" spans="1:6" x14ac:dyDescent="0.25">
      <c r="A68" t="s">
        <v>22</v>
      </c>
      <c r="B68" t="s">
        <v>11</v>
      </c>
      <c r="C68" t="s">
        <v>19</v>
      </c>
      <c r="D68" t="s">
        <v>12</v>
      </c>
      <c r="E68">
        <v>2014</v>
      </c>
      <c r="F68">
        <f>3.9</f>
        <v>3.9</v>
      </c>
    </row>
    <row r="69" spans="1:6" x14ac:dyDescent="0.25">
      <c r="A69" t="s">
        <v>22</v>
      </c>
      <c r="B69" t="s">
        <v>11</v>
      </c>
      <c r="C69" t="s">
        <v>20</v>
      </c>
      <c r="D69" t="s">
        <v>12</v>
      </c>
      <c r="E69">
        <v>2014</v>
      </c>
      <c r="F69">
        <f>3.4</f>
        <v>3.4</v>
      </c>
    </row>
    <row r="70" spans="1:6" x14ac:dyDescent="0.25">
      <c r="A70" t="s">
        <v>22</v>
      </c>
      <c r="B70" t="s">
        <v>11</v>
      </c>
      <c r="C70" t="s">
        <v>11</v>
      </c>
      <c r="D70" t="s">
        <v>12</v>
      </c>
      <c r="E70">
        <v>2014</v>
      </c>
      <c r="F70">
        <f>4.7</f>
        <v>4.7</v>
      </c>
    </row>
    <row r="71" spans="1:6" x14ac:dyDescent="0.25">
      <c r="A71" t="s">
        <v>22</v>
      </c>
      <c r="B71" t="s">
        <v>11</v>
      </c>
      <c r="C71" t="s">
        <v>19</v>
      </c>
      <c r="D71" t="s">
        <v>15</v>
      </c>
      <c r="E71">
        <v>2014</v>
      </c>
      <c r="F71">
        <f>3.2</f>
        <v>3.2</v>
      </c>
    </row>
    <row r="72" spans="1:6" x14ac:dyDescent="0.25">
      <c r="A72" t="s">
        <v>22</v>
      </c>
      <c r="B72" t="s">
        <v>11</v>
      </c>
      <c r="C72" t="s">
        <v>20</v>
      </c>
      <c r="D72" t="s">
        <v>15</v>
      </c>
      <c r="E72">
        <v>2014</v>
      </c>
      <c r="F72">
        <f>2.8</f>
        <v>2.8</v>
      </c>
    </row>
    <row r="73" spans="1:6" x14ac:dyDescent="0.25">
      <c r="A73" t="s">
        <v>22</v>
      </c>
      <c r="B73" t="s">
        <v>11</v>
      </c>
      <c r="C73" t="s">
        <v>11</v>
      </c>
      <c r="D73" t="s">
        <v>15</v>
      </c>
      <c r="E73">
        <v>2014</v>
      </c>
      <c r="F73">
        <f>3.7</f>
        <v>3.7</v>
      </c>
    </row>
    <row r="74" spans="1:6" x14ac:dyDescent="0.25">
      <c r="A74" t="s">
        <v>21</v>
      </c>
      <c r="B74" t="s">
        <v>11</v>
      </c>
      <c r="C74" t="s">
        <v>19</v>
      </c>
      <c r="D74" t="s">
        <v>12</v>
      </c>
      <c r="E74">
        <v>2015</v>
      </c>
      <c r="F74">
        <f>7.9</f>
        <v>7.9</v>
      </c>
    </row>
    <row r="75" spans="1:6" x14ac:dyDescent="0.25">
      <c r="A75" t="s">
        <v>21</v>
      </c>
      <c r="B75" t="s">
        <v>11</v>
      </c>
      <c r="C75" t="s">
        <v>20</v>
      </c>
      <c r="D75" t="s">
        <v>12</v>
      </c>
      <c r="E75">
        <v>2015</v>
      </c>
      <c r="F75">
        <f>7.6</f>
        <v>7.6</v>
      </c>
    </row>
    <row r="76" spans="1:6" x14ac:dyDescent="0.25">
      <c r="A76" t="s">
        <v>21</v>
      </c>
      <c r="B76" t="s">
        <v>11</v>
      </c>
      <c r="C76" t="s">
        <v>11</v>
      </c>
      <c r="D76" t="s">
        <v>12</v>
      </c>
      <c r="E76">
        <v>2015</v>
      </c>
      <c r="F76">
        <f>9.2</f>
        <v>9.1999999999999993</v>
      </c>
    </row>
    <row r="77" spans="1:6" x14ac:dyDescent="0.25">
      <c r="A77" t="s">
        <v>21</v>
      </c>
      <c r="B77" t="s">
        <v>11</v>
      </c>
      <c r="C77" t="s">
        <v>19</v>
      </c>
      <c r="D77" t="s">
        <v>15</v>
      </c>
      <c r="E77">
        <v>2015</v>
      </c>
      <c r="F77">
        <f>6.4</f>
        <v>6.4</v>
      </c>
    </row>
    <row r="78" spans="1:6" x14ac:dyDescent="0.25">
      <c r="A78" t="s">
        <v>21</v>
      </c>
      <c r="B78" t="s">
        <v>11</v>
      </c>
      <c r="C78" t="s">
        <v>20</v>
      </c>
      <c r="D78" t="s">
        <v>15</v>
      </c>
      <c r="E78">
        <v>2015</v>
      </c>
      <c r="F78">
        <f>7</f>
        <v>7</v>
      </c>
    </row>
    <row r="79" spans="1:6" x14ac:dyDescent="0.25">
      <c r="A79" t="s">
        <v>21</v>
      </c>
      <c r="B79" t="s">
        <v>11</v>
      </c>
      <c r="C79" t="s">
        <v>11</v>
      </c>
      <c r="D79" t="s">
        <v>15</v>
      </c>
      <c r="E79">
        <v>2015</v>
      </c>
      <c r="F79">
        <f>6.8</f>
        <v>6.8</v>
      </c>
    </row>
    <row r="80" spans="1:6" x14ac:dyDescent="0.25">
      <c r="A80" t="s">
        <v>10</v>
      </c>
      <c r="B80" t="s">
        <v>11</v>
      </c>
      <c r="C80" t="s">
        <v>19</v>
      </c>
      <c r="D80" t="s">
        <v>12</v>
      </c>
      <c r="E80">
        <v>2015</v>
      </c>
      <c r="F80">
        <f>7.5</f>
        <v>7.5</v>
      </c>
    </row>
    <row r="81" spans="1:6" x14ac:dyDescent="0.25">
      <c r="A81" t="s">
        <v>10</v>
      </c>
      <c r="B81" t="s">
        <v>11</v>
      </c>
      <c r="C81" t="s">
        <v>20</v>
      </c>
      <c r="D81" t="s">
        <v>12</v>
      </c>
      <c r="E81">
        <v>2015</v>
      </c>
      <c r="F81">
        <f>6.3</f>
        <v>6.3</v>
      </c>
    </row>
    <row r="82" spans="1:6" x14ac:dyDescent="0.25">
      <c r="A82" t="s">
        <v>10</v>
      </c>
      <c r="B82" t="s">
        <v>11</v>
      </c>
      <c r="C82" t="s">
        <v>11</v>
      </c>
      <c r="D82" t="s">
        <v>12</v>
      </c>
      <c r="E82">
        <v>2015</v>
      </c>
      <c r="F82">
        <f>9.8</f>
        <v>9.8000000000000007</v>
      </c>
    </row>
    <row r="83" spans="1:6" x14ac:dyDescent="0.25">
      <c r="A83" t="s">
        <v>10</v>
      </c>
      <c r="B83" t="s">
        <v>11</v>
      </c>
      <c r="C83" t="s">
        <v>19</v>
      </c>
      <c r="D83" t="s">
        <v>15</v>
      </c>
      <c r="E83">
        <v>2015</v>
      </c>
      <c r="F83">
        <f>5.4</f>
        <v>5.4</v>
      </c>
    </row>
    <row r="84" spans="1:6" x14ac:dyDescent="0.25">
      <c r="A84" t="s">
        <v>10</v>
      </c>
      <c r="B84" t="s">
        <v>11</v>
      </c>
      <c r="C84" t="s">
        <v>20</v>
      </c>
      <c r="D84" t="s">
        <v>15</v>
      </c>
      <c r="E84">
        <v>2015</v>
      </c>
      <c r="F84">
        <f>4.2</f>
        <v>4.2</v>
      </c>
    </row>
    <row r="85" spans="1:6" x14ac:dyDescent="0.25">
      <c r="A85" t="s">
        <v>10</v>
      </c>
      <c r="B85" t="s">
        <v>11</v>
      </c>
      <c r="C85" t="s">
        <v>11</v>
      </c>
      <c r="D85" t="s">
        <v>15</v>
      </c>
      <c r="E85">
        <v>2015</v>
      </c>
      <c r="F85">
        <f>6</f>
        <v>6</v>
      </c>
    </row>
    <row r="86" spans="1:6" x14ac:dyDescent="0.25">
      <c r="A86" t="s">
        <v>22</v>
      </c>
      <c r="B86" t="s">
        <v>11</v>
      </c>
      <c r="C86" t="s">
        <v>19</v>
      </c>
      <c r="D86" t="s">
        <v>12</v>
      </c>
      <c r="E86">
        <v>2015</v>
      </c>
      <c r="F86">
        <f>3.4</f>
        <v>3.4</v>
      </c>
    </row>
    <row r="87" spans="1:6" x14ac:dyDescent="0.25">
      <c r="A87" t="s">
        <v>22</v>
      </c>
      <c r="B87" t="s">
        <v>11</v>
      </c>
      <c r="C87" t="s">
        <v>20</v>
      </c>
      <c r="D87" t="s">
        <v>12</v>
      </c>
      <c r="E87">
        <v>2015</v>
      </c>
      <c r="F87">
        <f>1.7</f>
        <v>1.7</v>
      </c>
    </row>
    <row r="88" spans="1:6" x14ac:dyDescent="0.25">
      <c r="A88" t="s">
        <v>22</v>
      </c>
      <c r="B88" t="s">
        <v>11</v>
      </c>
      <c r="C88" t="s">
        <v>11</v>
      </c>
      <c r="D88" t="s">
        <v>12</v>
      </c>
      <c r="E88">
        <v>2015</v>
      </c>
      <c r="F88">
        <f>3.7</f>
        <v>3.7</v>
      </c>
    </row>
    <row r="89" spans="1:6" x14ac:dyDescent="0.25">
      <c r="A89" t="s">
        <v>22</v>
      </c>
      <c r="B89" t="s">
        <v>11</v>
      </c>
      <c r="C89" t="s">
        <v>19</v>
      </c>
      <c r="D89" t="s">
        <v>15</v>
      </c>
      <c r="E89">
        <v>2015</v>
      </c>
      <c r="F89">
        <f>3.2</f>
        <v>3.2</v>
      </c>
    </row>
    <row r="90" spans="1:6" x14ac:dyDescent="0.25">
      <c r="A90" t="s">
        <v>22</v>
      </c>
      <c r="B90" t="s">
        <v>11</v>
      </c>
      <c r="C90" t="s">
        <v>20</v>
      </c>
      <c r="D90" t="s">
        <v>15</v>
      </c>
      <c r="E90">
        <v>2015</v>
      </c>
      <c r="F90">
        <f>2.5</f>
        <v>2.5</v>
      </c>
    </row>
    <row r="91" spans="1:6" x14ac:dyDescent="0.25">
      <c r="A91" t="s">
        <v>22</v>
      </c>
      <c r="B91" t="s">
        <v>11</v>
      </c>
      <c r="C91" t="s">
        <v>11</v>
      </c>
      <c r="D91" t="s">
        <v>15</v>
      </c>
      <c r="E91">
        <v>2015</v>
      </c>
      <c r="F91">
        <f>3</f>
        <v>3</v>
      </c>
    </row>
  </sheetData>
  <autoFilter ref="A1:F9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8"/>
  <sheetViews>
    <sheetView zoomScale="80" zoomScaleNormal="80" workbookViewId="0">
      <pane ySplit="1" topLeftCell="A20" activePane="bottomLeft" state="frozen"/>
      <selection activeCell="E872" sqref="E872"/>
      <selection pane="bottomLeft" activeCell="J80" sqref="J80"/>
    </sheetView>
  </sheetViews>
  <sheetFormatPr defaultRowHeight="15" x14ac:dyDescent="0.25"/>
  <cols>
    <col min="1" max="1" width="31.85546875" customWidth="1"/>
    <col min="2" max="2" width="15.140625" customWidth="1"/>
    <col min="3" max="3" width="18.28515625" customWidth="1"/>
    <col min="4" max="4" width="13.85546875" customWidth="1"/>
    <col min="6" max="6" width="14.42578125" customWidth="1"/>
    <col min="7" max="7" width="15" style="4" customWidth="1"/>
    <col min="10" max="10" width="12.5703125" customWidth="1"/>
    <col min="11" max="11" width="97.5703125" customWidth="1"/>
    <col min="12" max="12" width="9.85546875" customWidth="1"/>
    <col min="13" max="13" width="10.5703125" customWidth="1"/>
  </cols>
  <sheetData>
    <row r="1" spans="1:11" x14ac:dyDescent="0.25">
      <c r="A1" t="s">
        <v>0</v>
      </c>
      <c r="B1" t="s">
        <v>1</v>
      </c>
      <c r="C1" t="s">
        <v>2</v>
      </c>
      <c r="D1" t="s">
        <v>3</v>
      </c>
      <c r="E1" t="s">
        <v>4</v>
      </c>
      <c r="F1" t="s">
        <v>56</v>
      </c>
      <c r="G1" s="4" t="s">
        <v>57</v>
      </c>
      <c r="K1" t="s">
        <v>9</v>
      </c>
    </row>
    <row r="2" spans="1:11" x14ac:dyDescent="0.25">
      <c r="A2" t="s">
        <v>10</v>
      </c>
      <c r="B2" t="s">
        <v>24</v>
      </c>
      <c r="C2" s="9" t="s">
        <v>31</v>
      </c>
      <c r="D2" s="11" t="s">
        <v>11</v>
      </c>
      <c r="E2">
        <v>2011</v>
      </c>
      <c r="F2" s="35">
        <v>14027.801286383954</v>
      </c>
      <c r="G2" s="2">
        <v>14767.705298616171</v>
      </c>
      <c r="K2" t="s">
        <v>47</v>
      </c>
    </row>
    <row r="3" spans="1:11" x14ac:dyDescent="0.25">
      <c r="A3" t="s">
        <v>10</v>
      </c>
      <c r="B3" t="s">
        <v>24</v>
      </c>
      <c r="C3" s="9" t="s">
        <v>19</v>
      </c>
      <c r="D3" s="11" t="s">
        <v>11</v>
      </c>
      <c r="E3">
        <v>2011</v>
      </c>
      <c r="F3" s="35">
        <v>5716.9332606562739</v>
      </c>
      <c r="G3" s="2">
        <v>6143.5719455571743</v>
      </c>
      <c r="K3" t="s">
        <v>48</v>
      </c>
    </row>
    <row r="4" spans="1:11" x14ac:dyDescent="0.25">
      <c r="A4" t="s">
        <v>10</v>
      </c>
      <c r="B4" t="s">
        <v>24</v>
      </c>
      <c r="C4" s="9" t="s">
        <v>20</v>
      </c>
      <c r="D4" s="11" t="s">
        <v>11</v>
      </c>
      <c r="E4">
        <v>2011</v>
      </c>
      <c r="F4" s="35">
        <v>13414.049296849449</v>
      </c>
      <c r="G4" s="2">
        <v>13809.353514202476</v>
      </c>
      <c r="K4" s="31" t="s">
        <v>54</v>
      </c>
    </row>
    <row r="5" spans="1:11" x14ac:dyDescent="0.25">
      <c r="A5" t="s">
        <v>10</v>
      </c>
      <c r="B5" t="s">
        <v>26</v>
      </c>
      <c r="C5" s="9" t="s">
        <v>31</v>
      </c>
      <c r="D5" s="11" t="s">
        <v>12</v>
      </c>
      <c r="E5">
        <v>2011</v>
      </c>
      <c r="F5" s="35">
        <v>164.06271710535873</v>
      </c>
      <c r="G5" s="2">
        <v>412.04995903131828</v>
      </c>
    </row>
    <row r="6" spans="1:11" x14ac:dyDescent="0.25">
      <c r="A6" t="s">
        <v>10</v>
      </c>
      <c r="B6" t="s">
        <v>26</v>
      </c>
      <c r="C6" s="9" t="s">
        <v>19</v>
      </c>
      <c r="D6" s="11" t="s">
        <v>12</v>
      </c>
      <c r="E6">
        <v>2011</v>
      </c>
      <c r="F6" s="35">
        <v>191.54425536104227</v>
      </c>
      <c r="G6" s="2">
        <v>403.78830571740713</v>
      </c>
    </row>
    <row r="7" spans="1:11" x14ac:dyDescent="0.25">
      <c r="A7" t="s">
        <v>10</v>
      </c>
      <c r="B7" t="s">
        <v>26</v>
      </c>
      <c r="C7" s="9" t="s">
        <v>20</v>
      </c>
      <c r="D7" s="11" t="s">
        <v>12</v>
      </c>
      <c r="E7">
        <v>2011</v>
      </c>
      <c r="F7" s="35">
        <v>185.75866835984573</v>
      </c>
      <c r="G7" s="2">
        <v>535.97475873998542</v>
      </c>
    </row>
    <row r="8" spans="1:11" x14ac:dyDescent="0.25">
      <c r="A8" t="s">
        <v>10</v>
      </c>
      <c r="B8" t="s">
        <v>26</v>
      </c>
      <c r="C8" s="9" t="s">
        <v>31</v>
      </c>
      <c r="D8" t="s">
        <v>15</v>
      </c>
      <c r="E8">
        <v>2011</v>
      </c>
      <c r="F8" s="35">
        <v>591.47073977897571</v>
      </c>
      <c r="G8" s="2">
        <v>340.79319919883466</v>
      </c>
    </row>
    <row r="9" spans="1:11" x14ac:dyDescent="0.25">
      <c r="A9" t="s">
        <v>10</v>
      </c>
      <c r="B9" t="s">
        <v>26</v>
      </c>
      <c r="C9" s="9" t="s">
        <v>19</v>
      </c>
      <c r="D9" t="s">
        <v>15</v>
      </c>
      <c r="E9">
        <v>2011</v>
      </c>
      <c r="F9" s="35">
        <v>690.54581331877898</v>
      </c>
      <c r="G9" s="2">
        <v>462.65258557902399</v>
      </c>
    </row>
    <row r="10" spans="1:11" x14ac:dyDescent="0.25">
      <c r="A10" t="s">
        <v>10</v>
      </c>
      <c r="B10" t="s">
        <v>26</v>
      </c>
      <c r="C10" s="9" t="s">
        <v>20</v>
      </c>
      <c r="D10" t="s">
        <v>15</v>
      </c>
      <c r="E10">
        <v>2011</v>
      </c>
      <c r="F10" s="35">
        <v>669.6879030998731</v>
      </c>
      <c r="G10" s="2">
        <v>303.61575928623449</v>
      </c>
    </row>
    <row r="11" spans="1:11" x14ac:dyDescent="0.25">
      <c r="A11" t="s">
        <v>10</v>
      </c>
      <c r="B11" t="s">
        <v>27</v>
      </c>
      <c r="C11" s="9" t="s">
        <v>31</v>
      </c>
      <c r="D11" s="11" t="s">
        <v>11</v>
      </c>
      <c r="E11">
        <v>2011</v>
      </c>
      <c r="F11" s="35">
        <v>1298.8704894799957</v>
      </c>
      <c r="G11" s="2">
        <v>1288.8179169701384</v>
      </c>
    </row>
    <row r="12" spans="1:11" x14ac:dyDescent="0.25">
      <c r="A12" t="s">
        <v>10</v>
      </c>
      <c r="B12" t="s">
        <v>27</v>
      </c>
      <c r="C12" s="9" t="s">
        <v>19</v>
      </c>
      <c r="D12" s="11" t="s">
        <v>11</v>
      </c>
      <c r="E12">
        <v>2011</v>
      </c>
      <c r="F12" s="35">
        <v>688.92471383407826</v>
      </c>
      <c r="G12" s="2">
        <v>664.03038510560816</v>
      </c>
    </row>
    <row r="13" spans="1:11" x14ac:dyDescent="0.25">
      <c r="A13" t="s">
        <v>10</v>
      </c>
      <c r="B13" t="s">
        <v>27</v>
      </c>
      <c r="C13" s="9" t="s">
        <v>20</v>
      </c>
      <c r="D13" s="11" t="s">
        <v>11</v>
      </c>
      <c r="E13">
        <v>2011</v>
      </c>
      <c r="F13" s="35">
        <v>1032.435517278971</v>
      </c>
      <c r="G13" s="2">
        <v>910.84727785870348</v>
      </c>
    </row>
    <row r="14" spans="1:11" x14ac:dyDescent="0.25">
      <c r="A14" t="s">
        <v>10</v>
      </c>
      <c r="B14" t="s">
        <v>28</v>
      </c>
      <c r="C14" t="s">
        <v>31</v>
      </c>
      <c r="D14" t="s">
        <v>12</v>
      </c>
      <c r="E14">
        <v>2011</v>
      </c>
      <c r="F14" s="35">
        <v>482.17583549624896</v>
      </c>
      <c r="G14" s="2">
        <v>231.326292789512</v>
      </c>
    </row>
    <row r="15" spans="1:11" x14ac:dyDescent="0.25">
      <c r="A15" t="s">
        <v>10</v>
      </c>
      <c r="B15" t="s">
        <v>28</v>
      </c>
      <c r="C15" t="s">
        <v>19</v>
      </c>
      <c r="D15" t="s">
        <v>12</v>
      </c>
      <c r="E15">
        <v>2011</v>
      </c>
      <c r="F15" s="35">
        <v>900.82526501998996</v>
      </c>
      <c r="G15" s="2">
        <v>321.1717725782957</v>
      </c>
    </row>
    <row r="16" spans="1:11" x14ac:dyDescent="0.25">
      <c r="A16" t="s">
        <v>10</v>
      </c>
      <c r="B16" t="s">
        <v>28</v>
      </c>
      <c r="C16" t="s">
        <v>20</v>
      </c>
      <c r="D16" t="s">
        <v>12</v>
      </c>
      <c r="E16">
        <v>2011</v>
      </c>
      <c r="F16" s="35">
        <v>1337.1787748967251</v>
      </c>
      <c r="G16" s="2">
        <v>656.80143845593591</v>
      </c>
    </row>
    <row r="17" spans="1:12" x14ac:dyDescent="0.25">
      <c r="A17" t="s">
        <v>10</v>
      </c>
      <c r="B17" t="s">
        <v>28</v>
      </c>
      <c r="C17" t="s">
        <v>31</v>
      </c>
      <c r="D17" t="s">
        <v>15</v>
      </c>
      <c r="E17">
        <v>2011</v>
      </c>
      <c r="F17" s="35">
        <v>398.96267971142566</v>
      </c>
      <c r="G17" s="2">
        <v>688.81534504734157</v>
      </c>
    </row>
    <row r="18" spans="1:12" x14ac:dyDescent="0.25">
      <c r="A18" t="s">
        <v>10</v>
      </c>
      <c r="B18" t="s">
        <v>28</v>
      </c>
      <c r="C18" t="s">
        <v>19</v>
      </c>
      <c r="D18" t="s">
        <v>15</v>
      </c>
      <c r="E18">
        <v>2011</v>
      </c>
      <c r="F18" s="35">
        <v>745.36224179348426</v>
      </c>
      <c r="G18" s="2">
        <v>1431.3314366351055</v>
      </c>
    </row>
    <row r="19" spans="1:12" ht="15.75" thickBot="1" x14ac:dyDescent="0.3">
      <c r="A19" s="6" t="s">
        <v>10</v>
      </c>
      <c r="B19" s="6" t="s">
        <v>28</v>
      </c>
      <c r="C19" s="6" t="s">
        <v>20</v>
      </c>
      <c r="D19" s="6" t="s">
        <v>15</v>
      </c>
      <c r="E19" s="6">
        <v>2011</v>
      </c>
      <c r="F19" s="33">
        <v>1106.4105415755303</v>
      </c>
      <c r="G19" s="12">
        <v>2000.3528086307356</v>
      </c>
      <c r="H19" s="6"/>
      <c r="I19" s="6"/>
      <c r="J19" s="6"/>
      <c r="K19" s="6"/>
    </row>
    <row r="20" spans="1:12" x14ac:dyDescent="0.25">
      <c r="A20" s="9" t="s">
        <v>10</v>
      </c>
      <c r="B20" s="9" t="s">
        <v>24</v>
      </c>
      <c r="C20" s="9" t="s">
        <v>31</v>
      </c>
      <c r="D20" s="9" t="s">
        <v>11</v>
      </c>
      <c r="E20" s="9">
        <v>2012</v>
      </c>
      <c r="F20" s="32">
        <v>14311.172512594459</v>
      </c>
      <c r="G20" s="3">
        <v>14918.14383882555</v>
      </c>
      <c r="H20" s="9"/>
      <c r="I20" s="9"/>
      <c r="L20" s="9"/>
    </row>
    <row r="21" spans="1:12" x14ac:dyDescent="0.25">
      <c r="A21" s="9" t="s">
        <v>10</v>
      </c>
      <c r="B21" s="9" t="s">
        <v>24</v>
      </c>
      <c r="C21" s="9" t="s">
        <v>19</v>
      </c>
      <c r="D21" s="9" t="s">
        <v>11</v>
      </c>
      <c r="E21" s="9">
        <v>2012</v>
      </c>
      <c r="F21" s="32">
        <v>5966.0653022670031</v>
      </c>
      <c r="G21" s="3">
        <v>6343.7505856629705</v>
      </c>
      <c r="H21" s="9"/>
      <c r="I21" s="9"/>
      <c r="L21" s="9"/>
    </row>
    <row r="22" spans="1:12" x14ac:dyDescent="0.25">
      <c r="A22" s="9" t="s">
        <v>10</v>
      </c>
      <c r="B22" s="9" t="s">
        <v>24</v>
      </c>
      <c r="C22" s="9" t="s">
        <v>20</v>
      </c>
      <c r="D22" s="9" t="s">
        <v>11</v>
      </c>
      <c r="E22" s="9">
        <v>2012</v>
      </c>
      <c r="F22" s="32">
        <v>14162.541561712847</v>
      </c>
      <c r="G22" s="3">
        <v>14922.338747462127</v>
      </c>
      <c r="H22" s="9"/>
      <c r="I22" s="9"/>
      <c r="L22" s="9"/>
    </row>
    <row r="23" spans="1:12" x14ac:dyDescent="0.25">
      <c r="A23" s="9" t="s">
        <v>10</v>
      </c>
      <c r="B23" s="9" t="s">
        <v>26</v>
      </c>
      <c r="C23" s="9" t="s">
        <v>11</v>
      </c>
      <c r="D23" s="9" t="s">
        <v>11</v>
      </c>
      <c r="E23" s="9">
        <v>2012</v>
      </c>
      <c r="F23" s="32">
        <v>2536.1931045340052</v>
      </c>
      <c r="G23" s="3">
        <v>2562.0404497891614</v>
      </c>
      <c r="H23" s="9"/>
      <c r="I23" s="9"/>
      <c r="L23" s="9"/>
    </row>
    <row r="24" spans="1:12" x14ac:dyDescent="0.25">
      <c r="A24" s="9" t="s">
        <v>10</v>
      </c>
      <c r="B24" s="9" t="s">
        <v>27</v>
      </c>
      <c r="C24" s="9" t="s">
        <v>11</v>
      </c>
      <c r="D24" s="9" t="s">
        <v>11</v>
      </c>
      <c r="E24" s="9">
        <v>2012</v>
      </c>
      <c r="F24" s="32">
        <v>3046.461146095718</v>
      </c>
      <c r="G24" s="3">
        <v>3045.5036701546151</v>
      </c>
      <c r="H24" s="9"/>
      <c r="I24" s="9"/>
      <c r="L24" s="9"/>
    </row>
    <row r="25" spans="1:12" x14ac:dyDescent="0.25">
      <c r="A25" s="9" t="s">
        <v>10</v>
      </c>
      <c r="B25" s="9" t="s">
        <v>28</v>
      </c>
      <c r="C25" s="9" t="s">
        <v>31</v>
      </c>
      <c r="D25" s="9" t="s">
        <v>12</v>
      </c>
      <c r="E25" s="9">
        <v>2012</v>
      </c>
      <c r="F25" s="32">
        <v>196.7332383075771</v>
      </c>
      <c r="G25" s="3">
        <v>148.91925659846947</v>
      </c>
      <c r="H25" s="9"/>
      <c r="I25" s="9"/>
      <c r="K25" t="s">
        <v>39</v>
      </c>
      <c r="L25" s="9"/>
    </row>
    <row r="26" spans="1:12" x14ac:dyDescent="0.25">
      <c r="A26" s="9" t="s">
        <v>10</v>
      </c>
      <c r="B26" s="9" t="s">
        <v>28</v>
      </c>
      <c r="C26" s="9" t="s">
        <v>19</v>
      </c>
      <c r="D26" s="9" t="s">
        <v>12</v>
      </c>
      <c r="E26" s="9">
        <v>2012</v>
      </c>
      <c r="F26" s="32">
        <v>365.0974203074785</v>
      </c>
      <c r="G26" s="3">
        <v>338.73887240356083</v>
      </c>
      <c r="H26" s="9"/>
      <c r="I26" s="9"/>
      <c r="K26" t="s">
        <v>39</v>
      </c>
      <c r="L26" s="9"/>
    </row>
    <row r="27" spans="1:12" x14ac:dyDescent="0.25">
      <c r="A27" s="9" t="s">
        <v>10</v>
      </c>
      <c r="B27" s="9" t="s">
        <v>28</v>
      </c>
      <c r="C27" s="9" t="s">
        <v>20</v>
      </c>
      <c r="D27" s="9" t="s">
        <v>12</v>
      </c>
      <c r="E27" s="9">
        <v>2012</v>
      </c>
      <c r="F27" s="32">
        <v>540.86222569199094</v>
      </c>
      <c r="G27" s="3">
        <v>644.96720287365304</v>
      </c>
      <c r="H27" s="9"/>
      <c r="I27" s="9"/>
      <c r="K27" t="s">
        <v>39</v>
      </c>
      <c r="L27" s="9"/>
    </row>
    <row r="28" spans="1:12" x14ac:dyDescent="0.25">
      <c r="A28" s="9" t="s">
        <v>10</v>
      </c>
      <c r="B28" s="9" t="s">
        <v>28</v>
      </c>
      <c r="C28" s="9" t="s">
        <v>31</v>
      </c>
      <c r="D28" s="9" t="s">
        <v>15</v>
      </c>
      <c r="E28" s="9">
        <v>2012</v>
      </c>
      <c r="F28" s="32">
        <v>709.25287630199466</v>
      </c>
      <c r="G28" s="3">
        <v>502.34030923004843</v>
      </c>
      <c r="H28" s="9"/>
      <c r="I28" s="9"/>
      <c r="K28" t="s">
        <v>40</v>
      </c>
      <c r="L28" s="9"/>
    </row>
    <row r="29" spans="1:12" x14ac:dyDescent="0.25">
      <c r="A29" s="9" t="s">
        <v>10</v>
      </c>
      <c r="B29" s="9" t="s">
        <v>28</v>
      </c>
      <c r="C29" s="9" t="s">
        <v>19</v>
      </c>
      <c r="D29" s="9" t="s">
        <v>15</v>
      </c>
      <c r="E29" s="9">
        <v>2012</v>
      </c>
      <c r="F29" s="32">
        <v>1316.2310431685921</v>
      </c>
      <c r="G29" s="3">
        <v>1486.0463845072622</v>
      </c>
      <c r="H29" s="9"/>
      <c r="I29" s="9"/>
      <c r="K29" t="s">
        <v>40</v>
      </c>
      <c r="L29" s="9"/>
    </row>
    <row r="30" spans="1:12" x14ac:dyDescent="0.25">
      <c r="A30" s="9" t="s">
        <v>10</v>
      </c>
      <c r="B30" s="9" t="s">
        <v>28</v>
      </c>
      <c r="C30" s="9" t="s">
        <v>20</v>
      </c>
      <c r="D30" s="9" t="s">
        <v>15</v>
      </c>
      <c r="E30" s="9">
        <v>2012</v>
      </c>
      <c r="F30" s="32">
        <v>1949.8895690183365</v>
      </c>
      <c r="G30" s="3">
        <v>2092.2106824925818</v>
      </c>
      <c r="H30" s="9"/>
      <c r="I30" s="9"/>
      <c r="K30" t="s">
        <v>40</v>
      </c>
      <c r="L30" s="9"/>
    </row>
    <row r="31" spans="1:12" x14ac:dyDescent="0.25">
      <c r="A31" s="9" t="s">
        <v>21</v>
      </c>
      <c r="B31" s="9" t="s">
        <v>11</v>
      </c>
      <c r="C31" s="9" t="s">
        <v>11</v>
      </c>
      <c r="D31" s="9" t="s">
        <v>11</v>
      </c>
      <c r="E31" s="11">
        <v>2012</v>
      </c>
      <c r="F31" s="32"/>
      <c r="G31" s="3">
        <v>2006</v>
      </c>
      <c r="H31" s="9"/>
      <c r="I31" s="9"/>
      <c r="L31" s="9"/>
    </row>
    <row r="32" spans="1:12" x14ac:dyDescent="0.25">
      <c r="A32" s="9" t="s">
        <v>21</v>
      </c>
      <c r="B32" s="9" t="s">
        <v>24</v>
      </c>
      <c r="C32" s="9" t="s">
        <v>31</v>
      </c>
      <c r="D32" s="9" t="s">
        <v>11</v>
      </c>
      <c r="E32" s="9">
        <v>2012</v>
      </c>
      <c r="F32" s="32">
        <v>537.01182033096927</v>
      </c>
      <c r="G32" s="3">
        <v>535.35321821036109</v>
      </c>
      <c r="H32" s="9"/>
      <c r="I32" s="9"/>
      <c r="J32" s="2"/>
      <c r="K32" t="s">
        <v>49</v>
      </c>
      <c r="L32" s="9"/>
    </row>
    <row r="33" spans="1:12" x14ac:dyDescent="0.25">
      <c r="A33" s="9" t="s">
        <v>21</v>
      </c>
      <c r="B33" s="9" t="s">
        <v>24</v>
      </c>
      <c r="C33" s="9" t="s">
        <v>19</v>
      </c>
      <c r="D33" s="9" t="s">
        <v>11</v>
      </c>
      <c r="E33" s="9">
        <v>2012</v>
      </c>
      <c r="F33" s="32">
        <v>309.39763593380616</v>
      </c>
      <c r="G33" s="3">
        <v>320.16221873364731</v>
      </c>
      <c r="H33" s="9"/>
      <c r="I33" s="9"/>
      <c r="J33" s="2"/>
      <c r="K33" s="8" t="s">
        <v>50</v>
      </c>
      <c r="L33" s="9"/>
    </row>
    <row r="34" spans="1:12" x14ac:dyDescent="0.25">
      <c r="A34" s="9" t="s">
        <v>21</v>
      </c>
      <c r="B34" s="9" t="s">
        <v>24</v>
      </c>
      <c r="C34" s="9" t="s">
        <v>20</v>
      </c>
      <c r="D34" s="9" t="s">
        <v>11</v>
      </c>
      <c r="E34" s="9">
        <v>2012</v>
      </c>
      <c r="F34" s="32">
        <v>905.53002364066197</v>
      </c>
      <c r="G34" s="3">
        <v>842.91889063317637</v>
      </c>
      <c r="H34" s="9"/>
      <c r="I34" s="9"/>
      <c r="J34" s="2"/>
      <c r="L34" s="9"/>
    </row>
    <row r="35" spans="1:12" x14ac:dyDescent="0.25">
      <c r="A35" s="9" t="s">
        <v>21</v>
      </c>
      <c r="B35" s="9" t="s">
        <v>26</v>
      </c>
      <c r="C35" s="9" t="s">
        <v>31</v>
      </c>
      <c r="D35" s="9" t="s">
        <v>12</v>
      </c>
      <c r="E35" s="9">
        <v>2012</v>
      </c>
      <c r="F35" s="32">
        <v>8.6463829787234037</v>
      </c>
      <c r="G35" s="3">
        <v>7.3479853479853476</v>
      </c>
      <c r="H35" s="9"/>
      <c r="I35" s="9"/>
      <c r="J35" s="2"/>
      <c r="L35" s="9"/>
    </row>
    <row r="36" spans="1:12" x14ac:dyDescent="0.25">
      <c r="A36" s="9" t="s">
        <v>21</v>
      </c>
      <c r="B36" s="9" t="s">
        <v>26</v>
      </c>
      <c r="C36" s="9" t="s">
        <v>19</v>
      </c>
      <c r="D36" s="9" t="s">
        <v>12</v>
      </c>
      <c r="E36" s="9">
        <v>2012</v>
      </c>
      <c r="F36" s="32">
        <v>16.332056737588651</v>
      </c>
      <c r="G36" s="3">
        <v>14.695970695970695</v>
      </c>
      <c r="H36" s="9"/>
      <c r="I36" s="9"/>
      <c r="J36" s="2"/>
      <c r="L36" s="9"/>
    </row>
    <row r="37" spans="1:12" x14ac:dyDescent="0.25">
      <c r="A37" s="9" t="s">
        <v>21</v>
      </c>
      <c r="B37" s="9" t="s">
        <v>26</v>
      </c>
      <c r="C37" s="9" t="s">
        <v>20</v>
      </c>
      <c r="D37" s="9" t="s">
        <v>12</v>
      </c>
      <c r="E37" s="9">
        <v>2012</v>
      </c>
      <c r="F37" s="32">
        <v>13.449929078014184</v>
      </c>
      <c r="G37" s="3">
        <v>19.944531658817375</v>
      </c>
      <c r="H37" s="9"/>
      <c r="I37" s="9"/>
      <c r="J37" s="2"/>
      <c r="L37" s="9"/>
    </row>
    <row r="38" spans="1:12" x14ac:dyDescent="0.25">
      <c r="A38" s="9" t="s">
        <v>21</v>
      </c>
      <c r="B38" s="9" t="s">
        <v>26</v>
      </c>
      <c r="C38" s="9" t="s">
        <v>31</v>
      </c>
      <c r="D38" s="9" t="s">
        <v>15</v>
      </c>
      <c r="E38" s="9">
        <v>2012</v>
      </c>
      <c r="F38" s="32">
        <v>9.0897872340425518</v>
      </c>
      <c r="G38" s="3">
        <v>8.3976975405546845</v>
      </c>
      <c r="H38" s="9"/>
      <c r="I38" s="9"/>
      <c r="J38" s="2"/>
      <c r="L38" s="9"/>
    </row>
    <row r="39" spans="1:12" x14ac:dyDescent="0.25">
      <c r="A39" s="9" t="s">
        <v>21</v>
      </c>
      <c r="B39" s="9" t="s">
        <v>26</v>
      </c>
      <c r="C39" s="9" t="s">
        <v>19</v>
      </c>
      <c r="D39" s="9" t="s">
        <v>15</v>
      </c>
      <c r="E39" s="9">
        <v>2012</v>
      </c>
      <c r="F39" s="32">
        <v>17.169598108747042</v>
      </c>
      <c r="G39" s="3">
        <v>12.596546310832025</v>
      </c>
      <c r="H39" s="9"/>
      <c r="I39" s="9"/>
      <c r="J39" s="2"/>
      <c r="L39" s="9"/>
    </row>
    <row r="40" spans="1:12" x14ac:dyDescent="0.25">
      <c r="A40" s="9" t="s">
        <v>21</v>
      </c>
      <c r="B40" s="9" t="s">
        <v>26</v>
      </c>
      <c r="C40" s="9" t="s">
        <v>20</v>
      </c>
      <c r="D40" s="9" t="s">
        <v>15</v>
      </c>
      <c r="E40" s="9">
        <v>2012</v>
      </c>
      <c r="F40" s="32">
        <v>14.139669030732858</v>
      </c>
      <c r="G40" s="3">
        <v>7.3479853479853476</v>
      </c>
      <c r="H40" s="9"/>
      <c r="I40" s="9"/>
      <c r="J40" s="2"/>
      <c r="L40" s="9"/>
    </row>
    <row r="41" spans="1:12" x14ac:dyDescent="0.25">
      <c r="A41" s="9" t="s">
        <v>21</v>
      </c>
      <c r="B41" s="9" t="s">
        <v>27</v>
      </c>
      <c r="C41" s="9" t="s">
        <v>31</v>
      </c>
      <c r="D41" s="9" t="s">
        <v>11</v>
      </c>
      <c r="E41" s="9">
        <v>2012</v>
      </c>
      <c r="F41" s="32">
        <v>26.604255319148937</v>
      </c>
      <c r="G41" s="3">
        <v>23.093668236525382</v>
      </c>
      <c r="H41" s="9"/>
      <c r="I41" s="9"/>
      <c r="J41" s="2"/>
      <c r="L41" s="9"/>
    </row>
    <row r="42" spans="1:12" x14ac:dyDescent="0.25">
      <c r="A42" s="9" t="s">
        <v>21</v>
      </c>
      <c r="B42" s="9" t="s">
        <v>27</v>
      </c>
      <c r="C42" s="9" t="s">
        <v>19</v>
      </c>
      <c r="D42" s="9" t="s">
        <v>11</v>
      </c>
      <c r="E42" s="9">
        <v>2012</v>
      </c>
      <c r="F42" s="32">
        <v>11.824113475177304</v>
      </c>
      <c r="G42" s="3">
        <v>13.646258503401359</v>
      </c>
      <c r="H42" s="9"/>
      <c r="I42" s="9"/>
      <c r="J42" s="2"/>
      <c r="L42" s="9"/>
    </row>
    <row r="43" spans="1:12" x14ac:dyDescent="0.25">
      <c r="A43" s="9" t="s">
        <v>21</v>
      </c>
      <c r="B43" s="9" t="s">
        <v>27</v>
      </c>
      <c r="C43" s="9" t="s">
        <v>20</v>
      </c>
      <c r="D43" s="9" t="s">
        <v>11</v>
      </c>
      <c r="E43" s="9">
        <v>2012</v>
      </c>
      <c r="F43" s="32">
        <v>28.574940898345154</v>
      </c>
      <c r="G43" s="3">
        <v>25.19309262166405</v>
      </c>
      <c r="H43" s="9"/>
      <c r="I43" s="9"/>
      <c r="J43" s="2"/>
      <c r="L43" s="9"/>
    </row>
    <row r="44" spans="1:12" x14ac:dyDescent="0.25">
      <c r="A44" s="9" t="s">
        <v>21</v>
      </c>
      <c r="B44" s="9" t="s">
        <v>28</v>
      </c>
      <c r="C44" s="9" t="s">
        <v>31</v>
      </c>
      <c r="D44" s="9" t="s">
        <v>12</v>
      </c>
      <c r="E44" s="9">
        <v>2012</v>
      </c>
      <c r="F44" s="32">
        <v>3.102005078364416</v>
      </c>
      <c r="G44" s="3">
        <v>3.1491365777080063</v>
      </c>
      <c r="H44" s="9"/>
      <c r="I44" s="9"/>
      <c r="J44" s="2"/>
      <c r="L44" s="9"/>
    </row>
    <row r="45" spans="1:12" x14ac:dyDescent="0.25">
      <c r="A45" s="9" t="s">
        <v>21</v>
      </c>
      <c r="B45" s="9" t="s">
        <v>28</v>
      </c>
      <c r="C45" s="9" t="s">
        <v>19</v>
      </c>
      <c r="D45" s="9" t="s">
        <v>12</v>
      </c>
      <c r="E45" s="9">
        <v>2012</v>
      </c>
      <c r="F45" s="32">
        <v>6.2926388732535301</v>
      </c>
      <c r="G45" s="3">
        <v>3.1491365777080063</v>
      </c>
      <c r="H45" s="9"/>
      <c r="I45" s="9"/>
      <c r="J45" s="2"/>
      <c r="L45" s="9"/>
    </row>
    <row r="46" spans="1:12" x14ac:dyDescent="0.25">
      <c r="A46" s="9" t="s">
        <v>21</v>
      </c>
      <c r="B46" s="9" t="s">
        <v>28</v>
      </c>
      <c r="C46" s="9" t="s">
        <v>20</v>
      </c>
      <c r="D46" s="9" t="s">
        <v>12</v>
      </c>
      <c r="E46" s="9">
        <v>2012</v>
      </c>
      <c r="F46" s="32">
        <v>7.356183471549901</v>
      </c>
      <c r="G46" s="3">
        <v>7.3479853479853476</v>
      </c>
      <c r="H46" s="9"/>
      <c r="I46" s="9"/>
      <c r="J46" s="2"/>
      <c r="L46" s="9"/>
    </row>
    <row r="47" spans="1:12" x14ac:dyDescent="0.25">
      <c r="A47" s="9" t="s">
        <v>21</v>
      </c>
      <c r="B47" s="9" t="s">
        <v>28</v>
      </c>
      <c r="C47" s="9" t="s">
        <v>31</v>
      </c>
      <c r="D47" s="9" t="s">
        <v>15</v>
      </c>
      <c r="E47" s="9">
        <v>2012</v>
      </c>
      <c r="F47" s="32">
        <v>31.384992557569387</v>
      </c>
      <c r="G47" s="3">
        <v>23.093668236525382</v>
      </c>
      <c r="H47" s="9"/>
      <c r="I47" s="9"/>
      <c r="J47" s="2"/>
      <c r="L47" s="9"/>
    </row>
    <row r="48" spans="1:12" x14ac:dyDescent="0.25">
      <c r="A48" s="9" t="s">
        <v>21</v>
      </c>
      <c r="B48" s="9" t="s">
        <v>28</v>
      </c>
      <c r="C48" s="9" t="s">
        <v>19</v>
      </c>
      <c r="D48" s="9" t="s">
        <v>15</v>
      </c>
      <c r="E48" s="9">
        <v>2012</v>
      </c>
      <c r="F48" s="32">
        <v>63.666699188212185</v>
      </c>
      <c r="G48" s="3">
        <v>64.032443746729456</v>
      </c>
      <c r="H48" s="9"/>
      <c r="I48" s="9"/>
      <c r="J48" s="2"/>
      <c r="L48" s="9"/>
    </row>
    <row r="49" spans="1:12" x14ac:dyDescent="0.25">
      <c r="A49" s="9" t="s">
        <v>21</v>
      </c>
      <c r="B49" s="9" t="s">
        <v>28</v>
      </c>
      <c r="C49" s="9" t="s">
        <v>20</v>
      </c>
      <c r="D49" s="9" t="s">
        <v>15</v>
      </c>
      <c r="E49" s="9">
        <v>2012</v>
      </c>
      <c r="F49" s="32">
        <v>74.427268065093116</v>
      </c>
      <c r="G49" s="3">
        <v>74.529565672422819</v>
      </c>
      <c r="H49" s="9"/>
      <c r="I49" s="9"/>
      <c r="J49" s="2"/>
      <c r="L49" s="9"/>
    </row>
    <row r="50" spans="1:12" x14ac:dyDescent="0.25">
      <c r="A50" s="9" t="s">
        <v>22</v>
      </c>
      <c r="B50" s="9" t="s">
        <v>11</v>
      </c>
      <c r="C50" s="9" t="s">
        <v>11</v>
      </c>
      <c r="D50" s="9" t="s">
        <v>11</v>
      </c>
      <c r="E50" s="9">
        <v>2012</v>
      </c>
      <c r="F50" s="32">
        <v>416</v>
      </c>
      <c r="G50" s="3">
        <v>545</v>
      </c>
      <c r="H50" s="9"/>
      <c r="I50" s="9"/>
      <c r="J50" s="2"/>
      <c r="L50" s="9"/>
    </row>
    <row r="51" spans="1:12" x14ac:dyDescent="0.25">
      <c r="A51" s="9" t="s">
        <v>22</v>
      </c>
      <c r="B51" s="9" t="s">
        <v>11</v>
      </c>
      <c r="C51" s="9" t="s">
        <v>19</v>
      </c>
      <c r="D51" s="9" t="s">
        <v>11</v>
      </c>
      <c r="E51" s="9">
        <v>2012</v>
      </c>
      <c r="F51" s="32">
        <v>113.13807531380753</v>
      </c>
      <c r="G51" s="3">
        <v>143.82641575080331</v>
      </c>
      <c r="H51" s="9"/>
      <c r="I51" s="9"/>
      <c r="J51" s="2"/>
      <c r="K51" t="s">
        <v>42</v>
      </c>
      <c r="L51" s="9"/>
    </row>
    <row r="52" spans="1:12" ht="15.75" thickBot="1" x14ac:dyDescent="0.3">
      <c r="A52" s="6" t="s">
        <v>22</v>
      </c>
      <c r="B52" s="6" t="s">
        <v>24</v>
      </c>
      <c r="C52" s="6" t="s">
        <v>11</v>
      </c>
      <c r="D52" s="6" t="s">
        <v>11</v>
      </c>
      <c r="E52" s="6">
        <v>2012</v>
      </c>
      <c r="F52" s="33">
        <v>267.17991631799163</v>
      </c>
      <c r="G52" s="12">
        <v>350.03765784572562</v>
      </c>
      <c r="H52" s="6"/>
      <c r="I52" s="6"/>
      <c r="J52" s="12"/>
      <c r="K52" s="6" t="s">
        <v>43</v>
      </c>
      <c r="L52" s="9"/>
    </row>
    <row r="53" spans="1:12" x14ac:dyDescent="0.25">
      <c r="A53" s="9" t="s">
        <v>10</v>
      </c>
      <c r="B53" s="9" t="s">
        <v>24</v>
      </c>
      <c r="C53" s="9" t="s">
        <v>31</v>
      </c>
      <c r="D53" s="9" t="s">
        <v>11</v>
      </c>
      <c r="E53" s="9">
        <v>2013</v>
      </c>
      <c r="F53" s="32">
        <v>14627.40814711076</v>
      </c>
      <c r="G53" s="3">
        <v>15320.701913958099</v>
      </c>
      <c r="H53" s="9"/>
      <c r="I53" s="9"/>
      <c r="L53" s="9"/>
    </row>
    <row r="54" spans="1:12" x14ac:dyDescent="0.25">
      <c r="A54" s="9" t="s">
        <v>10</v>
      </c>
      <c r="B54" s="9" t="s">
        <v>24</v>
      </c>
      <c r="C54" s="9" t="s">
        <v>19</v>
      </c>
      <c r="D54" s="9" t="s">
        <v>11</v>
      </c>
      <c r="E54" s="9">
        <v>2013</v>
      </c>
      <c r="F54" s="32">
        <v>6180.4755830238082</v>
      </c>
      <c r="G54" s="3">
        <v>6532.9350590568156</v>
      </c>
      <c r="H54" s="9"/>
      <c r="I54" s="9"/>
      <c r="L54" s="9"/>
    </row>
    <row r="55" spans="1:12" x14ac:dyDescent="0.25">
      <c r="A55" s="9" t="s">
        <v>10</v>
      </c>
      <c r="B55" s="9" t="s">
        <v>24</v>
      </c>
      <c r="C55" s="9" t="s">
        <v>20</v>
      </c>
      <c r="D55" s="9" t="s">
        <v>11</v>
      </c>
      <c r="E55" s="9">
        <v>2013</v>
      </c>
      <c r="F55" s="32">
        <v>14787.548499056202</v>
      </c>
      <c r="G55" s="3">
        <v>15731.433356323821</v>
      </c>
      <c r="H55" s="9"/>
      <c r="I55" s="9"/>
      <c r="L55" s="9"/>
    </row>
    <row r="56" spans="1:12" x14ac:dyDescent="0.25">
      <c r="A56" s="9" t="s">
        <v>10</v>
      </c>
      <c r="B56" s="9" t="s">
        <v>26</v>
      </c>
      <c r="C56" s="9" t="s">
        <v>11</v>
      </c>
      <c r="D56" s="9" t="s">
        <v>11</v>
      </c>
      <c r="E56" s="9">
        <v>2013</v>
      </c>
      <c r="F56" s="32">
        <v>2546.2315959325338</v>
      </c>
      <c r="G56" s="3">
        <v>2612.1262393309767</v>
      </c>
      <c r="H56" s="9"/>
      <c r="I56" s="9"/>
      <c r="L56" s="9"/>
    </row>
    <row r="57" spans="1:12" x14ac:dyDescent="0.25">
      <c r="A57" s="9" t="s">
        <v>10</v>
      </c>
      <c r="B57" s="9" t="s">
        <v>27</v>
      </c>
      <c r="C57" s="9" t="s">
        <v>11</v>
      </c>
      <c r="D57" s="9" t="s">
        <v>11</v>
      </c>
      <c r="E57" s="9">
        <v>2013</v>
      </c>
      <c r="F57" s="32">
        <v>3072.8107532119589</v>
      </c>
      <c r="G57" s="3">
        <v>3086.7725234934046</v>
      </c>
      <c r="H57" s="9"/>
      <c r="I57" s="9"/>
      <c r="L57" s="9"/>
    </row>
    <row r="58" spans="1:12" x14ac:dyDescent="0.25">
      <c r="A58" s="9" t="s">
        <v>10</v>
      </c>
      <c r="B58" s="9" t="s">
        <v>28</v>
      </c>
      <c r="C58" s="9" t="s">
        <v>31</v>
      </c>
      <c r="D58" s="9" t="s">
        <v>12</v>
      </c>
      <c r="E58" s="9">
        <v>2013</v>
      </c>
      <c r="F58" s="32">
        <v>199.10693848964945</v>
      </c>
      <c r="G58" s="3">
        <v>143.54644796965258</v>
      </c>
      <c r="H58" s="9"/>
      <c r="I58" s="9"/>
      <c r="K58" t="s">
        <v>39</v>
      </c>
      <c r="L58" s="9"/>
    </row>
    <row r="59" spans="1:12" x14ac:dyDescent="0.25">
      <c r="A59" s="9" t="s">
        <v>10</v>
      </c>
      <c r="B59" s="9" t="s">
        <v>28</v>
      </c>
      <c r="C59" s="9" t="s">
        <v>19</v>
      </c>
      <c r="D59" s="9" t="s">
        <v>12</v>
      </c>
      <c r="E59" s="9">
        <v>2013</v>
      </c>
      <c r="F59" s="32">
        <v>366.02892005476724</v>
      </c>
      <c r="G59" s="3">
        <v>340.52989481851881</v>
      </c>
      <c r="H59" s="9"/>
      <c r="I59" s="9"/>
      <c r="K59" t="s">
        <v>39</v>
      </c>
      <c r="L59" s="9"/>
    </row>
    <row r="60" spans="1:12" x14ac:dyDescent="0.25">
      <c r="A60" s="9" t="s">
        <v>10</v>
      </c>
      <c r="B60" s="9" t="s">
        <v>28</v>
      </c>
      <c r="C60" s="9" t="s">
        <v>20</v>
      </c>
      <c r="D60" s="9" t="s">
        <v>12</v>
      </c>
      <c r="E60" s="9">
        <v>2013</v>
      </c>
      <c r="F60" s="32">
        <v>537.94856573860113</v>
      </c>
      <c r="G60" s="3">
        <v>638.10063367531677</v>
      </c>
      <c r="H60" s="9"/>
      <c r="I60" s="9"/>
      <c r="K60" t="s">
        <v>39</v>
      </c>
      <c r="L60" s="9"/>
    </row>
    <row r="61" spans="1:12" x14ac:dyDescent="0.25">
      <c r="A61" s="9" t="s">
        <v>10</v>
      </c>
      <c r="B61" s="9" t="s">
        <v>28</v>
      </c>
      <c r="C61" s="9" t="s">
        <v>31</v>
      </c>
      <c r="D61" s="9" t="s">
        <v>15</v>
      </c>
      <c r="E61" s="9">
        <v>2013</v>
      </c>
      <c r="F61" s="32">
        <v>739.12712349658943</v>
      </c>
      <c r="G61" s="3">
        <v>523.89214587464437</v>
      </c>
      <c r="H61" s="9"/>
      <c r="I61" s="9"/>
      <c r="K61" t="s">
        <v>40</v>
      </c>
      <c r="L61" s="9"/>
    </row>
    <row r="62" spans="1:12" x14ac:dyDescent="0.25">
      <c r="A62" s="9" t="s">
        <v>10</v>
      </c>
      <c r="B62" s="9" t="s">
        <v>28</v>
      </c>
      <c r="C62" s="9" t="s">
        <v>19</v>
      </c>
      <c r="D62" s="9" t="s">
        <v>15</v>
      </c>
      <c r="E62" s="9">
        <v>2013</v>
      </c>
      <c r="F62" s="32">
        <v>1358.7768706046741</v>
      </c>
      <c r="G62" s="3">
        <v>1517.1916544529702</v>
      </c>
      <c r="H62" s="9"/>
      <c r="I62" s="9"/>
      <c r="K62" t="s">
        <v>40</v>
      </c>
      <c r="L62" s="9"/>
    </row>
    <row r="63" spans="1:12" x14ac:dyDescent="0.25">
      <c r="A63" s="9" t="s">
        <v>10</v>
      </c>
      <c r="B63" s="9" t="s">
        <v>28</v>
      </c>
      <c r="C63" s="9" t="s">
        <v>20</v>
      </c>
      <c r="D63" s="9" t="s">
        <v>15</v>
      </c>
      <c r="E63" s="9">
        <v>2013</v>
      </c>
      <c r="F63" s="32">
        <v>1996.9790053507252</v>
      </c>
      <c r="G63" s="3">
        <v>2165.7701310457796</v>
      </c>
      <c r="H63" s="9"/>
      <c r="I63" s="9"/>
      <c r="K63" t="s">
        <v>40</v>
      </c>
      <c r="L63" s="9"/>
    </row>
    <row r="64" spans="1:12" x14ac:dyDescent="0.25">
      <c r="A64" s="9" t="s">
        <v>21</v>
      </c>
      <c r="B64" s="9" t="s">
        <v>11</v>
      </c>
      <c r="C64" s="9" t="s">
        <v>11</v>
      </c>
      <c r="D64" s="9" t="s">
        <v>11</v>
      </c>
      <c r="E64" s="9">
        <v>2013</v>
      </c>
      <c r="F64" s="32">
        <v>1748</v>
      </c>
      <c r="G64" s="11">
        <v>1756</v>
      </c>
      <c r="H64" s="9"/>
      <c r="I64" s="9"/>
      <c r="J64" s="2"/>
      <c r="L64" s="9"/>
    </row>
    <row r="65" spans="1:12" x14ac:dyDescent="0.25">
      <c r="A65" s="9" t="s">
        <v>21</v>
      </c>
      <c r="B65" s="9" t="s">
        <v>11</v>
      </c>
      <c r="C65" s="9" t="s">
        <v>19</v>
      </c>
      <c r="D65" s="9" t="s">
        <v>11</v>
      </c>
      <c r="E65" s="9">
        <v>2013</v>
      </c>
      <c r="F65" s="32">
        <v>377.09662921348314</v>
      </c>
      <c r="G65" s="11">
        <v>401</v>
      </c>
      <c r="H65" s="9"/>
      <c r="I65" s="9"/>
      <c r="J65" s="2"/>
      <c r="L65" s="9"/>
    </row>
    <row r="66" spans="1:12" x14ac:dyDescent="0.25">
      <c r="A66" s="9" t="s">
        <v>21</v>
      </c>
      <c r="B66" s="9" t="s">
        <v>24</v>
      </c>
      <c r="C66" s="9" t="s">
        <v>11</v>
      </c>
      <c r="D66" s="9" t="s">
        <v>11</v>
      </c>
      <c r="E66" s="9">
        <v>2013</v>
      </c>
      <c r="F66" s="32">
        <v>1435.7168539325844</v>
      </c>
      <c r="G66" s="11">
        <v>1442</v>
      </c>
      <c r="H66" s="9"/>
      <c r="I66" s="9"/>
      <c r="J66" s="2"/>
      <c r="L66" s="9"/>
    </row>
    <row r="67" spans="1:12" x14ac:dyDescent="0.25">
      <c r="A67" s="9" t="s">
        <v>22</v>
      </c>
      <c r="B67" s="9" t="s">
        <v>11</v>
      </c>
      <c r="C67" s="9" t="s">
        <v>11</v>
      </c>
      <c r="D67" s="9" t="s">
        <v>11</v>
      </c>
      <c r="E67" s="9">
        <v>2013</v>
      </c>
      <c r="F67" s="32">
        <v>432.5</v>
      </c>
      <c r="G67" s="11">
        <v>534</v>
      </c>
      <c r="H67" s="9"/>
      <c r="I67" s="9"/>
      <c r="J67" s="2"/>
      <c r="L67" s="9"/>
    </row>
    <row r="68" spans="1:12" x14ac:dyDescent="0.25">
      <c r="A68" s="9" t="s">
        <v>22</v>
      </c>
      <c r="B68" s="9" t="s">
        <v>11</v>
      </c>
      <c r="C68" s="9" t="s">
        <v>19</v>
      </c>
      <c r="D68" s="9" t="s">
        <v>11</v>
      </c>
      <c r="E68" s="9">
        <v>2013</v>
      </c>
      <c r="F68" s="32">
        <v>126.07287449392712</v>
      </c>
      <c r="G68" s="11">
        <v>134</v>
      </c>
      <c r="H68" s="9"/>
      <c r="I68" s="9"/>
      <c r="J68" s="2"/>
      <c r="L68" s="9"/>
    </row>
    <row r="69" spans="1:12" ht="15.75" thickBot="1" x14ac:dyDescent="0.3">
      <c r="A69" s="6" t="s">
        <v>22</v>
      </c>
      <c r="B69" s="6" t="s">
        <v>24</v>
      </c>
      <c r="C69" s="6" t="s">
        <v>11</v>
      </c>
      <c r="D69" s="6" t="s">
        <v>11</v>
      </c>
      <c r="E69" s="6">
        <v>2013</v>
      </c>
      <c r="F69" s="33">
        <v>284.53947368421052</v>
      </c>
      <c r="G69" s="34">
        <v>328</v>
      </c>
      <c r="H69" s="6"/>
      <c r="I69" s="6"/>
      <c r="J69" s="12"/>
      <c r="K69" s="6"/>
      <c r="L69" s="9"/>
    </row>
    <row r="70" spans="1:12" x14ac:dyDescent="0.25">
      <c r="A70" s="9" t="s">
        <v>10</v>
      </c>
      <c r="B70" s="9" t="s">
        <v>24</v>
      </c>
      <c r="C70" s="9" t="s">
        <v>11</v>
      </c>
      <c r="D70" s="9" t="s">
        <v>11</v>
      </c>
      <c r="E70" s="9">
        <v>2014</v>
      </c>
      <c r="F70" s="32">
        <v>36494.23037954644</v>
      </c>
      <c r="G70" s="3">
        <v>38973.198032462307</v>
      </c>
      <c r="H70" s="9"/>
      <c r="I70" s="9"/>
      <c r="J70" s="3"/>
      <c r="K70" s="9"/>
      <c r="L70" s="9"/>
    </row>
    <row r="71" spans="1:12" x14ac:dyDescent="0.25">
      <c r="A71" s="9" t="s">
        <v>10</v>
      </c>
      <c r="B71" s="9" t="s">
        <v>24</v>
      </c>
      <c r="C71" s="9" t="s">
        <v>31</v>
      </c>
      <c r="D71" s="9" t="s">
        <v>11</v>
      </c>
      <c r="E71" s="9">
        <v>2014</v>
      </c>
      <c r="F71" s="32">
        <v>14786.051885859026</v>
      </c>
      <c r="G71" s="3">
        <v>15977.263657623091</v>
      </c>
      <c r="H71" s="9"/>
      <c r="I71" s="9"/>
      <c r="L71" s="9"/>
    </row>
    <row r="72" spans="1:12" x14ac:dyDescent="0.25">
      <c r="A72" s="9" t="s">
        <v>10</v>
      </c>
      <c r="B72" s="9" t="s">
        <v>24</v>
      </c>
      <c r="C72" s="9" t="s">
        <v>19</v>
      </c>
      <c r="D72" s="9" t="s">
        <v>11</v>
      </c>
      <c r="E72" s="9">
        <v>2014</v>
      </c>
      <c r="F72" s="32">
        <v>6316.4171251038906</v>
      </c>
      <c r="G72" s="3">
        <v>6803.4611137553075</v>
      </c>
      <c r="H72" s="9"/>
      <c r="I72" s="9"/>
      <c r="L72" s="9"/>
    </row>
    <row r="73" spans="1:12" x14ac:dyDescent="0.25">
      <c r="A73" s="9" t="s">
        <v>10</v>
      </c>
      <c r="B73" s="9" t="s">
        <v>24</v>
      </c>
      <c r="C73" s="9" t="s">
        <v>20</v>
      </c>
      <c r="D73" s="9" t="s">
        <v>11</v>
      </c>
      <c r="E73" s="9">
        <v>2014</v>
      </c>
      <c r="F73" s="32">
        <v>15391.761368583528</v>
      </c>
      <c r="G73" s="3">
        <v>16192.473261083915</v>
      </c>
      <c r="H73" s="9"/>
      <c r="I73" s="9"/>
      <c r="L73" s="9"/>
    </row>
    <row r="74" spans="1:12" x14ac:dyDescent="0.25">
      <c r="A74" s="9" t="s">
        <v>10</v>
      </c>
      <c r="B74" s="9" t="s">
        <v>26</v>
      </c>
      <c r="C74" s="9" t="s">
        <v>11</v>
      </c>
      <c r="D74" s="9" t="s">
        <v>11</v>
      </c>
      <c r="E74" s="9">
        <v>2014</v>
      </c>
      <c r="F74" s="32">
        <v>2552.0309890370841</v>
      </c>
      <c r="G74" s="3">
        <v>2533.6833996741393</v>
      </c>
      <c r="H74" s="9"/>
      <c r="I74" s="9"/>
      <c r="J74" s="2"/>
      <c r="L74" s="9"/>
    </row>
    <row r="75" spans="1:12" x14ac:dyDescent="0.25">
      <c r="A75" s="9" t="s">
        <v>10</v>
      </c>
      <c r="B75" s="9" t="s">
        <v>27</v>
      </c>
      <c r="C75" s="9" t="s">
        <v>11</v>
      </c>
      <c r="D75" s="9" t="s">
        <v>11</v>
      </c>
      <c r="E75" s="9">
        <v>2014</v>
      </c>
      <c r="F75" s="32">
        <v>2992.036331974512</v>
      </c>
      <c r="G75" s="3">
        <v>3009.4539773547549</v>
      </c>
      <c r="H75" s="9"/>
      <c r="I75" s="9"/>
      <c r="J75" s="2"/>
      <c r="L75" s="9"/>
    </row>
    <row r="76" spans="1:12" x14ac:dyDescent="0.25">
      <c r="A76" s="9" t="s">
        <v>10</v>
      </c>
      <c r="B76" s="9" t="s">
        <v>28</v>
      </c>
      <c r="C76" s="9" t="s">
        <v>11</v>
      </c>
      <c r="D76" s="9" t="s">
        <v>12</v>
      </c>
      <c r="E76" s="9">
        <v>2014</v>
      </c>
      <c r="F76" s="32">
        <v>1100.0133573435705</v>
      </c>
      <c r="G76" s="3">
        <v>913.60255326169909</v>
      </c>
      <c r="H76" s="9"/>
      <c r="I76" s="9"/>
      <c r="J76" s="2"/>
      <c r="L76" s="9"/>
    </row>
    <row r="77" spans="1:12" x14ac:dyDescent="0.25">
      <c r="A77" s="9" t="s">
        <v>10</v>
      </c>
      <c r="B77" s="9" t="s">
        <v>28</v>
      </c>
      <c r="C77" s="9" t="s">
        <v>31</v>
      </c>
      <c r="D77" s="9" t="s">
        <v>12</v>
      </c>
      <c r="E77" s="9">
        <v>2014</v>
      </c>
      <c r="F77" s="32">
        <v>196.71700423458987</v>
      </c>
      <c r="G77" s="3">
        <v>118.49393837783427</v>
      </c>
      <c r="H77" s="9"/>
      <c r="I77" s="9"/>
      <c r="J77" s="2"/>
      <c r="L77" s="9"/>
    </row>
    <row r="78" spans="1:12" x14ac:dyDescent="0.25">
      <c r="A78" s="9" t="s">
        <v>10</v>
      </c>
      <c r="B78" s="9" t="s">
        <v>28</v>
      </c>
      <c r="C78" s="9" t="s">
        <v>19</v>
      </c>
      <c r="D78" s="9" t="s">
        <v>12</v>
      </c>
      <c r="E78" s="9">
        <v>2014</v>
      </c>
      <c r="F78" s="32">
        <v>360.81063239452584</v>
      </c>
      <c r="G78" s="3">
        <v>275.2359201561087</v>
      </c>
      <c r="H78" s="9"/>
      <c r="I78" s="9"/>
      <c r="J78" s="2"/>
      <c r="L78" s="9"/>
    </row>
    <row r="79" spans="1:12" x14ac:dyDescent="0.25">
      <c r="A79" s="9" t="s">
        <v>10</v>
      </c>
      <c r="B79" s="9" t="s">
        <v>28</v>
      </c>
      <c r="C79" s="9" t="s">
        <v>20</v>
      </c>
      <c r="D79" s="9" t="s">
        <v>12</v>
      </c>
      <c r="E79" s="9">
        <v>2014</v>
      </c>
      <c r="F79" s="32">
        <v>542.48572071445494</v>
      </c>
      <c r="G79" s="3">
        <v>519.87269472775597</v>
      </c>
      <c r="H79" s="9"/>
      <c r="I79" s="9"/>
      <c r="J79" s="2"/>
      <c r="L79" s="9"/>
    </row>
    <row r="80" spans="1:12" x14ac:dyDescent="0.25">
      <c r="A80" s="9" t="s">
        <v>10</v>
      </c>
      <c r="B80" s="9" t="s">
        <v>28</v>
      </c>
      <c r="C80" s="9" t="s">
        <v>11</v>
      </c>
      <c r="D80" s="9" t="s">
        <v>15</v>
      </c>
      <c r="E80" s="9">
        <v>2014</v>
      </c>
      <c r="F80" s="32">
        <v>4171.6251236791068</v>
      </c>
      <c r="G80" s="3">
        <v>4287.0620372470976</v>
      </c>
      <c r="H80" s="9"/>
      <c r="I80" s="9"/>
      <c r="J80" s="2"/>
      <c r="L80" s="9"/>
    </row>
    <row r="81" spans="1:12" x14ac:dyDescent="0.25">
      <c r="A81" s="9" t="s">
        <v>10</v>
      </c>
      <c r="B81" s="9" t="s">
        <v>28</v>
      </c>
      <c r="C81" s="9" t="s">
        <v>31</v>
      </c>
      <c r="D81" s="9" t="s">
        <v>15</v>
      </c>
      <c r="E81" s="9">
        <v>2014</v>
      </c>
      <c r="F81" s="32">
        <v>746.01784754836808</v>
      </c>
      <c r="G81" s="3">
        <v>530.81888041814693</v>
      </c>
      <c r="H81" s="9"/>
      <c r="I81" s="9"/>
      <c r="J81" s="2"/>
      <c r="L81" s="9"/>
    </row>
    <row r="82" spans="1:12" x14ac:dyDescent="0.25">
      <c r="A82" s="9" t="s">
        <v>10</v>
      </c>
      <c r="B82" s="9" t="s">
        <v>28</v>
      </c>
      <c r="C82" s="9" t="s">
        <v>19</v>
      </c>
      <c r="D82" s="9" t="s">
        <v>15</v>
      </c>
      <c r="E82" s="9">
        <v>2014</v>
      </c>
      <c r="F82" s="32">
        <v>1368.3167471914953</v>
      </c>
      <c r="G82" s="3">
        <v>1553.6769520808991</v>
      </c>
      <c r="H82" s="9"/>
      <c r="I82" s="9"/>
      <c r="J82" s="2"/>
      <c r="L82" s="9"/>
    </row>
    <row r="83" spans="1:12" x14ac:dyDescent="0.25">
      <c r="A83" s="9" t="s">
        <v>10</v>
      </c>
      <c r="B83" s="9" t="s">
        <v>28</v>
      </c>
      <c r="C83" s="9" t="s">
        <v>20</v>
      </c>
      <c r="D83" s="9" t="s">
        <v>15</v>
      </c>
      <c r="E83" s="9">
        <v>2014</v>
      </c>
      <c r="F83" s="32">
        <v>2057.2905289392438</v>
      </c>
      <c r="G83" s="3">
        <v>2202.5662047480514</v>
      </c>
      <c r="H83" s="9"/>
      <c r="I83" s="9"/>
      <c r="J83" s="2"/>
      <c r="L83" s="9"/>
    </row>
    <row r="84" spans="1:12" x14ac:dyDescent="0.25">
      <c r="A84" s="9" t="s">
        <v>21</v>
      </c>
      <c r="B84" s="9" t="s">
        <v>11</v>
      </c>
      <c r="C84" s="9" t="s">
        <v>11</v>
      </c>
      <c r="D84" s="9" t="s">
        <v>11</v>
      </c>
      <c r="E84" s="9">
        <v>2014</v>
      </c>
      <c r="F84" s="32">
        <v>2069</v>
      </c>
      <c r="G84" s="3">
        <v>1987</v>
      </c>
      <c r="H84" s="9"/>
      <c r="I84" s="9"/>
      <c r="J84" s="2"/>
      <c r="L84" s="9"/>
    </row>
    <row r="85" spans="1:12" x14ac:dyDescent="0.25">
      <c r="A85" s="9" t="s">
        <v>21</v>
      </c>
      <c r="B85" s="9" t="s">
        <v>11</v>
      </c>
      <c r="C85" s="9" t="s">
        <v>19</v>
      </c>
      <c r="D85" s="9" t="s">
        <v>11</v>
      </c>
      <c r="E85" s="9">
        <v>2014</v>
      </c>
      <c r="F85" s="32">
        <v>392.17624703087887</v>
      </c>
      <c r="G85" s="3">
        <v>373</v>
      </c>
      <c r="H85" s="9"/>
      <c r="I85" s="9"/>
      <c r="J85" s="2"/>
      <c r="L85" s="9"/>
    </row>
    <row r="86" spans="1:12" x14ac:dyDescent="0.25">
      <c r="A86" s="9" t="s">
        <v>21</v>
      </c>
      <c r="B86" s="9" t="s">
        <v>24</v>
      </c>
      <c r="C86" s="9" t="s">
        <v>11</v>
      </c>
      <c r="D86" s="9" t="s">
        <v>11</v>
      </c>
      <c r="E86" s="9">
        <v>2014</v>
      </c>
      <c r="F86" s="32">
        <v>1732.8489311163896</v>
      </c>
      <c r="G86" s="3">
        <v>1673</v>
      </c>
      <c r="H86" s="9"/>
      <c r="I86" s="9"/>
      <c r="J86" s="2"/>
      <c r="L86" s="9"/>
    </row>
    <row r="87" spans="1:12" x14ac:dyDescent="0.25">
      <c r="A87" s="9" t="s">
        <v>22</v>
      </c>
      <c r="B87" s="9" t="s">
        <v>11</v>
      </c>
      <c r="C87" s="9" t="s">
        <v>11</v>
      </c>
      <c r="D87" s="9" t="s">
        <v>11</v>
      </c>
      <c r="E87" s="9">
        <v>2014</v>
      </c>
      <c r="F87" s="32">
        <v>480.65283400809716</v>
      </c>
      <c r="G87" s="3">
        <v>549</v>
      </c>
      <c r="H87" s="9"/>
      <c r="I87" s="9"/>
      <c r="J87" s="2"/>
      <c r="L87" s="9"/>
    </row>
    <row r="88" spans="1:12" x14ac:dyDescent="0.25">
      <c r="A88" s="9" t="s">
        <v>22</v>
      </c>
      <c r="B88" s="9" t="s">
        <v>11</v>
      </c>
      <c r="C88" s="9" t="s">
        <v>19</v>
      </c>
      <c r="D88" s="9" t="s">
        <v>11</v>
      </c>
      <c r="E88" s="9">
        <v>2014</v>
      </c>
      <c r="F88" s="32">
        <v>133.07692307692307</v>
      </c>
      <c r="G88" s="3">
        <v>152</v>
      </c>
      <c r="H88" s="9"/>
      <c r="I88" s="9"/>
      <c r="J88" s="2"/>
      <c r="L88" s="9"/>
    </row>
    <row r="89" spans="1:12" ht="15.75" thickBot="1" x14ac:dyDescent="0.3">
      <c r="A89" s="6" t="s">
        <v>22</v>
      </c>
      <c r="B89" s="6" t="s">
        <v>24</v>
      </c>
      <c r="C89" s="6" t="s">
        <v>11</v>
      </c>
      <c r="D89" s="6" t="s">
        <v>11</v>
      </c>
      <c r="E89" s="6">
        <v>2014</v>
      </c>
      <c r="F89" s="33">
        <v>322.18623481781373</v>
      </c>
      <c r="G89" s="12">
        <v>368</v>
      </c>
      <c r="H89" s="6"/>
      <c r="I89" s="6"/>
      <c r="J89" s="12"/>
      <c r="K89" s="6"/>
      <c r="L89" s="9"/>
    </row>
    <row r="90" spans="1:12" x14ac:dyDescent="0.25">
      <c r="A90" s="9" t="s">
        <v>10</v>
      </c>
      <c r="B90" s="9" t="s">
        <v>24</v>
      </c>
      <c r="C90" s="9" t="s">
        <v>11</v>
      </c>
      <c r="D90" s="9" t="s">
        <v>11</v>
      </c>
      <c r="E90" s="9">
        <v>2015</v>
      </c>
      <c r="F90" s="32">
        <v>36725.309864679351</v>
      </c>
      <c r="G90" s="3">
        <v>38954.922179851907</v>
      </c>
      <c r="H90" s="9"/>
      <c r="I90" s="9"/>
      <c r="J90" s="3"/>
      <c r="K90" s="9"/>
      <c r="L90" s="9"/>
    </row>
    <row r="91" spans="1:12" x14ac:dyDescent="0.25">
      <c r="A91" s="9" t="s">
        <v>10</v>
      </c>
      <c r="B91" s="9" t="s">
        <v>24</v>
      </c>
      <c r="C91" s="9" t="s">
        <v>31</v>
      </c>
      <c r="D91" s="9" t="s">
        <v>11</v>
      </c>
      <c r="E91" s="9">
        <v>2015</v>
      </c>
      <c r="F91" s="32">
        <v>14578.141792508335</v>
      </c>
      <c r="G91" s="3">
        <v>15969.771377531497</v>
      </c>
      <c r="H91" s="9"/>
      <c r="I91" s="9"/>
      <c r="J91" s="13"/>
      <c r="L91" s="9"/>
    </row>
    <row r="92" spans="1:12" x14ac:dyDescent="0.25">
      <c r="A92" s="9" t="s">
        <v>10</v>
      </c>
      <c r="B92" s="9" t="s">
        <v>24</v>
      </c>
      <c r="C92" s="9" t="s">
        <v>19</v>
      </c>
      <c r="D92" s="9" t="s">
        <v>11</v>
      </c>
      <c r="E92" s="9">
        <v>2015</v>
      </c>
      <c r="F92" s="32">
        <v>6421.3022161208082</v>
      </c>
      <c r="G92" s="3">
        <v>6800.2707404004695</v>
      </c>
      <c r="H92" s="9"/>
      <c r="I92" s="9"/>
      <c r="J92" s="13"/>
      <c r="L92" s="9"/>
    </row>
    <row r="93" spans="1:12" x14ac:dyDescent="0.25">
      <c r="A93" s="9" t="s">
        <v>10</v>
      </c>
      <c r="B93" s="9" t="s">
        <v>24</v>
      </c>
      <c r="C93" s="9" t="s">
        <v>20</v>
      </c>
      <c r="D93" s="9" t="s">
        <v>11</v>
      </c>
      <c r="E93" s="9">
        <v>2015</v>
      </c>
      <c r="F93" s="32">
        <v>15725.865856050206</v>
      </c>
      <c r="G93" s="3">
        <v>16184.880061919941</v>
      </c>
      <c r="H93" s="9"/>
      <c r="I93" s="9"/>
      <c r="J93" s="13"/>
      <c r="L93" s="9"/>
    </row>
    <row r="94" spans="1:12" x14ac:dyDescent="0.25">
      <c r="A94" s="9" t="s">
        <v>10</v>
      </c>
      <c r="B94" s="9" t="s">
        <v>26</v>
      </c>
      <c r="C94" s="9" t="s">
        <v>11</v>
      </c>
      <c r="D94" s="9" t="s">
        <v>11</v>
      </c>
      <c r="E94" s="9">
        <v>2015</v>
      </c>
      <c r="F94" s="32">
        <v>2525.1789566581683</v>
      </c>
      <c r="G94" s="3">
        <v>2731.5736335572906</v>
      </c>
      <c r="H94" s="9"/>
      <c r="I94" s="9"/>
      <c r="J94" s="2"/>
      <c r="L94" s="9"/>
    </row>
    <row r="95" spans="1:12" x14ac:dyDescent="0.25">
      <c r="A95" s="9" t="s">
        <v>10</v>
      </c>
      <c r="B95" s="9" t="s">
        <v>27</v>
      </c>
      <c r="C95" s="9" t="s">
        <v>11</v>
      </c>
      <c r="D95" s="9" t="s">
        <v>11</v>
      </c>
      <c r="E95" s="9">
        <v>2015</v>
      </c>
      <c r="F95" s="32">
        <v>2886.9817611296335</v>
      </c>
      <c r="G95" s="3">
        <v>3064.3234671024757</v>
      </c>
      <c r="H95" s="9"/>
      <c r="I95" s="9"/>
      <c r="J95" s="2"/>
      <c r="L95" s="9"/>
    </row>
    <row r="96" spans="1:12" x14ac:dyDescent="0.25">
      <c r="A96" s="9" t="s">
        <v>10</v>
      </c>
      <c r="B96" s="9" t="s">
        <v>28</v>
      </c>
      <c r="C96" s="9" t="s">
        <v>11</v>
      </c>
      <c r="D96" s="9" t="s">
        <v>12</v>
      </c>
      <c r="E96" s="9">
        <v>2015</v>
      </c>
      <c r="F96" s="32">
        <v>1077.9677387723084</v>
      </c>
      <c r="G96" s="3">
        <v>949.84952484716428</v>
      </c>
      <c r="H96" s="9"/>
      <c r="I96" s="9"/>
      <c r="J96" s="2"/>
      <c r="L96" s="9"/>
    </row>
    <row r="97" spans="1:12" x14ac:dyDescent="0.25">
      <c r="A97" s="9" t="s">
        <v>10</v>
      </c>
      <c r="B97" s="9" t="s">
        <v>28</v>
      </c>
      <c r="C97" s="9" t="s">
        <v>31</v>
      </c>
      <c r="D97" s="9" t="s">
        <v>12</v>
      </c>
      <c r="E97" s="9">
        <v>2015</v>
      </c>
      <c r="F97" s="32">
        <v>195.11500495984262</v>
      </c>
      <c r="G97" s="3">
        <v>123.19515818298613</v>
      </c>
      <c r="H97" s="9"/>
      <c r="I97" s="9"/>
      <c r="J97" s="2"/>
      <c r="L97" s="9"/>
    </row>
    <row r="98" spans="1:12" x14ac:dyDescent="0.25">
      <c r="A98" s="9" t="s">
        <v>10</v>
      </c>
      <c r="B98" s="9" t="s">
        <v>28</v>
      </c>
      <c r="C98" s="9" t="s">
        <v>19</v>
      </c>
      <c r="D98" s="9" t="s">
        <v>12</v>
      </c>
      <c r="E98" s="9">
        <v>2015</v>
      </c>
      <c r="F98" s="32">
        <v>351.92755024826812</v>
      </c>
      <c r="G98" s="3">
        <v>286.15584210858174</v>
      </c>
      <c r="H98" s="9"/>
      <c r="I98" s="9"/>
      <c r="J98" s="2"/>
      <c r="L98" s="9"/>
    </row>
    <row r="99" spans="1:12" x14ac:dyDescent="0.25">
      <c r="A99" s="9" t="s">
        <v>10</v>
      </c>
      <c r="B99" s="9" t="s">
        <v>28</v>
      </c>
      <c r="C99" s="9" t="s">
        <v>20</v>
      </c>
      <c r="D99" s="9" t="s">
        <v>12</v>
      </c>
      <c r="E99" s="9">
        <v>2015</v>
      </c>
      <c r="F99" s="32">
        <v>530.9251835641976</v>
      </c>
      <c r="G99" s="3">
        <v>540.49852455559619</v>
      </c>
      <c r="H99" s="9"/>
      <c r="I99" s="9"/>
      <c r="J99" s="2"/>
      <c r="L99" s="9"/>
    </row>
    <row r="100" spans="1:12" x14ac:dyDescent="0.25">
      <c r="A100" s="9" t="s">
        <v>10</v>
      </c>
      <c r="B100" s="9" t="s">
        <v>28</v>
      </c>
      <c r="C100" s="9" t="s">
        <v>11</v>
      </c>
      <c r="D100" s="9" t="s">
        <v>15</v>
      </c>
      <c r="E100" s="9">
        <v>2015</v>
      </c>
      <c r="F100" s="32">
        <v>4209.5616787605413</v>
      </c>
      <c r="G100" s="3">
        <v>4275.3311946411641</v>
      </c>
      <c r="H100" s="9"/>
      <c r="I100" s="9"/>
      <c r="J100" s="2"/>
      <c r="L100" s="9"/>
    </row>
    <row r="101" spans="1:12" x14ac:dyDescent="0.25">
      <c r="A101" s="9" t="s">
        <v>10</v>
      </c>
      <c r="B101" s="9" t="s">
        <v>28</v>
      </c>
      <c r="C101" s="9" t="s">
        <v>31</v>
      </c>
      <c r="D101" s="9" t="s">
        <v>15</v>
      </c>
      <c r="E101" s="9">
        <v>2015</v>
      </c>
      <c r="F101" s="32">
        <v>761.94177087855701</v>
      </c>
      <c r="G101" s="3">
        <v>529.36638155427659</v>
      </c>
      <c r="H101" s="9"/>
      <c r="I101" s="9"/>
      <c r="J101" s="2"/>
      <c r="L101" s="9"/>
    </row>
    <row r="102" spans="1:12" x14ac:dyDescent="0.25">
      <c r="A102" s="9" t="s">
        <v>10</v>
      </c>
      <c r="B102" s="9" t="s">
        <v>28</v>
      </c>
      <c r="C102" s="9" t="s">
        <v>19</v>
      </c>
      <c r="D102" s="9" t="s">
        <v>15</v>
      </c>
      <c r="E102" s="9">
        <v>2015</v>
      </c>
      <c r="F102" s="32">
        <v>1374.3089667158424</v>
      </c>
      <c r="G102" s="3">
        <v>1549.4255697526344</v>
      </c>
      <c r="H102" s="9"/>
      <c r="I102" s="9"/>
      <c r="J102" s="2"/>
      <c r="L102" s="9"/>
    </row>
    <row r="103" spans="1:12" x14ac:dyDescent="0.25">
      <c r="A103" s="9" t="s">
        <v>10</v>
      </c>
      <c r="B103" s="9" t="s">
        <v>28</v>
      </c>
      <c r="C103" s="9" t="s">
        <v>20</v>
      </c>
      <c r="D103" s="9" t="s">
        <v>15</v>
      </c>
      <c r="E103" s="9">
        <v>2015</v>
      </c>
      <c r="F103" s="32">
        <v>2073.3109411661417</v>
      </c>
      <c r="G103" s="3">
        <v>2196.5392433342527</v>
      </c>
      <c r="H103" s="9"/>
      <c r="I103" s="9"/>
      <c r="J103" s="2"/>
      <c r="L103" s="9"/>
    </row>
    <row r="104" spans="1:12" x14ac:dyDescent="0.25">
      <c r="A104" s="9" t="s">
        <v>21</v>
      </c>
      <c r="B104" s="9" t="s">
        <v>11</v>
      </c>
      <c r="C104" s="9" t="s">
        <v>11</v>
      </c>
      <c r="D104" s="9" t="s">
        <v>11</v>
      </c>
      <c r="E104" s="9">
        <v>2015</v>
      </c>
      <c r="F104" s="32">
        <v>1984</v>
      </c>
      <c r="G104" s="11"/>
      <c r="H104" s="9"/>
      <c r="I104" s="9"/>
      <c r="J104" s="2"/>
      <c r="L104" s="9"/>
    </row>
    <row r="105" spans="1:12" x14ac:dyDescent="0.25">
      <c r="A105" s="9" t="s">
        <v>21</v>
      </c>
      <c r="B105" s="9" t="s">
        <v>11</v>
      </c>
      <c r="C105" s="9" t="s">
        <v>19</v>
      </c>
      <c r="D105" s="9" t="s">
        <v>11</v>
      </c>
      <c r="E105" s="9">
        <v>2015</v>
      </c>
      <c r="F105" s="32">
        <v>444.92673267326734</v>
      </c>
      <c r="G105" s="11"/>
      <c r="H105" s="9"/>
      <c r="I105" s="9"/>
      <c r="J105" s="2"/>
      <c r="L105" s="9"/>
    </row>
    <row r="106" spans="1:12" x14ac:dyDescent="0.25">
      <c r="A106" s="9" t="s">
        <v>21</v>
      </c>
      <c r="B106" s="9" t="s">
        <v>24</v>
      </c>
      <c r="C106" s="9" t="s">
        <v>11</v>
      </c>
      <c r="D106" s="9" t="s">
        <v>11</v>
      </c>
      <c r="E106" s="9">
        <v>2015</v>
      </c>
      <c r="F106" s="32">
        <v>1667.7386138613861</v>
      </c>
      <c r="G106" s="11"/>
      <c r="H106" s="9"/>
      <c r="I106" s="9"/>
      <c r="J106" s="2"/>
      <c r="L106" s="9"/>
    </row>
    <row r="107" spans="1:12" x14ac:dyDescent="0.25">
      <c r="A107" s="9" t="s">
        <v>22</v>
      </c>
      <c r="B107" s="9" t="s">
        <v>11</v>
      </c>
      <c r="C107" s="9" t="s">
        <v>11</v>
      </c>
      <c r="D107" s="9" t="s">
        <v>11</v>
      </c>
      <c r="E107" s="9">
        <v>2015</v>
      </c>
      <c r="F107" s="32">
        <v>473</v>
      </c>
      <c r="G107" s="11"/>
      <c r="H107" s="9"/>
      <c r="I107" s="9"/>
      <c r="J107" s="2"/>
      <c r="L107" s="9"/>
    </row>
    <row r="108" spans="1:12" x14ac:dyDescent="0.25">
      <c r="A108" s="9" t="s">
        <v>22</v>
      </c>
      <c r="B108" s="9" t="s">
        <v>11</v>
      </c>
      <c r="C108" s="9" t="s">
        <v>19</v>
      </c>
      <c r="D108" s="9" t="s">
        <v>11</v>
      </c>
      <c r="E108" s="9">
        <v>2015</v>
      </c>
      <c r="F108" s="32">
        <v>140.59816513761467</v>
      </c>
      <c r="G108" s="11"/>
      <c r="H108" s="9"/>
      <c r="I108" s="9"/>
      <c r="J108" s="2"/>
      <c r="L108" s="9"/>
    </row>
    <row r="109" spans="1:12" x14ac:dyDescent="0.25">
      <c r="A109" s="9" t="s">
        <v>22</v>
      </c>
      <c r="B109" s="9" t="s">
        <v>24</v>
      </c>
      <c r="C109" s="9" t="s">
        <v>11</v>
      </c>
      <c r="D109" s="9" t="s">
        <v>11</v>
      </c>
      <c r="E109" s="9">
        <v>2015</v>
      </c>
      <c r="F109" s="32">
        <v>313.30825688073395</v>
      </c>
      <c r="G109" s="11"/>
      <c r="H109" s="9"/>
      <c r="I109" s="9"/>
      <c r="J109" s="2"/>
      <c r="L109" s="9"/>
    </row>
    <row r="110" spans="1:12" x14ac:dyDescent="0.25">
      <c r="J110" s="2"/>
      <c r="L110" s="9"/>
    </row>
    <row r="111" spans="1:12" x14ac:dyDescent="0.25">
      <c r="J111" s="2"/>
      <c r="L111" s="9"/>
    </row>
    <row r="112" spans="1:12" x14ac:dyDescent="0.25">
      <c r="J112" s="2"/>
      <c r="L112" s="9"/>
    </row>
    <row r="113" spans="1:12" x14ac:dyDescent="0.25">
      <c r="J113" s="2"/>
      <c r="L113" s="9"/>
    </row>
    <row r="114" spans="1:12" x14ac:dyDescent="0.25">
      <c r="J114" s="2"/>
      <c r="L114" s="9"/>
    </row>
    <row r="115" spans="1:12" x14ac:dyDescent="0.25">
      <c r="J115" s="2"/>
      <c r="L115" s="9"/>
    </row>
    <row r="116" spans="1:12" x14ac:dyDescent="0.25">
      <c r="J116" s="2"/>
      <c r="L116" s="9"/>
    </row>
    <row r="117" spans="1:12" x14ac:dyDescent="0.25">
      <c r="J117" s="2"/>
      <c r="L117" s="9"/>
    </row>
    <row r="118" spans="1:12" x14ac:dyDescent="0.25">
      <c r="B118" s="21"/>
      <c r="C118" s="21"/>
      <c r="D118" s="21"/>
      <c r="E118" s="21"/>
      <c r="F118" s="21"/>
      <c r="G118" s="36"/>
      <c r="H118" s="21"/>
      <c r="I118" s="21"/>
      <c r="J118" s="2"/>
      <c r="L118" s="9"/>
    </row>
    <row r="119" spans="1:12" x14ac:dyDescent="0.25">
      <c r="A119" s="21"/>
      <c r="B119" s="1"/>
      <c r="D119" s="1"/>
      <c r="E119" s="1"/>
      <c r="F119" s="1"/>
      <c r="G119" s="2"/>
      <c r="H119" s="1"/>
      <c r="I119" s="1"/>
      <c r="J119" s="2"/>
      <c r="L119" s="9"/>
    </row>
    <row r="120" spans="1:12" x14ac:dyDescent="0.25">
      <c r="A120" s="21"/>
      <c r="B120" s="1"/>
      <c r="D120" s="1"/>
      <c r="E120" s="1"/>
      <c r="F120" s="1"/>
      <c r="G120" s="2"/>
      <c r="H120" s="1"/>
      <c r="I120" s="1"/>
      <c r="J120" s="2"/>
      <c r="L120" s="9"/>
    </row>
    <row r="121" spans="1:12" x14ac:dyDescent="0.25">
      <c r="A121" s="21"/>
      <c r="B121" s="1"/>
      <c r="D121" s="1"/>
      <c r="E121" s="1"/>
      <c r="F121" s="1"/>
      <c r="G121" s="2"/>
      <c r="H121" s="1"/>
      <c r="I121" s="1"/>
      <c r="J121" s="2"/>
      <c r="L121" s="9"/>
    </row>
    <row r="122" spans="1:12" x14ac:dyDescent="0.25">
      <c r="A122" s="21"/>
      <c r="B122" s="1"/>
      <c r="D122" s="1"/>
      <c r="E122" s="1"/>
      <c r="F122" s="1"/>
      <c r="G122" s="2"/>
      <c r="H122" s="1"/>
      <c r="I122" s="1"/>
      <c r="J122" s="2"/>
      <c r="L122" s="9"/>
    </row>
    <row r="123" spans="1:12" x14ac:dyDescent="0.25">
      <c r="A123" s="21"/>
      <c r="B123" s="1"/>
      <c r="D123" s="1"/>
      <c r="E123" s="1"/>
      <c r="F123" s="1"/>
      <c r="G123" s="2"/>
      <c r="H123" s="1"/>
      <c r="I123" s="1"/>
      <c r="J123" s="2"/>
      <c r="L123" s="9"/>
    </row>
    <row r="124" spans="1:12" x14ac:dyDescent="0.25">
      <c r="A124" s="21"/>
      <c r="B124" s="1"/>
      <c r="D124" s="1"/>
      <c r="E124" s="1"/>
      <c r="F124" s="1"/>
      <c r="G124" s="2"/>
      <c r="H124" s="1"/>
      <c r="I124" s="1"/>
      <c r="J124" s="2"/>
    </row>
    <row r="125" spans="1:12" x14ac:dyDescent="0.25">
      <c r="A125" s="21"/>
      <c r="B125" s="1"/>
      <c r="D125" s="1"/>
      <c r="E125" s="1"/>
      <c r="F125" s="1"/>
      <c r="G125" s="2"/>
      <c r="H125" s="1"/>
      <c r="I125" s="1"/>
      <c r="J125" s="2"/>
    </row>
    <row r="126" spans="1:12" x14ac:dyDescent="0.25">
      <c r="A126" s="21"/>
      <c r="B126" s="1"/>
      <c r="D126" s="1"/>
      <c r="E126" s="1"/>
      <c r="F126" s="1"/>
      <c r="G126" s="2"/>
      <c r="H126" s="1"/>
      <c r="I126" s="1"/>
      <c r="J126" s="3"/>
    </row>
    <row r="127" spans="1:12" x14ac:dyDescent="0.25">
      <c r="A127" s="21"/>
      <c r="B127" s="1"/>
      <c r="D127" s="1"/>
      <c r="E127" s="1"/>
      <c r="F127" s="1"/>
      <c r="G127" s="2"/>
      <c r="H127" s="1"/>
      <c r="I127" s="1"/>
      <c r="J127" s="3"/>
    </row>
    <row r="128" spans="1:12" x14ac:dyDescent="0.25">
      <c r="A128" s="21"/>
      <c r="B128" s="1"/>
      <c r="D128" s="1"/>
      <c r="E128" s="1"/>
      <c r="F128" s="1"/>
      <c r="G128" s="2"/>
      <c r="H128" s="1"/>
      <c r="I128" s="1"/>
      <c r="J128" s="2"/>
    </row>
    <row r="129" spans="1:10" x14ac:dyDescent="0.25">
      <c r="A129" s="21"/>
      <c r="B129" s="1"/>
      <c r="D129" s="1"/>
      <c r="E129" s="1"/>
      <c r="F129" s="1"/>
      <c r="G129" s="2"/>
      <c r="H129" s="1"/>
      <c r="I129" s="1"/>
      <c r="J129" s="2"/>
    </row>
    <row r="130" spans="1:10" x14ac:dyDescent="0.25">
      <c r="A130" s="21"/>
      <c r="B130" s="1"/>
      <c r="D130" s="1"/>
      <c r="J130" s="2"/>
    </row>
    <row r="131" spans="1:10" x14ac:dyDescent="0.25">
      <c r="A131" s="21"/>
      <c r="B131" s="1"/>
      <c r="D131" s="1"/>
      <c r="J131" s="2"/>
    </row>
    <row r="132" spans="1:10" x14ac:dyDescent="0.25">
      <c r="A132" s="21"/>
      <c r="B132" s="1"/>
      <c r="D132" s="1"/>
      <c r="J132" s="2"/>
    </row>
    <row r="133" spans="1:10" x14ac:dyDescent="0.25">
      <c r="A133" s="21"/>
      <c r="B133" s="1"/>
      <c r="D133" s="1"/>
      <c r="J133" s="2"/>
    </row>
    <row r="134" spans="1:10" x14ac:dyDescent="0.25">
      <c r="A134" s="21"/>
      <c r="B134" s="1"/>
      <c r="D134" s="1"/>
      <c r="J134" s="2"/>
    </row>
    <row r="135" spans="1:10" x14ac:dyDescent="0.25">
      <c r="A135" s="21"/>
      <c r="B135" s="1"/>
      <c r="D135" s="1"/>
      <c r="J135" s="4"/>
    </row>
    <row r="136" spans="1:10" x14ac:dyDescent="0.25">
      <c r="A136" s="21"/>
      <c r="J136" s="2"/>
    </row>
    <row r="137" spans="1:10" x14ac:dyDescent="0.25">
      <c r="A137" s="21"/>
      <c r="J137" s="2"/>
    </row>
    <row r="138" spans="1:10" x14ac:dyDescent="0.25">
      <c r="A138" s="21"/>
    </row>
    <row r="408" spans="1:14" ht="15.75" thickBot="1" x14ac:dyDescent="0.3">
      <c r="A408" s="6"/>
      <c r="B408" s="6"/>
      <c r="C408" s="6"/>
      <c r="D408" s="6"/>
      <c r="E408" s="6"/>
      <c r="F408" s="6"/>
      <c r="G408" s="34"/>
      <c r="H408" s="6"/>
      <c r="I408" s="6"/>
      <c r="J408" s="6"/>
      <c r="K408" s="6"/>
      <c r="L408" s="6"/>
      <c r="M408" s="6"/>
      <c r="N408" s="6"/>
    </row>
    <row r="409" spans="1:14" x14ac:dyDescent="0.25">
      <c r="A409" s="9"/>
      <c r="B409" s="9"/>
      <c r="C409" s="9"/>
      <c r="D409" s="9"/>
      <c r="E409" s="9"/>
      <c r="F409" s="9"/>
      <c r="G409" s="11"/>
      <c r="H409" s="9"/>
      <c r="I409" s="9"/>
      <c r="J409" s="9"/>
      <c r="K409" s="9"/>
      <c r="L409" s="9"/>
      <c r="M409" s="9"/>
      <c r="N409" s="9"/>
    </row>
    <row r="410" spans="1:14" x14ac:dyDescent="0.25">
      <c r="A410" s="9" t="s">
        <v>10</v>
      </c>
      <c r="B410" s="9" t="s">
        <v>24</v>
      </c>
      <c r="C410" s="9" t="s">
        <v>11</v>
      </c>
      <c r="D410" s="9" t="s">
        <v>12</v>
      </c>
      <c r="E410" s="9">
        <v>2012</v>
      </c>
      <c r="F410" s="9"/>
      <c r="G410" s="11"/>
      <c r="H410" s="9"/>
      <c r="I410" s="9"/>
      <c r="J410" s="9"/>
      <c r="K410" s="9" t="s">
        <v>12</v>
      </c>
      <c r="L410" s="9" t="s">
        <v>24</v>
      </c>
      <c r="M410" s="9" t="s">
        <v>31</v>
      </c>
      <c r="N410" s="9"/>
    </row>
    <row r="411" spans="1:14" x14ac:dyDescent="0.25">
      <c r="A411" s="9" t="s">
        <v>10</v>
      </c>
      <c r="B411" s="9" t="s">
        <v>26</v>
      </c>
      <c r="C411" s="9" t="s">
        <v>11</v>
      </c>
      <c r="D411" s="9" t="s">
        <v>12</v>
      </c>
      <c r="E411" s="9">
        <v>2012</v>
      </c>
      <c r="F411" s="9"/>
      <c r="G411" s="11"/>
      <c r="H411" s="9"/>
      <c r="I411" s="9"/>
      <c r="J411" s="9"/>
      <c r="K411" s="9"/>
      <c r="L411" s="9"/>
      <c r="M411" s="9" t="s">
        <v>19</v>
      </c>
      <c r="N411" s="9"/>
    </row>
    <row r="412" spans="1:14" x14ac:dyDescent="0.25">
      <c r="A412" s="9" t="s">
        <v>10</v>
      </c>
      <c r="B412" s="9" t="s">
        <v>27</v>
      </c>
      <c r="C412" s="9" t="s">
        <v>11</v>
      </c>
      <c r="D412" s="9" t="s">
        <v>12</v>
      </c>
      <c r="E412" s="9">
        <v>2012</v>
      </c>
      <c r="F412" s="9"/>
      <c r="G412" s="11"/>
      <c r="H412" s="9"/>
      <c r="I412" s="9"/>
      <c r="J412" s="9"/>
      <c r="K412" s="9"/>
      <c r="L412" s="9"/>
      <c r="M412" s="9" t="s">
        <v>20</v>
      </c>
      <c r="N412" s="9"/>
    </row>
    <row r="413" spans="1:14" x14ac:dyDescent="0.25">
      <c r="A413" s="9" t="s">
        <v>10</v>
      </c>
      <c r="B413" s="9" t="s">
        <v>28</v>
      </c>
      <c r="C413" s="9" t="s">
        <v>11</v>
      </c>
      <c r="D413" s="9" t="s">
        <v>12</v>
      </c>
      <c r="E413" s="9">
        <v>2012</v>
      </c>
      <c r="F413" s="9"/>
      <c r="G413" s="11"/>
      <c r="H413" s="9"/>
      <c r="I413" s="9"/>
      <c r="J413" s="9"/>
      <c r="K413" s="9"/>
      <c r="L413" s="9" t="s">
        <v>26</v>
      </c>
      <c r="M413" s="9" t="s">
        <v>31</v>
      </c>
      <c r="N413" s="9"/>
    </row>
    <row r="414" spans="1:14" x14ac:dyDescent="0.25">
      <c r="A414" s="9" t="s">
        <v>10</v>
      </c>
      <c r="B414" s="9" t="s">
        <v>29</v>
      </c>
      <c r="C414" s="9" t="s">
        <v>11</v>
      </c>
      <c r="D414" s="9" t="s">
        <v>12</v>
      </c>
      <c r="E414" s="9">
        <v>2012</v>
      </c>
      <c r="F414" s="9"/>
      <c r="G414" s="11"/>
      <c r="H414" s="9"/>
      <c r="I414" s="9"/>
      <c r="J414" s="9"/>
      <c r="K414" s="9"/>
      <c r="L414" s="9"/>
      <c r="M414" s="9" t="s">
        <v>19</v>
      </c>
      <c r="N414" s="9"/>
    </row>
    <row r="415" spans="1:14" x14ac:dyDescent="0.25">
      <c r="A415" s="9" t="s">
        <v>10</v>
      </c>
      <c r="B415" s="9" t="s">
        <v>30</v>
      </c>
      <c r="C415" s="9" t="s">
        <v>11</v>
      </c>
      <c r="D415" s="9" t="s">
        <v>12</v>
      </c>
      <c r="E415" s="9">
        <v>2012</v>
      </c>
      <c r="F415" s="9"/>
      <c r="G415" s="11"/>
      <c r="H415" s="9"/>
      <c r="I415" s="9"/>
      <c r="J415" s="9"/>
      <c r="K415" s="9"/>
      <c r="L415" s="9"/>
      <c r="M415" s="9" t="s">
        <v>20</v>
      </c>
      <c r="N415" s="9"/>
    </row>
    <row r="416" spans="1:14" x14ac:dyDescent="0.25">
      <c r="A416" s="9" t="s">
        <v>10</v>
      </c>
      <c r="B416" s="9" t="s">
        <v>26</v>
      </c>
      <c r="C416" s="9" t="s">
        <v>11</v>
      </c>
      <c r="D416" s="9" t="s">
        <v>15</v>
      </c>
      <c r="E416" s="9">
        <v>2012</v>
      </c>
      <c r="F416" s="9"/>
      <c r="G416" s="11"/>
      <c r="H416" s="9"/>
      <c r="I416" s="9"/>
      <c r="J416" s="9"/>
      <c r="K416" s="9"/>
      <c r="L416" s="9" t="s">
        <v>27</v>
      </c>
      <c r="M416" s="9" t="s">
        <v>31</v>
      </c>
      <c r="N416" s="9"/>
    </row>
    <row r="417" spans="1:14" x14ac:dyDescent="0.25">
      <c r="A417" s="9" t="s">
        <v>10</v>
      </c>
      <c r="B417" s="9" t="s">
        <v>28</v>
      </c>
      <c r="C417" s="9" t="s">
        <v>11</v>
      </c>
      <c r="D417" s="9" t="s">
        <v>15</v>
      </c>
      <c r="E417" s="9">
        <v>2012</v>
      </c>
      <c r="F417" s="9"/>
      <c r="G417" s="11"/>
      <c r="H417" s="9"/>
      <c r="I417" s="9"/>
      <c r="J417" s="9"/>
      <c r="K417" s="9"/>
      <c r="L417" s="9"/>
      <c r="M417" s="9" t="s">
        <v>19</v>
      </c>
      <c r="N417" s="9"/>
    </row>
    <row r="418" spans="1:14" x14ac:dyDescent="0.25">
      <c r="A418" s="9" t="s">
        <v>10</v>
      </c>
      <c r="B418" s="9" t="s">
        <v>29</v>
      </c>
      <c r="C418" s="9" t="s">
        <v>11</v>
      </c>
      <c r="D418" s="9" t="s">
        <v>15</v>
      </c>
      <c r="E418" s="9">
        <v>2012</v>
      </c>
      <c r="F418" s="9"/>
      <c r="G418" s="11"/>
      <c r="H418" s="9"/>
      <c r="I418" s="9"/>
      <c r="J418" s="9"/>
      <c r="K418" s="9"/>
      <c r="L418" s="9"/>
      <c r="M418" s="9" t="s">
        <v>20</v>
      </c>
      <c r="N418" s="9"/>
    </row>
    <row r="419" spans="1:14" x14ac:dyDescent="0.25">
      <c r="A419" s="9" t="s">
        <v>10</v>
      </c>
      <c r="B419" s="9" t="s">
        <v>30</v>
      </c>
      <c r="C419" s="9" t="s">
        <v>11</v>
      </c>
      <c r="D419" s="9" t="s">
        <v>15</v>
      </c>
      <c r="E419" s="9">
        <v>2012</v>
      </c>
      <c r="F419" s="9"/>
      <c r="G419" s="11"/>
      <c r="H419" s="9"/>
      <c r="I419" s="9"/>
      <c r="J419" s="9"/>
      <c r="K419" s="9"/>
      <c r="L419" s="9" t="s">
        <v>28</v>
      </c>
      <c r="M419" s="9" t="s">
        <v>31</v>
      </c>
      <c r="N419" s="9"/>
    </row>
    <row r="420" spans="1:14" x14ac:dyDescent="0.25">
      <c r="A420" s="9"/>
      <c r="B420" s="9"/>
      <c r="C420" s="9"/>
      <c r="D420" s="9"/>
      <c r="E420" s="9"/>
      <c r="F420" s="9"/>
      <c r="G420" s="11"/>
      <c r="H420" s="9"/>
      <c r="I420" s="9"/>
      <c r="J420" s="9"/>
      <c r="K420" s="9"/>
      <c r="L420" s="9"/>
      <c r="M420" s="9" t="s">
        <v>19</v>
      </c>
      <c r="N420" s="9"/>
    </row>
    <row r="421" spans="1:14" x14ac:dyDescent="0.25">
      <c r="A421" s="9" t="s">
        <v>10</v>
      </c>
      <c r="B421" s="9" t="s">
        <v>24</v>
      </c>
      <c r="C421" s="9" t="s">
        <v>31</v>
      </c>
      <c r="D421" s="9" t="s">
        <v>12</v>
      </c>
      <c r="E421" s="9">
        <v>2012</v>
      </c>
      <c r="F421" s="9"/>
      <c r="G421" s="11"/>
      <c r="H421" s="9"/>
      <c r="I421" s="9"/>
      <c r="J421" s="9"/>
      <c r="K421" s="9"/>
      <c r="L421" s="9"/>
      <c r="M421" s="9" t="s">
        <v>20</v>
      </c>
      <c r="N421" s="9"/>
    </row>
    <row r="422" spans="1:14" x14ac:dyDescent="0.25">
      <c r="A422" s="9" t="s">
        <v>10</v>
      </c>
      <c r="B422" s="9" t="s">
        <v>26</v>
      </c>
      <c r="C422" s="9" t="s">
        <v>31</v>
      </c>
      <c r="D422" s="9" t="s">
        <v>12</v>
      </c>
      <c r="E422" s="9">
        <v>2012</v>
      </c>
      <c r="F422" s="9"/>
      <c r="G422" s="11"/>
      <c r="H422" s="9"/>
      <c r="I422" s="9"/>
      <c r="J422" s="9"/>
      <c r="K422" s="9" t="s">
        <v>15</v>
      </c>
      <c r="L422" s="9" t="s">
        <v>26</v>
      </c>
      <c r="M422" s="9" t="s">
        <v>31</v>
      </c>
      <c r="N422" s="9"/>
    </row>
    <row r="423" spans="1:14" x14ac:dyDescent="0.25">
      <c r="A423" s="9" t="s">
        <v>10</v>
      </c>
      <c r="B423" s="9" t="s">
        <v>27</v>
      </c>
      <c r="C423" s="9" t="s">
        <v>31</v>
      </c>
      <c r="D423" s="9" t="s">
        <v>12</v>
      </c>
      <c r="E423" s="9">
        <v>2012</v>
      </c>
      <c r="F423" s="9"/>
      <c r="G423" s="11"/>
      <c r="H423" s="9"/>
      <c r="I423" s="9"/>
      <c r="J423" s="9"/>
      <c r="K423" s="9"/>
      <c r="L423" s="9"/>
      <c r="M423" s="9" t="s">
        <v>19</v>
      </c>
      <c r="N423" s="9"/>
    </row>
    <row r="424" spans="1:14" x14ac:dyDescent="0.25">
      <c r="A424" s="9" t="s">
        <v>10</v>
      </c>
      <c r="B424" s="9" t="s">
        <v>28</v>
      </c>
      <c r="C424" s="9" t="s">
        <v>31</v>
      </c>
      <c r="D424" s="9" t="s">
        <v>12</v>
      </c>
      <c r="E424" s="9">
        <v>2012</v>
      </c>
      <c r="F424" s="9"/>
      <c r="G424" s="11"/>
      <c r="H424" s="9"/>
      <c r="I424" s="9"/>
      <c r="J424" s="9"/>
      <c r="K424" s="9"/>
      <c r="L424" s="9"/>
      <c r="M424" s="9" t="s">
        <v>20</v>
      </c>
      <c r="N424" s="9"/>
    </row>
    <row r="425" spans="1:14" x14ac:dyDescent="0.25">
      <c r="A425" s="9" t="s">
        <v>10</v>
      </c>
      <c r="B425" s="9" t="s">
        <v>29</v>
      </c>
      <c r="C425" s="9" t="s">
        <v>31</v>
      </c>
      <c r="D425" s="9" t="s">
        <v>12</v>
      </c>
      <c r="E425" s="9">
        <v>2012</v>
      </c>
      <c r="F425" s="9"/>
      <c r="G425" s="11"/>
      <c r="H425" s="9"/>
      <c r="I425" s="9"/>
      <c r="J425" s="9"/>
      <c r="K425" s="9"/>
      <c r="L425" s="9" t="s">
        <v>28</v>
      </c>
      <c r="M425" s="9" t="s">
        <v>31</v>
      </c>
      <c r="N425" s="9"/>
    </row>
    <row r="426" spans="1:14" x14ac:dyDescent="0.25">
      <c r="A426" s="9" t="s">
        <v>10</v>
      </c>
      <c r="B426" s="9" t="s">
        <v>30</v>
      </c>
      <c r="C426" s="9" t="s">
        <v>31</v>
      </c>
      <c r="D426" s="9" t="s">
        <v>12</v>
      </c>
      <c r="E426" s="9">
        <v>2012</v>
      </c>
      <c r="F426" s="9"/>
      <c r="G426" s="11"/>
      <c r="H426" s="9"/>
      <c r="I426" s="9"/>
      <c r="J426" s="9"/>
      <c r="K426" s="9"/>
      <c r="L426" s="9"/>
      <c r="M426" s="9" t="s">
        <v>19</v>
      </c>
      <c r="N426" s="9"/>
    </row>
    <row r="427" spans="1:14" x14ac:dyDescent="0.25">
      <c r="A427" s="9" t="s">
        <v>10</v>
      </c>
      <c r="B427" s="9" t="s">
        <v>26</v>
      </c>
      <c r="C427" s="9" t="s">
        <v>31</v>
      </c>
      <c r="D427" s="9" t="s">
        <v>15</v>
      </c>
      <c r="E427" s="9">
        <v>2012</v>
      </c>
      <c r="F427" s="9"/>
      <c r="G427" s="11"/>
      <c r="H427" s="9"/>
      <c r="I427" s="9"/>
      <c r="J427" s="9"/>
      <c r="K427" s="9"/>
      <c r="L427" s="9"/>
      <c r="M427" s="9" t="s">
        <v>20</v>
      </c>
      <c r="N427" s="9"/>
    </row>
    <row r="428" spans="1:14" x14ac:dyDescent="0.25">
      <c r="A428" s="9" t="s">
        <v>10</v>
      </c>
      <c r="B428" s="9" t="s">
        <v>28</v>
      </c>
      <c r="C428" s="9" t="s">
        <v>31</v>
      </c>
      <c r="D428" s="9" t="s">
        <v>15</v>
      </c>
      <c r="E428" s="9">
        <v>2012</v>
      </c>
      <c r="F428" s="9"/>
      <c r="G428" s="11"/>
      <c r="H428" s="9"/>
      <c r="I428" s="9"/>
      <c r="J428" s="9"/>
      <c r="K428" s="9"/>
      <c r="L428" s="9"/>
      <c r="M428" s="9"/>
      <c r="N428" s="9"/>
    </row>
    <row r="429" spans="1:14" x14ac:dyDescent="0.25">
      <c r="A429" s="9" t="s">
        <v>10</v>
      </c>
      <c r="B429" s="9" t="s">
        <v>29</v>
      </c>
      <c r="C429" s="9" t="s">
        <v>31</v>
      </c>
      <c r="D429" s="9" t="s">
        <v>15</v>
      </c>
      <c r="E429" s="9">
        <v>2012</v>
      </c>
      <c r="F429" s="9"/>
      <c r="G429" s="11"/>
      <c r="H429" s="9"/>
      <c r="I429" s="9"/>
      <c r="J429" s="9"/>
      <c r="K429" s="9"/>
      <c r="L429" s="9"/>
      <c r="M429" s="9"/>
      <c r="N429" s="9"/>
    </row>
    <row r="430" spans="1:14" x14ac:dyDescent="0.25">
      <c r="A430" s="9" t="s">
        <v>10</v>
      </c>
      <c r="B430" s="9" t="s">
        <v>30</v>
      </c>
      <c r="C430" s="9" t="s">
        <v>31</v>
      </c>
      <c r="D430" s="9" t="s">
        <v>15</v>
      </c>
      <c r="E430" s="9">
        <v>2012</v>
      </c>
      <c r="F430" s="9"/>
      <c r="G430" s="11"/>
      <c r="H430" s="9"/>
      <c r="I430" s="9"/>
      <c r="J430" s="9"/>
      <c r="K430" s="9"/>
      <c r="L430" s="9"/>
      <c r="M430" s="9"/>
      <c r="N430" s="9"/>
    </row>
    <row r="431" spans="1:14" x14ac:dyDescent="0.25">
      <c r="A431" s="9"/>
      <c r="B431" s="9"/>
      <c r="C431" s="9"/>
      <c r="D431" s="9"/>
      <c r="E431" s="9"/>
      <c r="F431" s="9"/>
      <c r="G431" s="11"/>
      <c r="H431" s="9"/>
      <c r="I431" s="9"/>
      <c r="J431" s="9"/>
      <c r="K431" s="9"/>
      <c r="L431" s="9"/>
      <c r="M431" s="9"/>
      <c r="N431" s="9"/>
    </row>
    <row r="432" spans="1:14" x14ac:dyDescent="0.25">
      <c r="A432" s="9" t="s">
        <v>10</v>
      </c>
      <c r="B432" s="9" t="s">
        <v>24</v>
      </c>
      <c r="C432" s="9" t="s">
        <v>19</v>
      </c>
      <c r="D432" s="9" t="s">
        <v>12</v>
      </c>
      <c r="E432" s="9">
        <v>2012</v>
      </c>
      <c r="F432" s="9"/>
      <c r="G432" s="11"/>
      <c r="H432" s="9"/>
      <c r="I432" s="9"/>
      <c r="J432" s="9"/>
      <c r="K432" s="9"/>
      <c r="L432" s="9"/>
      <c r="M432" s="9"/>
      <c r="N432" s="9"/>
    </row>
    <row r="433" spans="1:14" x14ac:dyDescent="0.25">
      <c r="A433" s="9" t="s">
        <v>10</v>
      </c>
      <c r="B433" s="9" t="s">
        <v>26</v>
      </c>
      <c r="C433" s="9" t="s">
        <v>19</v>
      </c>
      <c r="D433" s="9" t="s">
        <v>12</v>
      </c>
      <c r="E433" s="9">
        <v>2012</v>
      </c>
      <c r="F433" s="9"/>
      <c r="G433" s="11"/>
      <c r="H433" s="9"/>
      <c r="I433" s="9"/>
      <c r="J433" s="9"/>
      <c r="K433" s="9"/>
      <c r="L433" s="9"/>
      <c r="M433" s="9"/>
      <c r="N433" s="9"/>
    </row>
    <row r="434" spans="1:14" x14ac:dyDescent="0.25">
      <c r="A434" s="9" t="s">
        <v>10</v>
      </c>
      <c r="B434" s="9" t="s">
        <v>27</v>
      </c>
      <c r="C434" s="9" t="s">
        <v>19</v>
      </c>
      <c r="D434" s="9" t="s">
        <v>12</v>
      </c>
      <c r="E434" s="9">
        <v>2012</v>
      </c>
      <c r="F434" s="9"/>
      <c r="G434" s="11"/>
      <c r="H434" s="9"/>
      <c r="I434" s="9"/>
      <c r="J434" s="9"/>
      <c r="K434" s="9"/>
      <c r="L434" s="9"/>
      <c r="M434" s="9"/>
      <c r="N434" s="9"/>
    </row>
    <row r="435" spans="1:14" x14ac:dyDescent="0.25">
      <c r="A435" s="9" t="s">
        <v>10</v>
      </c>
      <c r="B435" s="9" t="s">
        <v>28</v>
      </c>
      <c r="C435" s="9" t="s">
        <v>19</v>
      </c>
      <c r="D435" s="9" t="s">
        <v>12</v>
      </c>
      <c r="E435" s="9">
        <v>2012</v>
      </c>
      <c r="F435" s="9"/>
      <c r="G435" s="11"/>
      <c r="H435" s="9"/>
      <c r="I435" s="9"/>
      <c r="J435" s="9"/>
      <c r="K435" s="9"/>
      <c r="L435" s="9"/>
      <c r="M435" s="9"/>
      <c r="N435" s="9"/>
    </row>
    <row r="436" spans="1:14" x14ac:dyDescent="0.25">
      <c r="A436" s="9" t="s">
        <v>10</v>
      </c>
      <c r="B436" s="9" t="s">
        <v>29</v>
      </c>
      <c r="C436" s="9" t="s">
        <v>19</v>
      </c>
      <c r="D436" s="9" t="s">
        <v>12</v>
      </c>
      <c r="E436" s="9">
        <v>2012</v>
      </c>
      <c r="F436" s="9"/>
      <c r="G436" s="11"/>
      <c r="H436" s="9"/>
      <c r="I436" s="9"/>
      <c r="J436" s="9"/>
      <c r="K436" s="9"/>
      <c r="L436" s="9"/>
      <c r="M436" s="9"/>
      <c r="N436" s="9"/>
    </row>
    <row r="437" spans="1:14" x14ac:dyDescent="0.25">
      <c r="A437" s="9" t="s">
        <v>10</v>
      </c>
      <c r="B437" s="9" t="s">
        <v>30</v>
      </c>
      <c r="C437" s="9" t="s">
        <v>19</v>
      </c>
      <c r="D437" s="9" t="s">
        <v>12</v>
      </c>
      <c r="E437" s="9">
        <v>2012</v>
      </c>
      <c r="F437" s="9"/>
      <c r="G437" s="11"/>
      <c r="H437" s="9"/>
      <c r="I437" s="9"/>
      <c r="J437" s="9"/>
      <c r="K437" s="9"/>
      <c r="L437" s="9"/>
      <c r="M437" s="9"/>
      <c r="N437" s="9"/>
    </row>
    <row r="438" spans="1:14" x14ac:dyDescent="0.25">
      <c r="A438" s="9" t="s">
        <v>10</v>
      </c>
      <c r="B438" s="9" t="s">
        <v>26</v>
      </c>
      <c r="C438" s="9" t="s">
        <v>19</v>
      </c>
      <c r="D438" s="9" t="s">
        <v>15</v>
      </c>
      <c r="E438" s="9">
        <v>2012</v>
      </c>
      <c r="F438" s="9"/>
      <c r="G438" s="11"/>
      <c r="H438" s="9"/>
      <c r="I438" s="9"/>
      <c r="J438" s="9"/>
      <c r="K438" s="9"/>
      <c r="L438" s="9"/>
      <c r="M438" s="9"/>
      <c r="N438" s="9"/>
    </row>
    <row r="439" spans="1:14" x14ac:dyDescent="0.25">
      <c r="A439" s="9" t="s">
        <v>10</v>
      </c>
      <c r="B439" s="9" t="s">
        <v>28</v>
      </c>
      <c r="C439" s="9" t="s">
        <v>19</v>
      </c>
      <c r="D439" s="9" t="s">
        <v>15</v>
      </c>
      <c r="E439" s="9">
        <v>2012</v>
      </c>
      <c r="F439" s="9"/>
      <c r="G439" s="11"/>
      <c r="H439" s="9"/>
      <c r="I439" s="9"/>
      <c r="J439" s="9"/>
      <c r="K439" s="9"/>
      <c r="L439" s="9"/>
      <c r="M439" s="9"/>
      <c r="N439" s="9"/>
    </row>
    <row r="440" spans="1:14" x14ac:dyDescent="0.25">
      <c r="A440" s="9" t="s">
        <v>10</v>
      </c>
      <c r="B440" s="9" t="s">
        <v>29</v>
      </c>
      <c r="C440" s="9" t="s">
        <v>19</v>
      </c>
      <c r="D440" s="9" t="s">
        <v>15</v>
      </c>
      <c r="E440" s="9">
        <v>2012</v>
      </c>
      <c r="F440" s="9"/>
      <c r="G440" s="11"/>
      <c r="H440" s="9"/>
      <c r="I440" s="9"/>
      <c r="J440" s="9"/>
      <c r="K440" s="9"/>
      <c r="L440" s="9"/>
      <c r="M440" s="9"/>
      <c r="N440" s="9"/>
    </row>
    <row r="441" spans="1:14" x14ac:dyDescent="0.25">
      <c r="A441" s="9" t="s">
        <v>10</v>
      </c>
      <c r="B441" s="9" t="s">
        <v>30</v>
      </c>
      <c r="C441" s="9" t="s">
        <v>19</v>
      </c>
      <c r="D441" s="9" t="s">
        <v>15</v>
      </c>
      <c r="E441" s="9">
        <v>2012</v>
      </c>
      <c r="F441" s="9"/>
      <c r="G441" s="11"/>
      <c r="H441" s="9"/>
      <c r="I441" s="9"/>
      <c r="J441" s="9"/>
      <c r="K441" s="9"/>
      <c r="L441" s="9"/>
      <c r="M441" s="9"/>
      <c r="N441" s="9"/>
    </row>
    <row r="442" spans="1:14" x14ac:dyDescent="0.25">
      <c r="A442" s="9"/>
      <c r="B442" s="9"/>
      <c r="C442" s="9"/>
      <c r="D442" s="9"/>
      <c r="E442" s="9"/>
      <c r="F442" s="9"/>
      <c r="G442" s="11"/>
      <c r="H442" s="9"/>
      <c r="I442" s="9"/>
      <c r="J442" s="9"/>
      <c r="K442" s="9"/>
      <c r="L442" s="9"/>
      <c r="M442" s="9"/>
      <c r="N442" s="9"/>
    </row>
    <row r="443" spans="1:14" x14ac:dyDescent="0.25">
      <c r="A443" s="9" t="s">
        <v>10</v>
      </c>
      <c r="B443" s="9" t="s">
        <v>24</v>
      </c>
      <c r="C443" s="9" t="s">
        <v>20</v>
      </c>
      <c r="D443" s="9" t="s">
        <v>12</v>
      </c>
      <c r="E443" s="9">
        <v>2012</v>
      </c>
      <c r="F443" s="9"/>
      <c r="G443" s="11"/>
      <c r="H443" s="9"/>
      <c r="I443" s="9"/>
      <c r="J443" s="9"/>
      <c r="K443" s="9"/>
      <c r="L443" s="9"/>
      <c r="M443" s="9"/>
      <c r="N443" s="9"/>
    </row>
    <row r="444" spans="1:14" x14ac:dyDescent="0.25">
      <c r="A444" s="9" t="s">
        <v>10</v>
      </c>
      <c r="B444" s="9" t="s">
        <v>26</v>
      </c>
      <c r="C444" s="9" t="s">
        <v>20</v>
      </c>
      <c r="D444" s="9" t="s">
        <v>12</v>
      </c>
      <c r="E444" s="9">
        <v>2012</v>
      </c>
      <c r="F444" s="9"/>
      <c r="G444" s="11"/>
      <c r="H444" s="9"/>
      <c r="I444" s="9"/>
      <c r="J444" s="9"/>
      <c r="K444" s="9"/>
      <c r="L444" s="9"/>
      <c r="M444" s="9"/>
      <c r="N444" s="9"/>
    </row>
    <row r="445" spans="1:14" x14ac:dyDescent="0.25">
      <c r="A445" s="9" t="s">
        <v>10</v>
      </c>
      <c r="B445" s="9" t="s">
        <v>27</v>
      </c>
      <c r="C445" s="9" t="s">
        <v>20</v>
      </c>
      <c r="D445" s="9" t="s">
        <v>12</v>
      </c>
      <c r="E445" s="9">
        <v>2012</v>
      </c>
      <c r="F445" s="9"/>
      <c r="G445" s="11"/>
      <c r="H445" s="9"/>
      <c r="I445" s="9"/>
      <c r="J445" s="9"/>
      <c r="K445" s="9"/>
      <c r="L445" s="9"/>
      <c r="M445" s="9"/>
      <c r="N445" s="9"/>
    </row>
    <row r="446" spans="1:14" x14ac:dyDescent="0.25">
      <c r="A446" s="9" t="s">
        <v>10</v>
      </c>
      <c r="B446" s="9" t="s">
        <v>28</v>
      </c>
      <c r="C446" s="9" t="s">
        <v>20</v>
      </c>
      <c r="D446" s="9" t="s">
        <v>12</v>
      </c>
      <c r="E446" s="9">
        <v>2012</v>
      </c>
      <c r="F446" s="9"/>
      <c r="G446" s="11"/>
      <c r="H446" s="9"/>
      <c r="I446" s="9"/>
      <c r="J446" s="9"/>
      <c r="K446" s="9"/>
      <c r="L446" s="9"/>
      <c r="M446" s="9"/>
      <c r="N446" s="9"/>
    </row>
    <row r="447" spans="1:14" x14ac:dyDescent="0.25">
      <c r="A447" s="9" t="s">
        <v>10</v>
      </c>
      <c r="B447" s="9" t="s">
        <v>29</v>
      </c>
      <c r="C447" s="9" t="s">
        <v>20</v>
      </c>
      <c r="D447" s="9" t="s">
        <v>12</v>
      </c>
      <c r="E447" s="9">
        <v>2012</v>
      </c>
      <c r="F447" s="9"/>
      <c r="G447" s="11"/>
      <c r="H447" s="9"/>
      <c r="I447" s="9"/>
      <c r="J447" s="9"/>
      <c r="K447" s="9"/>
      <c r="L447" s="9"/>
      <c r="M447" s="9"/>
      <c r="N447" s="9"/>
    </row>
    <row r="448" spans="1:14" x14ac:dyDescent="0.25">
      <c r="A448" s="9" t="s">
        <v>10</v>
      </c>
      <c r="B448" s="9" t="s">
        <v>30</v>
      </c>
      <c r="C448" s="9" t="s">
        <v>20</v>
      </c>
      <c r="D448" s="9" t="s">
        <v>12</v>
      </c>
      <c r="E448" s="9">
        <v>2012</v>
      </c>
      <c r="F448" s="9"/>
      <c r="G448" s="11"/>
      <c r="H448" s="9"/>
      <c r="I448" s="9"/>
      <c r="J448" s="9"/>
      <c r="K448" s="9"/>
      <c r="L448" s="9"/>
      <c r="M448" s="9"/>
      <c r="N448" s="9"/>
    </row>
    <row r="449" spans="1:14" x14ac:dyDescent="0.25">
      <c r="A449" s="9" t="s">
        <v>10</v>
      </c>
      <c r="B449" s="9" t="s">
        <v>26</v>
      </c>
      <c r="C449" s="9" t="s">
        <v>20</v>
      </c>
      <c r="D449" s="9" t="s">
        <v>15</v>
      </c>
      <c r="E449" s="9">
        <v>2012</v>
      </c>
      <c r="F449" s="9"/>
      <c r="G449" s="11"/>
      <c r="H449" s="9"/>
      <c r="I449" s="9"/>
      <c r="J449" s="9"/>
      <c r="K449" s="9"/>
      <c r="L449" s="9"/>
      <c r="M449" s="9"/>
      <c r="N449" s="9"/>
    </row>
    <row r="450" spans="1:14" x14ac:dyDescent="0.25">
      <c r="A450" s="9" t="s">
        <v>10</v>
      </c>
      <c r="B450" s="9" t="s">
        <v>28</v>
      </c>
      <c r="C450" s="9" t="s">
        <v>20</v>
      </c>
      <c r="D450" s="9" t="s">
        <v>15</v>
      </c>
      <c r="E450" s="9">
        <v>2012</v>
      </c>
      <c r="F450" s="9"/>
      <c r="G450" s="11"/>
      <c r="H450" s="9"/>
      <c r="I450" s="9"/>
      <c r="J450" s="9"/>
      <c r="K450" s="9"/>
      <c r="L450" s="9"/>
      <c r="M450" s="9"/>
      <c r="N450" s="9"/>
    </row>
    <row r="451" spans="1:14" x14ac:dyDescent="0.25">
      <c r="A451" s="9" t="s">
        <v>10</v>
      </c>
      <c r="B451" s="9" t="s">
        <v>29</v>
      </c>
      <c r="C451" s="9" t="s">
        <v>20</v>
      </c>
      <c r="D451" s="9" t="s">
        <v>15</v>
      </c>
      <c r="E451" s="9">
        <v>2012</v>
      </c>
      <c r="F451" s="9"/>
      <c r="G451" s="11"/>
      <c r="H451" s="9"/>
      <c r="I451" s="9"/>
      <c r="J451" s="9"/>
      <c r="K451" s="9"/>
      <c r="L451" s="9"/>
      <c r="M451" s="9"/>
      <c r="N451" s="9"/>
    </row>
    <row r="452" spans="1:14" x14ac:dyDescent="0.25">
      <c r="A452" s="9" t="s">
        <v>10</v>
      </c>
      <c r="B452" s="9" t="s">
        <v>30</v>
      </c>
      <c r="C452" s="9" t="s">
        <v>20</v>
      </c>
      <c r="D452" s="9" t="s">
        <v>15</v>
      </c>
      <c r="E452" s="9">
        <v>2012</v>
      </c>
      <c r="F452" s="9"/>
      <c r="G452" s="11"/>
      <c r="H452" s="9"/>
      <c r="I452" s="9"/>
      <c r="J452" s="9"/>
      <c r="K452" s="9"/>
      <c r="L452" s="9"/>
      <c r="M452" s="9"/>
      <c r="N452" s="9"/>
    </row>
    <row r="453" spans="1:14" x14ac:dyDescent="0.25">
      <c r="A453" s="9"/>
      <c r="B453" s="9"/>
      <c r="C453" s="9"/>
      <c r="D453" s="9"/>
      <c r="E453" s="9"/>
      <c r="F453" s="9"/>
      <c r="G453" s="11"/>
      <c r="H453" s="9"/>
      <c r="I453" s="9"/>
      <c r="J453" s="9"/>
      <c r="K453" s="9"/>
      <c r="L453" s="9"/>
      <c r="M453" s="9"/>
      <c r="N453" s="9"/>
    </row>
    <row r="454" spans="1:14" x14ac:dyDescent="0.25">
      <c r="A454" s="9"/>
      <c r="B454" s="9"/>
      <c r="C454" s="9"/>
      <c r="D454" s="9"/>
      <c r="E454" s="9"/>
      <c r="F454" s="9"/>
      <c r="G454" s="11"/>
      <c r="H454" s="9"/>
      <c r="I454" s="9"/>
      <c r="J454" s="9"/>
      <c r="K454" s="9"/>
      <c r="L454" s="9"/>
      <c r="M454" s="9"/>
      <c r="N454" s="9"/>
    </row>
    <row r="455" spans="1:14" x14ac:dyDescent="0.25">
      <c r="A455" s="9"/>
      <c r="B455" s="9"/>
      <c r="C455" s="9"/>
      <c r="D455" s="9"/>
      <c r="E455" s="9"/>
      <c r="F455" s="9"/>
      <c r="G455" s="11"/>
      <c r="H455" s="9"/>
      <c r="I455" s="9"/>
      <c r="J455" s="9"/>
      <c r="K455" s="9"/>
      <c r="L455" s="9"/>
      <c r="M455" s="9"/>
      <c r="N455" s="9"/>
    </row>
    <row r="456" spans="1:14" x14ac:dyDescent="0.25">
      <c r="A456" s="9" t="s">
        <v>21</v>
      </c>
      <c r="B456" s="9" t="s">
        <v>24</v>
      </c>
      <c r="C456" s="9" t="s">
        <v>11</v>
      </c>
      <c r="D456" s="9" t="s">
        <v>12</v>
      </c>
      <c r="E456" s="9">
        <v>2011</v>
      </c>
      <c r="F456" s="9"/>
      <c r="G456" s="11"/>
      <c r="H456" s="9"/>
      <c r="I456" s="9"/>
      <c r="J456" s="10"/>
      <c r="K456" s="9" t="s">
        <v>12</v>
      </c>
      <c r="L456" s="9" t="s">
        <v>31</v>
      </c>
      <c r="M456" s="9"/>
      <c r="N456" s="9"/>
    </row>
    <row r="457" spans="1:14" x14ac:dyDescent="0.25">
      <c r="A457" s="9" t="s">
        <v>21</v>
      </c>
      <c r="B457" s="9" t="s">
        <v>26</v>
      </c>
      <c r="C457" s="9" t="s">
        <v>11</v>
      </c>
      <c r="D457" s="9" t="s">
        <v>12</v>
      </c>
      <c r="E457" s="9">
        <v>2011</v>
      </c>
      <c r="F457" s="9"/>
      <c r="G457" s="11"/>
      <c r="H457" s="9"/>
      <c r="I457" s="9"/>
      <c r="J457" s="10"/>
      <c r="K457" s="9"/>
      <c r="L457" s="9" t="s">
        <v>19</v>
      </c>
      <c r="M457" s="9"/>
      <c r="N457" s="9"/>
    </row>
    <row r="458" spans="1:14" x14ac:dyDescent="0.25">
      <c r="A458" s="9" t="s">
        <v>21</v>
      </c>
      <c r="B458" s="9" t="s">
        <v>27</v>
      </c>
      <c r="C458" s="9" t="s">
        <v>11</v>
      </c>
      <c r="D458" s="9" t="s">
        <v>12</v>
      </c>
      <c r="E458" s="9">
        <v>2011</v>
      </c>
      <c r="F458" s="9"/>
      <c r="G458" s="11"/>
      <c r="H458" s="9"/>
      <c r="I458" s="9"/>
      <c r="J458" s="10"/>
      <c r="K458" s="9"/>
      <c r="L458" s="9" t="s">
        <v>20</v>
      </c>
      <c r="M458" s="9"/>
      <c r="N458" s="9"/>
    </row>
    <row r="459" spans="1:14" x14ac:dyDescent="0.25">
      <c r="A459" s="9" t="s">
        <v>21</v>
      </c>
      <c r="B459" s="9" t="s">
        <v>28</v>
      </c>
      <c r="C459" s="9" t="s">
        <v>11</v>
      </c>
      <c r="D459" s="9" t="s">
        <v>12</v>
      </c>
      <c r="E459" s="9">
        <v>2011</v>
      </c>
      <c r="F459" s="9"/>
      <c r="G459" s="11"/>
      <c r="H459" s="9"/>
      <c r="I459" s="9"/>
      <c r="J459" s="10"/>
      <c r="K459" s="9" t="s">
        <v>15</v>
      </c>
      <c r="L459" s="9" t="s">
        <v>31</v>
      </c>
      <c r="M459" s="9"/>
      <c r="N459" s="9"/>
    </row>
    <row r="460" spans="1:14" x14ac:dyDescent="0.25">
      <c r="A460" s="9" t="s">
        <v>21</v>
      </c>
      <c r="B460" s="9" t="s">
        <v>29</v>
      </c>
      <c r="C460" s="9" t="s">
        <v>11</v>
      </c>
      <c r="D460" s="9" t="s">
        <v>12</v>
      </c>
      <c r="E460" s="9">
        <v>2011</v>
      </c>
      <c r="F460" s="9"/>
      <c r="G460" s="11"/>
      <c r="H460" s="9"/>
      <c r="I460" s="9"/>
      <c r="J460" s="10"/>
      <c r="K460" s="9"/>
      <c r="L460" s="9" t="s">
        <v>19</v>
      </c>
      <c r="M460" s="9"/>
      <c r="N460" s="9"/>
    </row>
    <row r="461" spans="1:14" x14ac:dyDescent="0.25">
      <c r="A461" s="9" t="s">
        <v>21</v>
      </c>
      <c r="B461" s="9" t="s">
        <v>30</v>
      </c>
      <c r="C461" s="9" t="s">
        <v>11</v>
      </c>
      <c r="D461" s="9" t="s">
        <v>12</v>
      </c>
      <c r="E461" s="9">
        <v>2011</v>
      </c>
      <c r="F461" s="9"/>
      <c r="G461" s="11"/>
      <c r="H461" s="9"/>
      <c r="I461" s="9"/>
      <c r="J461" s="10"/>
      <c r="K461" s="9"/>
      <c r="L461" s="9" t="s">
        <v>20</v>
      </c>
      <c r="M461" s="9"/>
      <c r="N461" s="9"/>
    </row>
    <row r="462" spans="1:14" x14ac:dyDescent="0.25">
      <c r="A462" s="9" t="s">
        <v>21</v>
      </c>
      <c r="B462" s="9" t="s">
        <v>26</v>
      </c>
      <c r="C462" s="9" t="s">
        <v>11</v>
      </c>
      <c r="D462" s="9" t="s">
        <v>15</v>
      </c>
      <c r="E462" s="9">
        <v>2011</v>
      </c>
      <c r="F462" s="9"/>
      <c r="G462" s="11"/>
      <c r="H462" s="9"/>
      <c r="I462" s="9"/>
      <c r="J462" s="10"/>
      <c r="K462" s="9"/>
      <c r="L462" s="9"/>
      <c r="M462" s="9"/>
      <c r="N462" s="9"/>
    </row>
    <row r="463" spans="1:14" x14ac:dyDescent="0.25">
      <c r="A463" s="9" t="s">
        <v>21</v>
      </c>
      <c r="B463" s="9" t="s">
        <v>28</v>
      </c>
      <c r="C463" s="9" t="s">
        <v>11</v>
      </c>
      <c r="D463" s="9" t="s">
        <v>15</v>
      </c>
      <c r="E463" s="9">
        <v>2011</v>
      </c>
      <c r="F463" s="9"/>
      <c r="G463" s="11"/>
      <c r="H463" s="9"/>
      <c r="I463" s="9"/>
      <c r="J463" s="10"/>
      <c r="K463" s="9"/>
      <c r="L463" s="9"/>
      <c r="M463" s="9"/>
      <c r="N463" s="9"/>
    </row>
    <row r="464" spans="1:14" x14ac:dyDescent="0.25">
      <c r="A464" s="9" t="s">
        <v>21</v>
      </c>
      <c r="B464" s="9" t="s">
        <v>29</v>
      </c>
      <c r="C464" s="9" t="s">
        <v>11</v>
      </c>
      <c r="D464" s="9" t="s">
        <v>15</v>
      </c>
      <c r="E464" s="9">
        <v>2011</v>
      </c>
      <c r="F464" s="9"/>
      <c r="G464" s="11"/>
      <c r="H464" s="9"/>
      <c r="I464" s="9"/>
      <c r="J464" s="10"/>
      <c r="K464" s="9"/>
      <c r="L464" s="9"/>
      <c r="M464" s="9"/>
      <c r="N464" s="9"/>
    </row>
    <row r="465" spans="1:14" x14ac:dyDescent="0.25">
      <c r="A465" s="9" t="s">
        <v>21</v>
      </c>
      <c r="B465" s="9" t="s">
        <v>30</v>
      </c>
      <c r="C465" s="9" t="s">
        <v>11</v>
      </c>
      <c r="D465" s="9" t="s">
        <v>15</v>
      </c>
      <c r="E465" s="9">
        <v>2011</v>
      </c>
      <c r="F465" s="9"/>
      <c r="G465" s="11"/>
      <c r="H465" s="9"/>
      <c r="I465" s="9"/>
      <c r="J465" s="10"/>
      <c r="K465" s="9"/>
      <c r="L465" s="9"/>
      <c r="M465" s="9"/>
      <c r="N465" s="9"/>
    </row>
    <row r="466" spans="1:14" x14ac:dyDescent="0.25">
      <c r="A466" s="9"/>
      <c r="B466" s="9"/>
      <c r="C466" s="9"/>
      <c r="D466" s="9"/>
      <c r="E466" s="9"/>
      <c r="F466" s="9"/>
      <c r="G466" s="11"/>
      <c r="H466" s="9"/>
      <c r="I466" s="9"/>
      <c r="J466" s="9"/>
      <c r="K466" s="9"/>
      <c r="L466" s="9"/>
      <c r="M466" s="9"/>
      <c r="N466" s="9"/>
    </row>
    <row r="467" spans="1:14" x14ac:dyDescent="0.25">
      <c r="A467" s="9" t="s">
        <v>21</v>
      </c>
      <c r="B467" s="9" t="s">
        <v>24</v>
      </c>
      <c r="C467" s="9" t="s">
        <v>31</v>
      </c>
      <c r="D467" s="9" t="s">
        <v>12</v>
      </c>
      <c r="E467" s="9">
        <v>2011</v>
      </c>
      <c r="F467" s="9"/>
      <c r="G467" s="11"/>
      <c r="H467" s="9"/>
      <c r="I467" s="9"/>
      <c r="J467" s="9"/>
      <c r="K467" s="9"/>
      <c r="L467" s="9"/>
      <c r="M467" s="9"/>
      <c r="N467" s="9"/>
    </row>
    <row r="468" spans="1:14" x14ac:dyDescent="0.25">
      <c r="A468" s="9" t="s">
        <v>21</v>
      </c>
      <c r="B468" s="9" t="s">
        <v>26</v>
      </c>
      <c r="C468" s="9" t="s">
        <v>31</v>
      </c>
      <c r="D468" s="9" t="s">
        <v>12</v>
      </c>
      <c r="E468" s="9">
        <v>2011</v>
      </c>
      <c r="F468" s="9"/>
      <c r="G468" s="11"/>
      <c r="H468" s="9"/>
      <c r="I468" s="9"/>
      <c r="J468" s="9"/>
      <c r="K468" s="9"/>
      <c r="L468" s="9"/>
      <c r="M468" s="9"/>
      <c r="N468" s="9"/>
    </row>
    <row r="469" spans="1:14" x14ac:dyDescent="0.25">
      <c r="A469" s="9" t="s">
        <v>21</v>
      </c>
      <c r="B469" s="9" t="s">
        <v>27</v>
      </c>
      <c r="C469" s="9" t="s">
        <v>31</v>
      </c>
      <c r="D469" s="9" t="s">
        <v>12</v>
      </c>
      <c r="E469" s="9">
        <v>2011</v>
      </c>
      <c r="F469" s="9"/>
      <c r="G469" s="11"/>
      <c r="H469" s="9"/>
      <c r="I469" s="9"/>
      <c r="J469" s="9"/>
      <c r="K469" s="9"/>
      <c r="L469" s="9"/>
      <c r="M469" s="9"/>
      <c r="N469" s="9"/>
    </row>
    <row r="470" spans="1:14" x14ac:dyDescent="0.25">
      <c r="A470" s="9" t="s">
        <v>21</v>
      </c>
      <c r="B470" s="9" t="s">
        <v>28</v>
      </c>
      <c r="C470" s="9" t="s">
        <v>31</v>
      </c>
      <c r="D470" s="9" t="s">
        <v>12</v>
      </c>
      <c r="E470" s="9">
        <v>2011</v>
      </c>
      <c r="F470" s="9"/>
      <c r="G470" s="11"/>
      <c r="H470" s="9"/>
      <c r="I470" s="9"/>
      <c r="J470" s="11"/>
      <c r="K470" s="9"/>
      <c r="L470" s="9"/>
      <c r="M470" s="9"/>
      <c r="N470" s="9"/>
    </row>
    <row r="471" spans="1:14" x14ac:dyDescent="0.25">
      <c r="A471" s="9" t="s">
        <v>21</v>
      </c>
      <c r="B471" s="9" t="s">
        <v>29</v>
      </c>
      <c r="C471" s="9" t="s">
        <v>31</v>
      </c>
      <c r="D471" s="9" t="s">
        <v>12</v>
      </c>
      <c r="E471" s="9">
        <v>2011</v>
      </c>
      <c r="F471" s="9"/>
      <c r="G471" s="11"/>
      <c r="H471" s="9"/>
      <c r="I471" s="9"/>
      <c r="J471" s="11"/>
      <c r="K471" s="9"/>
      <c r="L471" s="9"/>
      <c r="M471" s="9"/>
      <c r="N471" s="9"/>
    </row>
    <row r="472" spans="1:14" x14ac:dyDescent="0.25">
      <c r="A472" s="9" t="s">
        <v>21</v>
      </c>
      <c r="B472" s="9" t="s">
        <v>30</v>
      </c>
      <c r="C472" s="9" t="s">
        <v>31</v>
      </c>
      <c r="D472" s="9" t="s">
        <v>12</v>
      </c>
      <c r="E472" s="9">
        <v>2011</v>
      </c>
      <c r="F472" s="9"/>
      <c r="G472" s="11"/>
      <c r="H472" s="9"/>
      <c r="I472" s="9"/>
      <c r="J472" s="11"/>
      <c r="K472" s="9"/>
      <c r="L472" s="9"/>
      <c r="M472" s="9"/>
      <c r="N472" s="9"/>
    </row>
    <row r="473" spans="1:14" x14ac:dyDescent="0.25">
      <c r="A473" s="9" t="s">
        <v>21</v>
      </c>
      <c r="B473" s="9" t="s">
        <v>26</v>
      </c>
      <c r="C473" s="9" t="s">
        <v>31</v>
      </c>
      <c r="D473" s="9" t="s">
        <v>15</v>
      </c>
      <c r="E473" s="9">
        <v>2011</v>
      </c>
      <c r="F473" s="9"/>
      <c r="G473" s="11"/>
      <c r="H473" s="9"/>
      <c r="I473" s="9"/>
      <c r="J473" s="9"/>
      <c r="K473" s="9"/>
      <c r="L473" s="9"/>
      <c r="M473" s="9"/>
      <c r="N473" s="9"/>
    </row>
    <row r="474" spans="1:14" x14ac:dyDescent="0.25">
      <c r="A474" s="9" t="s">
        <v>21</v>
      </c>
      <c r="B474" s="9" t="s">
        <v>28</v>
      </c>
      <c r="C474" s="9" t="s">
        <v>31</v>
      </c>
      <c r="D474" s="9" t="s">
        <v>15</v>
      </c>
      <c r="E474" s="9">
        <v>2011</v>
      </c>
      <c r="F474" s="9"/>
      <c r="G474" s="11"/>
      <c r="H474" s="9"/>
      <c r="I474" s="9"/>
      <c r="J474" s="9"/>
      <c r="K474" s="9"/>
      <c r="L474" s="9"/>
      <c r="M474" s="9"/>
      <c r="N474" s="9"/>
    </row>
    <row r="475" spans="1:14" x14ac:dyDescent="0.25">
      <c r="A475" s="9" t="s">
        <v>21</v>
      </c>
      <c r="B475" s="9" t="s">
        <v>29</v>
      </c>
      <c r="C475" s="9" t="s">
        <v>31</v>
      </c>
      <c r="D475" s="9" t="s">
        <v>15</v>
      </c>
      <c r="E475" s="9">
        <v>2011</v>
      </c>
      <c r="F475" s="9"/>
      <c r="G475" s="11"/>
      <c r="H475" s="9"/>
      <c r="I475" s="9"/>
      <c r="J475" s="11"/>
      <c r="K475" s="9"/>
      <c r="L475" s="9"/>
      <c r="M475" s="9"/>
      <c r="N475" s="9"/>
    </row>
    <row r="476" spans="1:14" x14ac:dyDescent="0.25">
      <c r="A476" s="9" t="s">
        <v>21</v>
      </c>
      <c r="B476" s="9" t="s">
        <v>30</v>
      </c>
      <c r="C476" s="9" t="s">
        <v>31</v>
      </c>
      <c r="D476" s="9" t="s">
        <v>15</v>
      </c>
      <c r="E476" s="9">
        <v>2011</v>
      </c>
      <c r="F476" s="9"/>
      <c r="G476" s="11"/>
      <c r="H476" s="9"/>
      <c r="I476" s="9"/>
      <c r="J476" s="11"/>
      <c r="K476" s="9"/>
      <c r="L476" s="9"/>
      <c r="M476" s="9"/>
      <c r="N476" s="9"/>
    </row>
    <row r="477" spans="1:14" x14ac:dyDescent="0.25">
      <c r="A477" s="9"/>
      <c r="B477" s="9"/>
      <c r="C477" s="9"/>
      <c r="D477" s="9"/>
      <c r="E477" s="9"/>
      <c r="F477" s="9"/>
      <c r="G477" s="11"/>
      <c r="H477" s="9"/>
      <c r="I477" s="9"/>
      <c r="J477" s="9"/>
      <c r="K477" s="9"/>
      <c r="L477" s="9"/>
      <c r="M477" s="9"/>
      <c r="N477" s="9"/>
    </row>
    <row r="478" spans="1:14" x14ac:dyDescent="0.25">
      <c r="A478" s="9" t="s">
        <v>21</v>
      </c>
      <c r="B478" s="9" t="s">
        <v>24</v>
      </c>
      <c r="C478" s="9" t="s">
        <v>19</v>
      </c>
      <c r="D478" s="9" t="s">
        <v>12</v>
      </c>
      <c r="E478" s="9">
        <v>2011</v>
      </c>
      <c r="F478" s="9"/>
      <c r="G478" s="11"/>
      <c r="H478" s="9"/>
      <c r="I478" s="9"/>
      <c r="J478" s="9"/>
      <c r="K478" s="9"/>
      <c r="L478" s="9"/>
      <c r="M478" s="9"/>
      <c r="N478" s="9"/>
    </row>
    <row r="479" spans="1:14" x14ac:dyDescent="0.25">
      <c r="A479" s="9" t="s">
        <v>21</v>
      </c>
      <c r="B479" s="9" t="s">
        <v>26</v>
      </c>
      <c r="C479" s="9" t="s">
        <v>19</v>
      </c>
      <c r="D479" s="9" t="s">
        <v>12</v>
      </c>
      <c r="E479" s="9">
        <v>2011</v>
      </c>
      <c r="F479" s="9"/>
      <c r="G479" s="11"/>
      <c r="H479" s="9"/>
      <c r="I479" s="9"/>
      <c r="J479" s="9"/>
      <c r="K479" s="9"/>
      <c r="L479" s="9"/>
      <c r="M479" s="9"/>
      <c r="N479" s="9"/>
    </row>
    <row r="480" spans="1:14" x14ac:dyDescent="0.25">
      <c r="A480" s="9" t="s">
        <v>21</v>
      </c>
      <c r="B480" s="9" t="s">
        <v>27</v>
      </c>
      <c r="C480" s="9" t="s">
        <v>19</v>
      </c>
      <c r="D480" s="9" t="s">
        <v>12</v>
      </c>
      <c r="E480" s="9">
        <v>2011</v>
      </c>
      <c r="F480" s="9"/>
      <c r="G480" s="11"/>
      <c r="H480" s="9"/>
      <c r="I480" s="9"/>
      <c r="J480" s="9"/>
      <c r="K480" s="9"/>
      <c r="L480" s="9"/>
      <c r="M480" s="9"/>
      <c r="N480" s="9"/>
    </row>
    <row r="481" spans="1:14" x14ac:dyDescent="0.25">
      <c r="A481" s="9" t="s">
        <v>21</v>
      </c>
      <c r="B481" s="9" t="s">
        <v>28</v>
      </c>
      <c r="C481" s="9" t="s">
        <v>19</v>
      </c>
      <c r="D481" s="9" t="s">
        <v>12</v>
      </c>
      <c r="E481" s="9">
        <v>2011</v>
      </c>
      <c r="F481" s="9"/>
      <c r="G481" s="11"/>
      <c r="H481" s="9"/>
      <c r="I481" s="9"/>
      <c r="J481" s="11"/>
      <c r="K481" s="9"/>
      <c r="L481" s="9"/>
      <c r="M481" s="9"/>
      <c r="N481" s="9"/>
    </row>
    <row r="482" spans="1:14" x14ac:dyDescent="0.25">
      <c r="A482" s="9" t="s">
        <v>21</v>
      </c>
      <c r="B482" s="9" t="s">
        <v>29</v>
      </c>
      <c r="C482" s="9" t="s">
        <v>19</v>
      </c>
      <c r="D482" s="9" t="s">
        <v>12</v>
      </c>
      <c r="E482" s="9">
        <v>2011</v>
      </c>
      <c r="F482" s="9"/>
      <c r="G482" s="11"/>
      <c r="H482" s="9"/>
      <c r="I482" s="9"/>
      <c r="J482" s="11"/>
      <c r="K482" s="9"/>
      <c r="L482" s="9"/>
      <c r="M482" s="9"/>
      <c r="N482" s="9"/>
    </row>
    <row r="483" spans="1:14" x14ac:dyDescent="0.25">
      <c r="A483" s="9" t="s">
        <v>21</v>
      </c>
      <c r="B483" s="9" t="s">
        <v>30</v>
      </c>
      <c r="C483" s="9" t="s">
        <v>19</v>
      </c>
      <c r="D483" s="9" t="s">
        <v>12</v>
      </c>
      <c r="E483" s="9">
        <v>2011</v>
      </c>
      <c r="F483" s="9"/>
      <c r="G483" s="11"/>
      <c r="H483" s="9"/>
      <c r="I483" s="9"/>
      <c r="J483" s="11"/>
      <c r="K483" s="9"/>
      <c r="L483" s="9"/>
      <c r="M483" s="9"/>
      <c r="N483" s="9"/>
    </row>
    <row r="484" spans="1:14" x14ac:dyDescent="0.25">
      <c r="A484" s="9" t="s">
        <v>21</v>
      </c>
      <c r="B484" s="9" t="s">
        <v>26</v>
      </c>
      <c r="C484" s="9" t="s">
        <v>19</v>
      </c>
      <c r="D484" s="9" t="s">
        <v>15</v>
      </c>
      <c r="E484" s="9">
        <v>2011</v>
      </c>
      <c r="F484" s="9"/>
      <c r="G484" s="11"/>
      <c r="H484" s="9"/>
      <c r="I484" s="9"/>
      <c r="J484" s="11"/>
      <c r="K484" s="9"/>
      <c r="L484" s="9"/>
      <c r="M484" s="9"/>
      <c r="N484" s="9"/>
    </row>
    <row r="485" spans="1:14" x14ac:dyDescent="0.25">
      <c r="A485" s="9" t="s">
        <v>21</v>
      </c>
      <c r="B485" s="9" t="s">
        <v>28</v>
      </c>
      <c r="C485" s="9" t="s">
        <v>19</v>
      </c>
      <c r="D485" s="9" t="s">
        <v>15</v>
      </c>
      <c r="E485" s="9">
        <v>2011</v>
      </c>
      <c r="F485" s="9"/>
      <c r="G485" s="11"/>
      <c r="H485" s="9"/>
      <c r="I485" s="9"/>
      <c r="J485" s="11"/>
      <c r="K485" s="9"/>
      <c r="L485" s="9"/>
      <c r="M485" s="9"/>
      <c r="N485" s="9"/>
    </row>
    <row r="486" spans="1:14" x14ac:dyDescent="0.25">
      <c r="A486" s="9" t="s">
        <v>21</v>
      </c>
      <c r="B486" s="9" t="s">
        <v>29</v>
      </c>
      <c r="C486" s="9" t="s">
        <v>19</v>
      </c>
      <c r="D486" s="9" t="s">
        <v>15</v>
      </c>
      <c r="E486" s="9">
        <v>2011</v>
      </c>
      <c r="F486" s="9"/>
      <c r="G486" s="11"/>
      <c r="H486" s="9"/>
      <c r="I486" s="9"/>
      <c r="J486" s="11"/>
      <c r="K486" s="9"/>
      <c r="L486" s="9"/>
      <c r="M486" s="9"/>
      <c r="N486" s="9"/>
    </row>
    <row r="487" spans="1:14" x14ac:dyDescent="0.25">
      <c r="A487" s="9" t="s">
        <v>21</v>
      </c>
      <c r="B487" s="9" t="s">
        <v>30</v>
      </c>
      <c r="C487" s="9" t="s">
        <v>19</v>
      </c>
      <c r="D487" s="9" t="s">
        <v>15</v>
      </c>
      <c r="E487" s="9">
        <v>2011</v>
      </c>
      <c r="F487" s="9"/>
      <c r="G487" s="11"/>
      <c r="H487" s="9"/>
      <c r="I487" s="9"/>
      <c r="J487" s="11"/>
      <c r="K487" s="9"/>
      <c r="L487" s="9"/>
      <c r="M487" s="9"/>
      <c r="N487" s="9"/>
    </row>
    <row r="488" spans="1:14" x14ac:dyDescent="0.25">
      <c r="A488" s="9"/>
      <c r="B488" s="9"/>
      <c r="C488" s="9"/>
      <c r="D488" s="9"/>
      <c r="E488" s="9"/>
      <c r="F488" s="9"/>
      <c r="G488" s="11"/>
      <c r="H488" s="9"/>
      <c r="I488" s="9"/>
      <c r="J488" s="9"/>
      <c r="K488" s="9"/>
      <c r="L488" s="9"/>
      <c r="M488" s="9"/>
      <c r="N488" s="9"/>
    </row>
    <row r="489" spans="1:14" x14ac:dyDescent="0.25">
      <c r="A489" s="9" t="s">
        <v>21</v>
      </c>
      <c r="B489" s="9" t="s">
        <v>24</v>
      </c>
      <c r="C489" s="9" t="s">
        <v>20</v>
      </c>
      <c r="D489" s="9" t="s">
        <v>12</v>
      </c>
      <c r="E489" s="9">
        <v>2011</v>
      </c>
      <c r="F489" s="9"/>
      <c r="G489" s="11"/>
      <c r="H489" s="9"/>
      <c r="I489" s="9"/>
      <c r="J489" s="11"/>
      <c r="K489" s="9"/>
      <c r="L489" s="9"/>
      <c r="M489" s="9"/>
      <c r="N489" s="9"/>
    </row>
    <row r="490" spans="1:14" x14ac:dyDescent="0.25">
      <c r="A490" s="9" t="s">
        <v>21</v>
      </c>
      <c r="B490" s="9" t="s">
        <v>26</v>
      </c>
      <c r="C490" s="9" t="s">
        <v>20</v>
      </c>
      <c r="D490" s="9" t="s">
        <v>12</v>
      </c>
      <c r="E490" s="9">
        <v>2011</v>
      </c>
      <c r="F490" s="9"/>
      <c r="G490" s="11"/>
      <c r="H490" s="9"/>
      <c r="I490" s="9"/>
      <c r="J490" s="11"/>
      <c r="K490" s="9"/>
      <c r="L490" s="9"/>
      <c r="M490" s="9"/>
      <c r="N490" s="9"/>
    </row>
    <row r="491" spans="1:14" x14ac:dyDescent="0.25">
      <c r="A491" s="9" t="s">
        <v>21</v>
      </c>
      <c r="B491" s="9" t="s">
        <v>27</v>
      </c>
      <c r="C491" s="9" t="s">
        <v>20</v>
      </c>
      <c r="D491" s="9" t="s">
        <v>12</v>
      </c>
      <c r="E491" s="9">
        <v>2011</v>
      </c>
      <c r="F491" s="9"/>
      <c r="G491" s="11"/>
      <c r="H491" s="9"/>
      <c r="I491" s="9"/>
      <c r="J491" s="11"/>
      <c r="K491" s="9"/>
      <c r="L491" s="9"/>
      <c r="M491" s="9"/>
      <c r="N491" s="9"/>
    </row>
    <row r="492" spans="1:14" x14ac:dyDescent="0.25">
      <c r="A492" s="9" t="s">
        <v>21</v>
      </c>
      <c r="B492" s="9" t="s">
        <v>28</v>
      </c>
      <c r="C492" s="9" t="s">
        <v>20</v>
      </c>
      <c r="D492" s="9" t="s">
        <v>12</v>
      </c>
      <c r="E492" s="9">
        <v>2011</v>
      </c>
      <c r="F492" s="9"/>
      <c r="G492" s="11"/>
      <c r="H492" s="9"/>
      <c r="I492" s="9"/>
      <c r="J492" s="11"/>
      <c r="K492" s="9"/>
      <c r="L492" s="9"/>
      <c r="M492" s="9"/>
      <c r="N492" s="9"/>
    </row>
    <row r="493" spans="1:14" x14ac:dyDescent="0.25">
      <c r="A493" s="9" t="s">
        <v>21</v>
      </c>
      <c r="B493" s="9" t="s">
        <v>29</v>
      </c>
      <c r="C493" s="9" t="s">
        <v>20</v>
      </c>
      <c r="D493" s="9" t="s">
        <v>12</v>
      </c>
      <c r="E493" s="9">
        <v>2011</v>
      </c>
      <c r="F493" s="9"/>
      <c r="G493" s="11"/>
      <c r="H493" s="9"/>
      <c r="I493" s="9"/>
      <c r="J493" s="11"/>
      <c r="K493" s="9"/>
      <c r="L493" s="9"/>
      <c r="M493" s="9"/>
      <c r="N493" s="9"/>
    </row>
    <row r="494" spans="1:14" x14ac:dyDescent="0.25">
      <c r="A494" s="9" t="s">
        <v>21</v>
      </c>
      <c r="B494" s="9" t="s">
        <v>30</v>
      </c>
      <c r="C494" s="9" t="s">
        <v>20</v>
      </c>
      <c r="D494" s="9" t="s">
        <v>12</v>
      </c>
      <c r="E494" s="9">
        <v>2011</v>
      </c>
      <c r="F494" s="9"/>
      <c r="G494" s="11"/>
      <c r="H494" s="9"/>
      <c r="I494" s="9"/>
      <c r="J494" s="11"/>
      <c r="K494" s="9"/>
      <c r="L494" s="9"/>
      <c r="M494" s="9"/>
      <c r="N494" s="9"/>
    </row>
    <row r="495" spans="1:14" x14ac:dyDescent="0.25">
      <c r="A495" s="9" t="s">
        <v>21</v>
      </c>
      <c r="B495" s="9" t="s">
        <v>26</v>
      </c>
      <c r="C495" s="9" t="s">
        <v>20</v>
      </c>
      <c r="D495" s="9" t="s">
        <v>15</v>
      </c>
      <c r="E495" s="9">
        <v>2011</v>
      </c>
      <c r="F495" s="9"/>
      <c r="G495" s="11"/>
      <c r="H495" s="9"/>
      <c r="I495" s="9"/>
      <c r="J495" s="11"/>
      <c r="K495" s="9"/>
      <c r="L495" s="9"/>
      <c r="M495" s="9"/>
      <c r="N495" s="9"/>
    </row>
    <row r="496" spans="1:14" x14ac:dyDescent="0.25">
      <c r="A496" s="9" t="s">
        <v>21</v>
      </c>
      <c r="B496" s="9" t="s">
        <v>28</v>
      </c>
      <c r="C496" s="9" t="s">
        <v>20</v>
      </c>
      <c r="D496" s="9" t="s">
        <v>15</v>
      </c>
      <c r="E496" s="9">
        <v>2011</v>
      </c>
      <c r="F496" s="9"/>
      <c r="G496" s="11"/>
      <c r="H496" s="9"/>
      <c r="I496" s="9"/>
      <c r="J496" s="11"/>
      <c r="K496" s="9"/>
      <c r="L496" s="9"/>
      <c r="M496" s="9"/>
      <c r="N496" s="9"/>
    </row>
    <row r="497" spans="1:14" x14ac:dyDescent="0.25">
      <c r="A497" s="9" t="s">
        <v>21</v>
      </c>
      <c r="B497" s="9" t="s">
        <v>29</v>
      </c>
      <c r="C497" s="9" t="s">
        <v>20</v>
      </c>
      <c r="D497" s="9" t="s">
        <v>15</v>
      </c>
      <c r="E497" s="9">
        <v>2011</v>
      </c>
      <c r="F497" s="9"/>
      <c r="G497" s="11"/>
      <c r="H497" s="9"/>
      <c r="I497" s="9"/>
      <c r="J497" s="11"/>
      <c r="K497" s="9"/>
      <c r="L497" s="9"/>
      <c r="M497" s="9"/>
      <c r="N497" s="9"/>
    </row>
    <row r="498" spans="1:14" x14ac:dyDescent="0.25">
      <c r="A498" s="9" t="s">
        <v>21</v>
      </c>
      <c r="B498" s="9" t="s">
        <v>30</v>
      </c>
      <c r="C498" s="9" t="s">
        <v>20</v>
      </c>
      <c r="D498" s="9" t="s">
        <v>15</v>
      </c>
      <c r="E498" s="9">
        <v>2011</v>
      </c>
      <c r="F498" s="9"/>
      <c r="G498" s="11"/>
      <c r="H498" s="9"/>
      <c r="I498" s="9"/>
      <c r="J498" s="11"/>
      <c r="K498" s="9"/>
      <c r="L498" s="9"/>
      <c r="M498" s="9"/>
      <c r="N498" s="9"/>
    </row>
    <row r="499" spans="1:14" x14ac:dyDescent="0.25">
      <c r="A499" s="9"/>
      <c r="B499" s="9"/>
      <c r="C499" s="9"/>
      <c r="D499" s="9"/>
      <c r="E499" s="9"/>
      <c r="F499" s="9"/>
      <c r="G499" s="11"/>
      <c r="H499" s="9"/>
      <c r="I499" s="9"/>
      <c r="J499" s="9"/>
      <c r="K499" s="9"/>
      <c r="L499" s="9"/>
      <c r="M499" s="9"/>
      <c r="N499" s="9"/>
    </row>
    <row r="500" spans="1:14" x14ac:dyDescent="0.25">
      <c r="A500" s="9"/>
      <c r="B500" s="9"/>
      <c r="C500" s="9"/>
      <c r="D500" s="9"/>
      <c r="E500" s="9"/>
      <c r="F500" s="9"/>
      <c r="G500" s="11"/>
      <c r="H500" s="9"/>
      <c r="I500" s="9"/>
      <c r="J500" s="9"/>
      <c r="K500" s="9"/>
      <c r="L500" s="9"/>
      <c r="M500" s="9"/>
      <c r="N500" s="9"/>
    </row>
    <row r="501" spans="1:14" x14ac:dyDescent="0.25">
      <c r="A501" s="9" t="s">
        <v>22</v>
      </c>
      <c r="B501" s="9" t="s">
        <v>24</v>
      </c>
      <c r="C501" s="9" t="s">
        <v>11</v>
      </c>
      <c r="D501" s="9" t="s">
        <v>12</v>
      </c>
      <c r="E501" s="9">
        <v>2011</v>
      </c>
      <c r="F501" s="9"/>
      <c r="G501" s="11"/>
      <c r="H501" s="9"/>
      <c r="I501" s="9"/>
      <c r="J501" s="9"/>
      <c r="K501" s="9" t="s">
        <v>12</v>
      </c>
      <c r="L501" s="9" t="s">
        <v>31</v>
      </c>
      <c r="M501" s="9"/>
      <c r="N501" s="9"/>
    </row>
    <row r="502" spans="1:14" x14ac:dyDescent="0.25">
      <c r="A502" s="9" t="s">
        <v>22</v>
      </c>
      <c r="B502" s="9" t="s">
        <v>26</v>
      </c>
      <c r="C502" s="9" t="s">
        <v>11</v>
      </c>
      <c r="D502" s="9" t="s">
        <v>12</v>
      </c>
      <c r="E502" s="9">
        <v>2011</v>
      </c>
      <c r="F502" s="9"/>
      <c r="G502" s="11"/>
      <c r="H502" s="9"/>
      <c r="I502" s="9"/>
      <c r="J502" s="9"/>
      <c r="K502" s="9"/>
      <c r="L502" s="9" t="s">
        <v>19</v>
      </c>
      <c r="M502" s="9"/>
      <c r="N502" s="9"/>
    </row>
    <row r="503" spans="1:14" x14ac:dyDescent="0.25">
      <c r="A503" s="9" t="s">
        <v>22</v>
      </c>
      <c r="B503" s="9" t="s">
        <v>27</v>
      </c>
      <c r="C503" s="9" t="s">
        <v>11</v>
      </c>
      <c r="D503" s="9" t="s">
        <v>12</v>
      </c>
      <c r="E503" s="9">
        <v>2011</v>
      </c>
      <c r="F503" s="9"/>
      <c r="G503" s="11"/>
      <c r="H503" s="9"/>
      <c r="I503" s="9"/>
      <c r="J503" s="9"/>
      <c r="K503" s="9"/>
      <c r="L503" s="9" t="s">
        <v>20</v>
      </c>
      <c r="M503" s="9"/>
      <c r="N503" s="9"/>
    </row>
    <row r="504" spans="1:14" x14ac:dyDescent="0.25">
      <c r="A504" s="9" t="s">
        <v>22</v>
      </c>
      <c r="B504" s="9" t="s">
        <v>28</v>
      </c>
      <c r="C504" s="9" t="s">
        <v>11</v>
      </c>
      <c r="D504" s="9" t="s">
        <v>12</v>
      </c>
      <c r="E504" s="9">
        <v>2011</v>
      </c>
      <c r="F504" s="9"/>
      <c r="G504" s="11"/>
      <c r="H504" s="9"/>
      <c r="I504" s="9"/>
      <c r="J504" s="9"/>
      <c r="K504" s="9" t="s">
        <v>15</v>
      </c>
      <c r="L504" s="9" t="s">
        <v>31</v>
      </c>
      <c r="M504" s="9"/>
      <c r="N504" s="9"/>
    </row>
    <row r="505" spans="1:14" x14ac:dyDescent="0.25">
      <c r="A505" s="9" t="s">
        <v>22</v>
      </c>
      <c r="B505" s="9" t="s">
        <v>29</v>
      </c>
      <c r="C505" s="9" t="s">
        <v>11</v>
      </c>
      <c r="D505" s="9" t="s">
        <v>12</v>
      </c>
      <c r="E505" s="9">
        <v>2011</v>
      </c>
      <c r="F505" s="9"/>
      <c r="G505" s="11"/>
      <c r="H505" s="9"/>
      <c r="I505" s="9"/>
      <c r="J505" s="9"/>
      <c r="K505" s="9"/>
      <c r="L505" s="9" t="s">
        <v>19</v>
      </c>
      <c r="M505" s="9"/>
      <c r="N505" s="9"/>
    </row>
    <row r="506" spans="1:14" x14ac:dyDescent="0.25">
      <c r="A506" s="9" t="s">
        <v>22</v>
      </c>
      <c r="B506" s="9" t="s">
        <v>30</v>
      </c>
      <c r="C506" s="9" t="s">
        <v>11</v>
      </c>
      <c r="D506" s="9" t="s">
        <v>12</v>
      </c>
      <c r="E506" s="9">
        <v>2011</v>
      </c>
      <c r="F506" s="9"/>
      <c r="G506" s="11"/>
      <c r="H506" s="9"/>
      <c r="I506" s="9"/>
      <c r="J506" s="9"/>
      <c r="K506" s="9"/>
      <c r="L506" s="9" t="s">
        <v>20</v>
      </c>
      <c r="M506" s="9"/>
      <c r="N506" s="9"/>
    </row>
    <row r="507" spans="1:14" x14ac:dyDescent="0.25">
      <c r="A507" s="9" t="s">
        <v>22</v>
      </c>
      <c r="B507" s="9" t="s">
        <v>26</v>
      </c>
      <c r="C507" s="9" t="s">
        <v>11</v>
      </c>
      <c r="D507" s="9" t="s">
        <v>15</v>
      </c>
      <c r="E507" s="9">
        <v>2011</v>
      </c>
      <c r="F507" s="9"/>
      <c r="G507" s="11"/>
      <c r="H507" s="9"/>
      <c r="I507" s="9"/>
      <c r="J507" s="9"/>
      <c r="K507" s="9"/>
      <c r="L507" s="9"/>
      <c r="M507" s="9"/>
      <c r="N507" s="9"/>
    </row>
    <row r="508" spans="1:14" x14ac:dyDescent="0.25">
      <c r="A508" s="9" t="s">
        <v>22</v>
      </c>
      <c r="B508" s="9" t="s">
        <v>28</v>
      </c>
      <c r="C508" s="9" t="s">
        <v>11</v>
      </c>
      <c r="D508" s="9" t="s">
        <v>15</v>
      </c>
      <c r="E508" s="9">
        <v>2011</v>
      </c>
      <c r="F508" s="9"/>
      <c r="G508" s="11"/>
      <c r="H508" s="9"/>
      <c r="I508" s="9"/>
      <c r="J508" s="9"/>
      <c r="K508" s="9"/>
      <c r="L508" s="9"/>
      <c r="M508" s="9"/>
      <c r="N508" s="9"/>
    </row>
    <row r="509" spans="1:14" x14ac:dyDescent="0.25">
      <c r="A509" s="9" t="s">
        <v>22</v>
      </c>
      <c r="B509" s="9" t="s">
        <v>29</v>
      </c>
      <c r="C509" s="9" t="s">
        <v>11</v>
      </c>
      <c r="D509" s="9" t="s">
        <v>15</v>
      </c>
      <c r="E509" s="9">
        <v>2011</v>
      </c>
      <c r="F509" s="9"/>
      <c r="G509" s="11"/>
      <c r="H509" s="9"/>
      <c r="I509" s="9"/>
      <c r="J509" s="9"/>
      <c r="K509" s="9"/>
      <c r="L509" s="9"/>
      <c r="M509" s="9"/>
      <c r="N509" s="9"/>
    </row>
    <row r="510" spans="1:14" x14ac:dyDescent="0.25">
      <c r="A510" s="9" t="s">
        <v>22</v>
      </c>
      <c r="B510" s="9" t="s">
        <v>30</v>
      </c>
      <c r="C510" s="9" t="s">
        <v>11</v>
      </c>
      <c r="D510" s="9" t="s">
        <v>15</v>
      </c>
      <c r="E510" s="9">
        <v>2011</v>
      </c>
      <c r="F510" s="9"/>
      <c r="G510" s="11"/>
      <c r="H510" s="9"/>
      <c r="I510" s="9"/>
      <c r="J510" s="9"/>
      <c r="K510" s="9"/>
      <c r="L510" s="9"/>
      <c r="M510" s="9"/>
      <c r="N510" s="9"/>
    </row>
    <row r="511" spans="1:14" x14ac:dyDescent="0.25">
      <c r="A511" s="9"/>
      <c r="B511" s="9"/>
      <c r="C511" s="9"/>
      <c r="D511" s="9"/>
      <c r="E511" s="9"/>
      <c r="F511" s="9"/>
      <c r="G511" s="11"/>
      <c r="H511" s="9"/>
      <c r="I511" s="9"/>
      <c r="J511" s="9"/>
      <c r="K511" s="9"/>
      <c r="L511" s="9"/>
      <c r="M511" s="9"/>
      <c r="N511" s="9"/>
    </row>
    <row r="512" spans="1:14" x14ac:dyDescent="0.25">
      <c r="A512" s="9" t="s">
        <v>22</v>
      </c>
      <c r="B512" s="9" t="s">
        <v>24</v>
      </c>
      <c r="C512" s="9" t="s">
        <v>31</v>
      </c>
      <c r="D512" s="9" t="s">
        <v>12</v>
      </c>
      <c r="E512" s="9">
        <v>2011</v>
      </c>
      <c r="F512" s="9"/>
      <c r="G512" s="11"/>
      <c r="H512" s="9"/>
      <c r="I512" s="9"/>
      <c r="J512" s="9"/>
      <c r="K512" s="9"/>
      <c r="L512" s="9"/>
      <c r="M512" s="9"/>
      <c r="N512" s="9"/>
    </row>
    <row r="513" spans="1:14" x14ac:dyDescent="0.25">
      <c r="A513" s="9" t="s">
        <v>22</v>
      </c>
      <c r="B513" s="9" t="s">
        <v>26</v>
      </c>
      <c r="C513" s="9" t="s">
        <v>31</v>
      </c>
      <c r="D513" s="9" t="s">
        <v>12</v>
      </c>
      <c r="E513" s="9">
        <v>2011</v>
      </c>
      <c r="F513" s="9"/>
      <c r="G513" s="11"/>
      <c r="H513" s="9"/>
      <c r="I513" s="9"/>
      <c r="J513" s="9"/>
      <c r="K513" s="9"/>
      <c r="L513" s="9"/>
      <c r="M513" s="9"/>
      <c r="N513" s="9"/>
    </row>
    <row r="514" spans="1:14" x14ac:dyDescent="0.25">
      <c r="A514" s="9" t="s">
        <v>22</v>
      </c>
      <c r="B514" s="9" t="s">
        <v>27</v>
      </c>
      <c r="C514" s="9" t="s">
        <v>31</v>
      </c>
      <c r="D514" s="9" t="s">
        <v>12</v>
      </c>
      <c r="E514" s="9">
        <v>2011</v>
      </c>
      <c r="F514" s="9"/>
      <c r="G514" s="11"/>
      <c r="H514" s="9"/>
      <c r="I514" s="9"/>
      <c r="J514" s="9"/>
      <c r="K514" s="9"/>
      <c r="L514" s="9"/>
      <c r="M514" s="9"/>
      <c r="N514" s="9"/>
    </row>
    <row r="515" spans="1:14" x14ac:dyDescent="0.25">
      <c r="A515" s="9" t="s">
        <v>22</v>
      </c>
      <c r="B515" s="9" t="s">
        <v>28</v>
      </c>
      <c r="C515" s="9" t="s">
        <v>31</v>
      </c>
      <c r="D515" s="9" t="s">
        <v>12</v>
      </c>
      <c r="E515" s="9">
        <v>2011</v>
      </c>
      <c r="F515" s="9"/>
      <c r="G515" s="11"/>
      <c r="H515" s="9"/>
      <c r="I515" s="9"/>
      <c r="J515" s="9"/>
      <c r="K515" s="9"/>
      <c r="L515" s="9"/>
      <c r="M515" s="9"/>
      <c r="N515" s="9"/>
    </row>
    <row r="516" spans="1:14" x14ac:dyDescent="0.25">
      <c r="A516" s="9" t="s">
        <v>22</v>
      </c>
      <c r="B516" s="9" t="s">
        <v>29</v>
      </c>
      <c r="C516" s="9" t="s">
        <v>31</v>
      </c>
      <c r="D516" s="9" t="s">
        <v>12</v>
      </c>
      <c r="E516" s="9">
        <v>2011</v>
      </c>
      <c r="F516" s="9"/>
      <c r="G516" s="11"/>
      <c r="H516" s="9"/>
      <c r="I516" s="9"/>
      <c r="J516" s="9"/>
      <c r="K516" s="9"/>
      <c r="L516" s="9"/>
      <c r="M516" s="9"/>
      <c r="N516" s="9"/>
    </row>
    <row r="517" spans="1:14" x14ac:dyDescent="0.25">
      <c r="A517" s="9" t="s">
        <v>22</v>
      </c>
      <c r="B517" s="9" t="s">
        <v>30</v>
      </c>
      <c r="C517" s="9" t="s">
        <v>31</v>
      </c>
      <c r="D517" s="9" t="s">
        <v>12</v>
      </c>
      <c r="E517" s="9">
        <v>2011</v>
      </c>
      <c r="F517" s="9"/>
      <c r="G517" s="11"/>
      <c r="H517" s="9"/>
      <c r="I517" s="9"/>
      <c r="J517" s="9"/>
      <c r="K517" s="9"/>
      <c r="L517" s="9"/>
      <c r="M517" s="9"/>
      <c r="N517" s="9"/>
    </row>
    <row r="518" spans="1:14" x14ac:dyDescent="0.25">
      <c r="A518" s="9" t="s">
        <v>22</v>
      </c>
      <c r="B518" s="9" t="s">
        <v>26</v>
      </c>
      <c r="C518" s="9" t="s">
        <v>31</v>
      </c>
      <c r="D518" s="9" t="s">
        <v>15</v>
      </c>
      <c r="E518" s="9">
        <v>2011</v>
      </c>
      <c r="F518" s="9"/>
      <c r="G518" s="11"/>
      <c r="H518" s="9"/>
      <c r="I518" s="9"/>
      <c r="J518" s="9"/>
      <c r="K518" s="9"/>
      <c r="L518" s="9"/>
      <c r="M518" s="9"/>
      <c r="N518" s="9"/>
    </row>
    <row r="519" spans="1:14" x14ac:dyDescent="0.25">
      <c r="A519" s="9" t="s">
        <v>22</v>
      </c>
      <c r="B519" s="9" t="s">
        <v>28</v>
      </c>
      <c r="C519" s="9" t="s">
        <v>31</v>
      </c>
      <c r="D519" s="9" t="s">
        <v>15</v>
      </c>
      <c r="E519" s="9">
        <v>2011</v>
      </c>
      <c r="F519" s="9"/>
      <c r="G519" s="11"/>
      <c r="H519" s="9"/>
      <c r="I519" s="9"/>
      <c r="J519" s="9"/>
      <c r="K519" s="9"/>
      <c r="L519" s="9"/>
      <c r="M519" s="9"/>
      <c r="N519" s="9"/>
    </row>
    <row r="520" spans="1:14" x14ac:dyDescent="0.25">
      <c r="A520" s="9" t="s">
        <v>22</v>
      </c>
      <c r="B520" s="9" t="s">
        <v>29</v>
      </c>
      <c r="C520" s="9" t="s">
        <v>31</v>
      </c>
      <c r="D520" s="9" t="s">
        <v>15</v>
      </c>
      <c r="E520" s="9">
        <v>2011</v>
      </c>
      <c r="F520" s="9"/>
      <c r="G520" s="11"/>
      <c r="H520" s="9"/>
      <c r="I520" s="9"/>
      <c r="J520" s="9"/>
      <c r="K520" s="9"/>
      <c r="L520" s="9"/>
      <c r="M520" s="9"/>
      <c r="N520" s="9"/>
    </row>
    <row r="521" spans="1:14" x14ac:dyDescent="0.25">
      <c r="A521" s="9" t="s">
        <v>22</v>
      </c>
      <c r="B521" s="9" t="s">
        <v>30</v>
      </c>
      <c r="C521" s="9" t="s">
        <v>31</v>
      </c>
      <c r="D521" s="9" t="s">
        <v>15</v>
      </c>
      <c r="E521" s="9">
        <v>2011</v>
      </c>
      <c r="F521" s="9"/>
      <c r="G521" s="11"/>
      <c r="H521" s="9"/>
      <c r="I521" s="9"/>
      <c r="J521" s="9"/>
      <c r="K521" s="9"/>
      <c r="L521" s="9"/>
      <c r="M521" s="9"/>
      <c r="N521" s="9"/>
    </row>
    <row r="522" spans="1:14" x14ac:dyDescent="0.25">
      <c r="A522" s="9"/>
      <c r="B522" s="9"/>
      <c r="C522" s="9"/>
      <c r="D522" s="9"/>
      <c r="E522" s="9"/>
      <c r="F522" s="9"/>
      <c r="G522" s="11"/>
      <c r="H522" s="9"/>
      <c r="I522" s="9"/>
      <c r="J522" s="9"/>
      <c r="K522" s="9"/>
      <c r="L522" s="9"/>
      <c r="M522" s="9"/>
      <c r="N522" s="9"/>
    </row>
    <row r="523" spans="1:14" x14ac:dyDescent="0.25">
      <c r="A523" s="9" t="s">
        <v>22</v>
      </c>
      <c r="B523" s="9" t="s">
        <v>24</v>
      </c>
      <c r="C523" s="9" t="s">
        <v>19</v>
      </c>
      <c r="D523" s="9" t="s">
        <v>12</v>
      </c>
      <c r="E523" s="9">
        <v>2011</v>
      </c>
      <c r="F523" s="9"/>
      <c r="G523" s="11"/>
      <c r="H523" s="9"/>
      <c r="I523" s="9"/>
      <c r="J523" s="9"/>
      <c r="K523" s="9"/>
      <c r="L523" s="9"/>
      <c r="M523" s="9"/>
      <c r="N523" s="9"/>
    </row>
    <row r="524" spans="1:14" x14ac:dyDescent="0.25">
      <c r="A524" s="9" t="s">
        <v>22</v>
      </c>
      <c r="B524" s="9" t="s">
        <v>26</v>
      </c>
      <c r="C524" s="9" t="s">
        <v>19</v>
      </c>
      <c r="D524" s="9" t="s">
        <v>12</v>
      </c>
      <c r="E524" s="9">
        <v>2011</v>
      </c>
      <c r="F524" s="9"/>
      <c r="G524" s="11"/>
      <c r="H524" s="9"/>
      <c r="I524" s="9"/>
      <c r="J524" s="9"/>
      <c r="K524" s="9"/>
      <c r="L524" s="9"/>
      <c r="M524" s="9"/>
      <c r="N524" s="9"/>
    </row>
    <row r="525" spans="1:14" x14ac:dyDescent="0.25">
      <c r="A525" s="9" t="s">
        <v>22</v>
      </c>
      <c r="B525" s="9" t="s">
        <v>27</v>
      </c>
      <c r="C525" s="9" t="s">
        <v>19</v>
      </c>
      <c r="D525" s="9" t="s">
        <v>12</v>
      </c>
      <c r="E525" s="9">
        <v>2011</v>
      </c>
      <c r="F525" s="9"/>
      <c r="G525" s="11"/>
      <c r="H525" s="9"/>
      <c r="I525" s="9"/>
      <c r="J525" s="9"/>
      <c r="K525" s="9"/>
      <c r="L525" s="9"/>
      <c r="M525" s="9"/>
      <c r="N525" s="9"/>
    </row>
    <row r="526" spans="1:14" x14ac:dyDescent="0.25">
      <c r="A526" s="9" t="s">
        <v>22</v>
      </c>
      <c r="B526" s="9" t="s">
        <v>28</v>
      </c>
      <c r="C526" s="9" t="s">
        <v>19</v>
      </c>
      <c r="D526" s="9" t="s">
        <v>12</v>
      </c>
      <c r="E526" s="9">
        <v>2011</v>
      </c>
      <c r="F526" s="9"/>
      <c r="G526" s="11"/>
      <c r="H526" s="9"/>
      <c r="I526" s="9"/>
      <c r="J526" s="9"/>
      <c r="K526" s="9"/>
      <c r="L526" s="9"/>
      <c r="M526" s="9"/>
      <c r="N526" s="9"/>
    </row>
    <row r="527" spans="1:14" x14ac:dyDescent="0.25">
      <c r="A527" s="9" t="s">
        <v>22</v>
      </c>
      <c r="B527" s="9" t="s">
        <v>29</v>
      </c>
      <c r="C527" s="9" t="s">
        <v>19</v>
      </c>
      <c r="D527" s="9" t="s">
        <v>12</v>
      </c>
      <c r="E527" s="9">
        <v>2011</v>
      </c>
      <c r="F527" s="9"/>
      <c r="G527" s="11"/>
      <c r="H527" s="9"/>
      <c r="I527" s="9"/>
      <c r="J527" s="9"/>
      <c r="K527" s="9"/>
      <c r="L527" s="9"/>
      <c r="M527" s="9"/>
      <c r="N527" s="9"/>
    </row>
    <row r="528" spans="1:14" x14ac:dyDescent="0.25">
      <c r="A528" s="9" t="s">
        <v>22</v>
      </c>
      <c r="B528" s="9" t="s">
        <v>30</v>
      </c>
      <c r="C528" s="9" t="s">
        <v>19</v>
      </c>
      <c r="D528" s="9" t="s">
        <v>12</v>
      </c>
      <c r="E528" s="9">
        <v>2011</v>
      </c>
      <c r="F528" s="9"/>
      <c r="G528" s="11"/>
      <c r="H528" s="9"/>
      <c r="I528" s="9"/>
      <c r="J528" s="9"/>
      <c r="K528" s="9"/>
      <c r="L528" s="9"/>
      <c r="M528" s="9"/>
      <c r="N528" s="9"/>
    </row>
    <row r="529" spans="1:14" x14ac:dyDescent="0.25">
      <c r="A529" s="9" t="s">
        <v>22</v>
      </c>
      <c r="B529" s="9" t="s">
        <v>26</v>
      </c>
      <c r="C529" s="9" t="s">
        <v>19</v>
      </c>
      <c r="D529" s="9" t="s">
        <v>15</v>
      </c>
      <c r="E529" s="9">
        <v>2011</v>
      </c>
      <c r="F529" s="9"/>
      <c r="G529" s="11"/>
      <c r="H529" s="9"/>
      <c r="I529" s="9"/>
      <c r="J529" s="9"/>
      <c r="K529" s="9"/>
      <c r="L529" s="9"/>
      <c r="M529" s="9"/>
      <c r="N529" s="9"/>
    </row>
    <row r="530" spans="1:14" x14ac:dyDescent="0.25">
      <c r="A530" s="9" t="s">
        <v>22</v>
      </c>
      <c r="B530" s="9" t="s">
        <v>28</v>
      </c>
      <c r="C530" s="9" t="s">
        <v>19</v>
      </c>
      <c r="D530" s="9" t="s">
        <v>15</v>
      </c>
      <c r="E530" s="9">
        <v>2011</v>
      </c>
      <c r="F530" s="9"/>
      <c r="G530" s="11"/>
      <c r="H530" s="9"/>
      <c r="I530" s="9"/>
      <c r="J530" s="9"/>
      <c r="K530" s="9"/>
      <c r="L530" s="9"/>
      <c r="M530" s="9"/>
      <c r="N530" s="9"/>
    </row>
    <row r="531" spans="1:14" x14ac:dyDescent="0.25">
      <c r="A531" s="9" t="s">
        <v>22</v>
      </c>
      <c r="B531" s="9" t="s">
        <v>29</v>
      </c>
      <c r="C531" s="9" t="s">
        <v>19</v>
      </c>
      <c r="D531" s="9" t="s">
        <v>15</v>
      </c>
      <c r="E531" s="9">
        <v>2011</v>
      </c>
      <c r="F531" s="9"/>
      <c r="G531" s="11"/>
      <c r="H531" s="9"/>
      <c r="I531" s="9"/>
      <c r="J531" s="9"/>
      <c r="K531" s="9"/>
      <c r="L531" s="9"/>
      <c r="M531" s="9"/>
      <c r="N531" s="9"/>
    </row>
    <row r="532" spans="1:14" x14ac:dyDescent="0.25">
      <c r="A532" s="9" t="s">
        <v>22</v>
      </c>
      <c r="B532" s="9" t="s">
        <v>30</v>
      </c>
      <c r="C532" s="9" t="s">
        <v>19</v>
      </c>
      <c r="D532" s="9" t="s">
        <v>15</v>
      </c>
      <c r="E532" s="9">
        <v>2011</v>
      </c>
      <c r="F532" s="9"/>
      <c r="G532" s="11"/>
      <c r="H532" s="9"/>
      <c r="I532" s="9"/>
      <c r="J532" s="9"/>
      <c r="K532" s="9"/>
      <c r="L532" s="9"/>
      <c r="M532" s="9"/>
      <c r="N532" s="9"/>
    </row>
    <row r="533" spans="1:14" x14ac:dyDescent="0.25">
      <c r="A533" s="9"/>
      <c r="B533" s="9"/>
      <c r="C533" s="9"/>
      <c r="D533" s="9"/>
      <c r="E533" s="9"/>
      <c r="F533" s="9"/>
      <c r="G533" s="11"/>
      <c r="H533" s="9"/>
      <c r="I533" s="9"/>
      <c r="J533" s="9"/>
      <c r="K533" s="9"/>
      <c r="L533" s="9"/>
      <c r="M533" s="9"/>
      <c r="N533" s="9"/>
    </row>
    <row r="534" spans="1:14" x14ac:dyDescent="0.25">
      <c r="A534" s="9" t="s">
        <v>22</v>
      </c>
      <c r="B534" s="9" t="s">
        <v>24</v>
      </c>
      <c r="C534" s="9" t="s">
        <v>20</v>
      </c>
      <c r="D534" s="9" t="s">
        <v>12</v>
      </c>
      <c r="E534" s="9">
        <v>2011</v>
      </c>
      <c r="F534" s="9"/>
      <c r="G534" s="11"/>
      <c r="H534" s="9"/>
      <c r="I534" s="9"/>
      <c r="J534" s="9"/>
      <c r="K534" s="9"/>
      <c r="L534" s="9"/>
      <c r="M534" s="9"/>
      <c r="N534" s="9"/>
    </row>
    <row r="535" spans="1:14" x14ac:dyDescent="0.25">
      <c r="A535" s="9" t="s">
        <v>22</v>
      </c>
      <c r="B535" s="9" t="s">
        <v>26</v>
      </c>
      <c r="C535" s="9" t="s">
        <v>20</v>
      </c>
      <c r="D535" s="9" t="s">
        <v>12</v>
      </c>
      <c r="E535" s="9">
        <v>2011</v>
      </c>
      <c r="F535" s="9"/>
      <c r="G535" s="11"/>
      <c r="H535" s="9"/>
      <c r="I535" s="9"/>
      <c r="J535" s="9"/>
      <c r="K535" s="9"/>
      <c r="L535" s="9"/>
      <c r="M535" s="9"/>
      <c r="N535" s="9"/>
    </row>
    <row r="536" spans="1:14" x14ac:dyDescent="0.25">
      <c r="A536" s="9" t="s">
        <v>22</v>
      </c>
      <c r="B536" s="9" t="s">
        <v>27</v>
      </c>
      <c r="C536" s="9" t="s">
        <v>20</v>
      </c>
      <c r="D536" s="9" t="s">
        <v>12</v>
      </c>
      <c r="E536" s="9">
        <v>2011</v>
      </c>
      <c r="F536" s="9"/>
      <c r="G536" s="11"/>
      <c r="H536" s="9"/>
      <c r="I536" s="9"/>
      <c r="J536" s="9"/>
      <c r="K536" s="9"/>
      <c r="L536" s="9"/>
      <c r="M536" s="9"/>
      <c r="N536" s="9"/>
    </row>
    <row r="537" spans="1:14" x14ac:dyDescent="0.25">
      <c r="A537" s="9" t="s">
        <v>22</v>
      </c>
      <c r="B537" s="9" t="s">
        <v>28</v>
      </c>
      <c r="C537" s="9" t="s">
        <v>20</v>
      </c>
      <c r="D537" s="9" t="s">
        <v>12</v>
      </c>
      <c r="E537" s="9">
        <v>2011</v>
      </c>
      <c r="F537" s="9"/>
      <c r="G537" s="11"/>
      <c r="H537" s="9"/>
      <c r="I537" s="9"/>
      <c r="J537" s="9"/>
      <c r="K537" s="9"/>
      <c r="L537" s="9"/>
      <c r="M537" s="9"/>
      <c r="N537" s="9"/>
    </row>
    <row r="538" spans="1:14" x14ac:dyDescent="0.25">
      <c r="A538" s="9" t="s">
        <v>22</v>
      </c>
      <c r="B538" s="9" t="s">
        <v>29</v>
      </c>
      <c r="C538" s="9" t="s">
        <v>20</v>
      </c>
      <c r="D538" s="9" t="s">
        <v>12</v>
      </c>
      <c r="E538" s="9">
        <v>2011</v>
      </c>
      <c r="F538" s="9"/>
      <c r="G538" s="11"/>
      <c r="H538" s="9"/>
      <c r="I538" s="9"/>
      <c r="J538" s="9"/>
      <c r="K538" s="9"/>
      <c r="L538" s="9"/>
      <c r="M538" s="9"/>
      <c r="N538" s="9"/>
    </row>
    <row r="539" spans="1:14" x14ac:dyDescent="0.25">
      <c r="A539" s="9" t="s">
        <v>22</v>
      </c>
      <c r="B539" s="9" t="s">
        <v>30</v>
      </c>
      <c r="C539" s="9" t="s">
        <v>20</v>
      </c>
      <c r="D539" s="9" t="s">
        <v>12</v>
      </c>
      <c r="E539" s="9">
        <v>2011</v>
      </c>
      <c r="F539" s="9"/>
      <c r="G539" s="11"/>
      <c r="H539" s="9"/>
      <c r="I539" s="9"/>
      <c r="J539" s="9"/>
      <c r="K539" s="9"/>
      <c r="L539" s="9"/>
      <c r="M539" s="9"/>
      <c r="N539" s="9"/>
    </row>
    <row r="540" spans="1:14" x14ac:dyDescent="0.25">
      <c r="A540" s="9" t="s">
        <v>22</v>
      </c>
      <c r="B540" s="9" t="s">
        <v>26</v>
      </c>
      <c r="C540" s="9" t="s">
        <v>20</v>
      </c>
      <c r="D540" s="9" t="s">
        <v>15</v>
      </c>
      <c r="E540" s="9">
        <v>2011</v>
      </c>
      <c r="F540" s="9"/>
      <c r="G540" s="11"/>
      <c r="H540" s="9"/>
      <c r="I540" s="9"/>
      <c r="J540" s="9"/>
      <c r="K540" s="9"/>
      <c r="L540" s="9"/>
      <c r="M540" s="9"/>
      <c r="N540" s="9"/>
    </row>
    <row r="541" spans="1:14" x14ac:dyDescent="0.25">
      <c r="A541" s="9" t="s">
        <v>22</v>
      </c>
      <c r="B541" s="9" t="s">
        <v>28</v>
      </c>
      <c r="C541" s="9" t="s">
        <v>20</v>
      </c>
      <c r="D541" s="9" t="s">
        <v>15</v>
      </c>
      <c r="E541" s="9">
        <v>2011</v>
      </c>
      <c r="F541" s="9"/>
      <c r="G541" s="11"/>
      <c r="H541" s="9"/>
      <c r="I541" s="9"/>
      <c r="J541" s="9"/>
      <c r="K541" s="9"/>
      <c r="L541" s="9"/>
      <c r="M541" s="9"/>
      <c r="N541" s="9"/>
    </row>
    <row r="542" spans="1:14" x14ac:dyDescent="0.25">
      <c r="A542" s="9" t="s">
        <v>22</v>
      </c>
      <c r="B542" s="9" t="s">
        <v>29</v>
      </c>
      <c r="C542" s="9" t="s">
        <v>20</v>
      </c>
      <c r="D542" s="9" t="s">
        <v>15</v>
      </c>
      <c r="E542" s="9">
        <v>2011</v>
      </c>
      <c r="F542" s="9"/>
      <c r="G542" s="11"/>
      <c r="H542" s="9"/>
      <c r="I542" s="9"/>
      <c r="J542" s="9"/>
      <c r="K542" s="9"/>
      <c r="L542" s="9"/>
      <c r="M542" s="9"/>
      <c r="N542" s="9"/>
    </row>
    <row r="543" spans="1:14" x14ac:dyDescent="0.25">
      <c r="A543" s="9" t="s">
        <v>22</v>
      </c>
      <c r="B543" s="9" t="s">
        <v>30</v>
      </c>
      <c r="C543" s="9" t="s">
        <v>20</v>
      </c>
      <c r="D543" s="9" t="s">
        <v>15</v>
      </c>
      <c r="E543" s="9">
        <v>2011</v>
      </c>
      <c r="F543" s="9"/>
      <c r="G543" s="11"/>
      <c r="H543" s="9"/>
      <c r="I543" s="9"/>
      <c r="J543" s="9"/>
      <c r="K543" s="9"/>
      <c r="L543" s="9"/>
      <c r="M543" s="9"/>
      <c r="N543" s="9"/>
    </row>
    <row r="544" spans="1:14" ht="15.75" thickBot="1" x14ac:dyDescent="0.3">
      <c r="A544" s="6"/>
      <c r="B544" s="6"/>
      <c r="C544" s="6"/>
      <c r="D544" s="6"/>
      <c r="E544" s="6"/>
      <c r="F544" s="6"/>
      <c r="G544" s="34"/>
      <c r="H544" s="6"/>
      <c r="I544" s="6"/>
      <c r="J544" s="6"/>
      <c r="K544" s="6"/>
      <c r="L544" s="6"/>
      <c r="M544" s="6"/>
      <c r="N544" s="6"/>
    </row>
    <row r="545" spans="1:14" x14ac:dyDescent="0.25">
      <c r="A545" s="9"/>
      <c r="B545" s="9"/>
      <c r="C545" s="9"/>
      <c r="D545" s="9"/>
      <c r="E545" s="9"/>
      <c r="F545" s="9"/>
      <c r="G545" s="11"/>
      <c r="H545" s="9"/>
      <c r="I545" s="9"/>
      <c r="J545" s="9"/>
      <c r="K545" s="9"/>
      <c r="L545" s="9"/>
      <c r="M545" s="9"/>
      <c r="N545" s="9"/>
    </row>
    <row r="547" spans="1:14" x14ac:dyDescent="0.25">
      <c r="A547" t="s">
        <v>10</v>
      </c>
      <c r="B547" t="s">
        <v>24</v>
      </c>
      <c r="C547" t="s">
        <v>11</v>
      </c>
      <c r="D547" t="s">
        <v>12</v>
      </c>
      <c r="E547">
        <v>2013</v>
      </c>
      <c r="J547" s="7"/>
      <c r="K547" t="s">
        <v>12</v>
      </c>
      <c r="L547" t="s">
        <v>24</v>
      </c>
      <c r="M547" t="s">
        <v>31</v>
      </c>
    </row>
    <row r="548" spans="1:14" x14ac:dyDescent="0.25">
      <c r="A548" t="s">
        <v>10</v>
      </c>
      <c r="B548" t="s">
        <v>26</v>
      </c>
      <c r="C548" t="s">
        <v>11</v>
      </c>
      <c r="D548" t="s">
        <v>12</v>
      </c>
      <c r="E548">
        <v>2013</v>
      </c>
      <c r="J548" s="7"/>
      <c r="M548" t="s">
        <v>19</v>
      </c>
    </row>
    <row r="549" spans="1:14" x14ac:dyDescent="0.25">
      <c r="A549" t="s">
        <v>10</v>
      </c>
      <c r="B549" t="s">
        <v>27</v>
      </c>
      <c r="C549" t="s">
        <v>11</v>
      </c>
      <c r="D549" t="s">
        <v>12</v>
      </c>
      <c r="E549">
        <v>2013</v>
      </c>
      <c r="J549" s="7"/>
      <c r="M549" t="s">
        <v>20</v>
      </c>
    </row>
    <row r="550" spans="1:14" x14ac:dyDescent="0.25">
      <c r="A550" t="s">
        <v>10</v>
      </c>
      <c r="B550" t="s">
        <v>28</v>
      </c>
      <c r="C550" t="s">
        <v>11</v>
      </c>
      <c r="D550" t="s">
        <v>12</v>
      </c>
      <c r="E550">
        <v>2013</v>
      </c>
      <c r="J550" s="7"/>
      <c r="L550" t="s">
        <v>26</v>
      </c>
      <c r="M550" t="s">
        <v>31</v>
      </c>
    </row>
    <row r="551" spans="1:14" x14ac:dyDescent="0.25">
      <c r="A551" t="s">
        <v>10</v>
      </c>
      <c r="B551" t="s">
        <v>29</v>
      </c>
      <c r="C551" t="s">
        <v>11</v>
      </c>
      <c r="D551" t="s">
        <v>12</v>
      </c>
      <c r="E551">
        <v>2013</v>
      </c>
      <c r="J551" s="7"/>
      <c r="M551" t="s">
        <v>19</v>
      </c>
    </row>
    <row r="552" spans="1:14" x14ac:dyDescent="0.25">
      <c r="A552" t="s">
        <v>10</v>
      </c>
      <c r="B552" t="s">
        <v>30</v>
      </c>
      <c r="C552" t="s">
        <v>11</v>
      </c>
      <c r="D552" t="s">
        <v>12</v>
      </c>
      <c r="E552">
        <v>2013</v>
      </c>
      <c r="J552" s="7"/>
      <c r="M552" t="s">
        <v>20</v>
      </c>
    </row>
    <row r="553" spans="1:14" x14ac:dyDescent="0.25">
      <c r="A553" t="s">
        <v>10</v>
      </c>
      <c r="B553" t="s">
        <v>26</v>
      </c>
      <c r="C553" t="s">
        <v>11</v>
      </c>
      <c r="D553" t="s">
        <v>15</v>
      </c>
      <c r="E553">
        <v>2013</v>
      </c>
      <c r="J553" s="7"/>
      <c r="L553" t="s">
        <v>27</v>
      </c>
      <c r="M553" t="s">
        <v>31</v>
      </c>
    </row>
    <row r="554" spans="1:14" x14ac:dyDescent="0.25">
      <c r="A554" t="s">
        <v>10</v>
      </c>
      <c r="B554" t="s">
        <v>28</v>
      </c>
      <c r="C554" t="s">
        <v>11</v>
      </c>
      <c r="D554" t="s">
        <v>15</v>
      </c>
      <c r="E554">
        <v>2013</v>
      </c>
      <c r="J554" s="7"/>
      <c r="M554" t="s">
        <v>19</v>
      </c>
    </row>
    <row r="555" spans="1:14" x14ac:dyDescent="0.25">
      <c r="A555" t="s">
        <v>10</v>
      </c>
      <c r="B555" t="s">
        <v>29</v>
      </c>
      <c r="C555" t="s">
        <v>11</v>
      </c>
      <c r="D555" t="s">
        <v>15</v>
      </c>
      <c r="E555">
        <v>2013</v>
      </c>
      <c r="J555" s="7"/>
      <c r="M555" t="s">
        <v>20</v>
      </c>
    </row>
    <row r="556" spans="1:14" x14ac:dyDescent="0.25">
      <c r="A556" t="s">
        <v>10</v>
      </c>
      <c r="B556" t="s">
        <v>30</v>
      </c>
      <c r="C556" t="s">
        <v>11</v>
      </c>
      <c r="D556" t="s">
        <v>15</v>
      </c>
      <c r="E556">
        <v>2013</v>
      </c>
      <c r="J556" s="7"/>
      <c r="L556" t="s">
        <v>28</v>
      </c>
      <c r="M556" t="s">
        <v>31</v>
      </c>
    </row>
    <row r="557" spans="1:14" x14ac:dyDescent="0.25">
      <c r="M557" t="s">
        <v>19</v>
      </c>
    </row>
    <row r="558" spans="1:14" x14ac:dyDescent="0.25">
      <c r="A558" t="s">
        <v>10</v>
      </c>
      <c r="B558" t="s">
        <v>24</v>
      </c>
      <c r="C558" t="s">
        <v>31</v>
      </c>
      <c r="D558" t="s">
        <v>12</v>
      </c>
      <c r="E558">
        <v>2013</v>
      </c>
      <c r="M558" t="s">
        <v>20</v>
      </c>
    </row>
    <row r="559" spans="1:14" x14ac:dyDescent="0.25">
      <c r="A559" t="s">
        <v>10</v>
      </c>
      <c r="B559" t="s">
        <v>26</v>
      </c>
      <c r="C559" t="s">
        <v>31</v>
      </c>
      <c r="D559" t="s">
        <v>12</v>
      </c>
      <c r="E559">
        <v>2013</v>
      </c>
      <c r="K559" t="s">
        <v>15</v>
      </c>
      <c r="L559" t="s">
        <v>26</v>
      </c>
      <c r="M559" t="s">
        <v>31</v>
      </c>
    </row>
    <row r="560" spans="1:14" x14ac:dyDescent="0.25">
      <c r="A560" t="s">
        <v>10</v>
      </c>
      <c r="B560" t="s">
        <v>27</v>
      </c>
      <c r="C560" t="s">
        <v>31</v>
      </c>
      <c r="D560" t="s">
        <v>12</v>
      </c>
      <c r="E560">
        <v>2013</v>
      </c>
      <c r="M560" t="s">
        <v>19</v>
      </c>
    </row>
    <row r="561" spans="1:13" x14ac:dyDescent="0.25">
      <c r="A561" t="s">
        <v>10</v>
      </c>
      <c r="B561" t="s">
        <v>28</v>
      </c>
      <c r="C561" t="s">
        <v>31</v>
      </c>
      <c r="D561" t="s">
        <v>12</v>
      </c>
      <c r="E561">
        <v>2013</v>
      </c>
      <c r="M561" t="s">
        <v>20</v>
      </c>
    </row>
    <row r="562" spans="1:13" x14ac:dyDescent="0.25">
      <c r="A562" t="s">
        <v>10</v>
      </c>
      <c r="B562" t="s">
        <v>29</v>
      </c>
      <c r="C562" t="s">
        <v>31</v>
      </c>
      <c r="D562" t="s">
        <v>12</v>
      </c>
      <c r="E562">
        <v>2013</v>
      </c>
      <c r="L562" t="s">
        <v>28</v>
      </c>
      <c r="M562" t="s">
        <v>31</v>
      </c>
    </row>
    <row r="563" spans="1:13" x14ac:dyDescent="0.25">
      <c r="A563" t="s">
        <v>10</v>
      </c>
      <c r="B563" t="s">
        <v>30</v>
      </c>
      <c r="C563" t="s">
        <v>31</v>
      </c>
      <c r="D563" t="s">
        <v>12</v>
      </c>
      <c r="E563">
        <v>2013</v>
      </c>
      <c r="M563" t="s">
        <v>19</v>
      </c>
    </row>
    <row r="564" spans="1:13" x14ac:dyDescent="0.25">
      <c r="A564" t="s">
        <v>10</v>
      </c>
      <c r="B564" t="s">
        <v>26</v>
      </c>
      <c r="C564" t="s">
        <v>31</v>
      </c>
      <c r="D564" t="s">
        <v>15</v>
      </c>
      <c r="E564">
        <v>2013</v>
      </c>
      <c r="M564" t="s">
        <v>20</v>
      </c>
    </row>
    <row r="565" spans="1:13" x14ac:dyDescent="0.25">
      <c r="A565" t="s">
        <v>10</v>
      </c>
      <c r="B565" t="s">
        <v>28</v>
      </c>
      <c r="C565" t="s">
        <v>31</v>
      </c>
      <c r="D565" t="s">
        <v>15</v>
      </c>
      <c r="E565">
        <v>2013</v>
      </c>
    </row>
    <row r="566" spans="1:13" x14ac:dyDescent="0.25">
      <c r="A566" t="s">
        <v>10</v>
      </c>
      <c r="B566" t="s">
        <v>29</v>
      </c>
      <c r="C566" t="s">
        <v>31</v>
      </c>
      <c r="D566" t="s">
        <v>15</v>
      </c>
      <c r="E566">
        <v>2013</v>
      </c>
    </row>
    <row r="567" spans="1:13" x14ac:dyDescent="0.25">
      <c r="A567" t="s">
        <v>10</v>
      </c>
      <c r="B567" t="s">
        <v>30</v>
      </c>
      <c r="C567" t="s">
        <v>31</v>
      </c>
      <c r="D567" t="s">
        <v>15</v>
      </c>
      <c r="E567">
        <v>2013</v>
      </c>
    </row>
    <row r="569" spans="1:13" x14ac:dyDescent="0.25">
      <c r="A569" t="s">
        <v>10</v>
      </c>
      <c r="B569" t="s">
        <v>24</v>
      </c>
      <c r="C569" t="s">
        <v>19</v>
      </c>
      <c r="D569" t="s">
        <v>12</v>
      </c>
      <c r="E569">
        <v>2013</v>
      </c>
    </row>
    <row r="570" spans="1:13" x14ac:dyDescent="0.25">
      <c r="A570" t="s">
        <v>10</v>
      </c>
      <c r="B570" t="s">
        <v>26</v>
      </c>
      <c r="C570" t="s">
        <v>19</v>
      </c>
      <c r="D570" t="s">
        <v>12</v>
      </c>
      <c r="E570">
        <v>2013</v>
      </c>
    </row>
    <row r="571" spans="1:13" x14ac:dyDescent="0.25">
      <c r="A571" t="s">
        <v>10</v>
      </c>
      <c r="B571" t="s">
        <v>27</v>
      </c>
      <c r="C571" t="s">
        <v>19</v>
      </c>
      <c r="D571" t="s">
        <v>12</v>
      </c>
      <c r="E571">
        <v>2013</v>
      </c>
    </row>
    <row r="572" spans="1:13" x14ac:dyDescent="0.25">
      <c r="A572" t="s">
        <v>10</v>
      </c>
      <c r="B572" t="s">
        <v>28</v>
      </c>
      <c r="C572" t="s">
        <v>19</v>
      </c>
      <c r="D572" t="s">
        <v>12</v>
      </c>
      <c r="E572">
        <v>2013</v>
      </c>
    </row>
    <row r="573" spans="1:13" x14ac:dyDescent="0.25">
      <c r="A573" t="s">
        <v>10</v>
      </c>
      <c r="B573" t="s">
        <v>29</v>
      </c>
      <c r="C573" t="s">
        <v>19</v>
      </c>
      <c r="D573" t="s">
        <v>12</v>
      </c>
      <c r="E573">
        <v>2013</v>
      </c>
    </row>
    <row r="574" spans="1:13" x14ac:dyDescent="0.25">
      <c r="A574" t="s">
        <v>10</v>
      </c>
      <c r="B574" t="s">
        <v>30</v>
      </c>
      <c r="C574" t="s">
        <v>19</v>
      </c>
      <c r="D574" t="s">
        <v>12</v>
      </c>
      <c r="E574">
        <v>2013</v>
      </c>
    </row>
    <row r="575" spans="1:13" x14ac:dyDescent="0.25">
      <c r="A575" t="s">
        <v>10</v>
      </c>
      <c r="B575" t="s">
        <v>26</v>
      </c>
      <c r="C575" t="s">
        <v>19</v>
      </c>
      <c r="D575" t="s">
        <v>15</v>
      </c>
      <c r="E575">
        <v>2013</v>
      </c>
    </row>
    <row r="576" spans="1:13" x14ac:dyDescent="0.25">
      <c r="A576" t="s">
        <v>10</v>
      </c>
      <c r="B576" t="s">
        <v>28</v>
      </c>
      <c r="C576" t="s">
        <v>19</v>
      </c>
      <c r="D576" t="s">
        <v>15</v>
      </c>
      <c r="E576">
        <v>2013</v>
      </c>
    </row>
    <row r="577" spans="1:5" x14ac:dyDescent="0.25">
      <c r="A577" t="s">
        <v>10</v>
      </c>
      <c r="B577" t="s">
        <v>29</v>
      </c>
      <c r="C577" t="s">
        <v>19</v>
      </c>
      <c r="D577" t="s">
        <v>15</v>
      </c>
      <c r="E577">
        <v>2013</v>
      </c>
    </row>
    <row r="578" spans="1:5" x14ac:dyDescent="0.25">
      <c r="A578" t="s">
        <v>10</v>
      </c>
      <c r="B578" t="s">
        <v>30</v>
      </c>
      <c r="C578" t="s">
        <v>19</v>
      </c>
      <c r="D578" t="s">
        <v>15</v>
      </c>
      <c r="E578">
        <v>2013</v>
      </c>
    </row>
    <row r="580" spans="1:5" x14ac:dyDescent="0.25">
      <c r="A580" t="s">
        <v>10</v>
      </c>
      <c r="B580" t="s">
        <v>24</v>
      </c>
      <c r="C580" t="s">
        <v>20</v>
      </c>
      <c r="D580" t="s">
        <v>12</v>
      </c>
      <c r="E580">
        <v>2013</v>
      </c>
    </row>
    <row r="581" spans="1:5" x14ac:dyDescent="0.25">
      <c r="A581" t="s">
        <v>10</v>
      </c>
      <c r="B581" t="s">
        <v>26</v>
      </c>
      <c r="C581" t="s">
        <v>20</v>
      </c>
      <c r="D581" t="s">
        <v>12</v>
      </c>
      <c r="E581">
        <v>2013</v>
      </c>
    </row>
    <row r="582" spans="1:5" x14ac:dyDescent="0.25">
      <c r="A582" t="s">
        <v>10</v>
      </c>
      <c r="B582" t="s">
        <v>27</v>
      </c>
      <c r="C582" t="s">
        <v>20</v>
      </c>
      <c r="D582" t="s">
        <v>12</v>
      </c>
      <c r="E582">
        <v>2013</v>
      </c>
    </row>
    <row r="583" spans="1:5" x14ac:dyDescent="0.25">
      <c r="A583" t="s">
        <v>10</v>
      </c>
      <c r="B583" t="s">
        <v>28</v>
      </c>
      <c r="C583" t="s">
        <v>20</v>
      </c>
      <c r="D583" t="s">
        <v>12</v>
      </c>
      <c r="E583">
        <v>2013</v>
      </c>
    </row>
    <row r="584" spans="1:5" x14ac:dyDescent="0.25">
      <c r="A584" t="s">
        <v>10</v>
      </c>
      <c r="B584" t="s">
        <v>29</v>
      </c>
      <c r="C584" t="s">
        <v>20</v>
      </c>
      <c r="D584" t="s">
        <v>12</v>
      </c>
      <c r="E584">
        <v>2013</v>
      </c>
    </row>
    <row r="585" spans="1:5" x14ac:dyDescent="0.25">
      <c r="A585" t="s">
        <v>10</v>
      </c>
      <c r="B585" t="s">
        <v>30</v>
      </c>
      <c r="C585" t="s">
        <v>20</v>
      </c>
      <c r="D585" t="s">
        <v>12</v>
      </c>
      <c r="E585">
        <v>2013</v>
      </c>
    </row>
    <row r="586" spans="1:5" x14ac:dyDescent="0.25">
      <c r="A586" t="s">
        <v>10</v>
      </c>
      <c r="B586" t="s">
        <v>26</v>
      </c>
      <c r="C586" t="s">
        <v>20</v>
      </c>
      <c r="D586" t="s">
        <v>15</v>
      </c>
      <c r="E586">
        <v>2013</v>
      </c>
    </row>
    <row r="587" spans="1:5" x14ac:dyDescent="0.25">
      <c r="A587" t="s">
        <v>10</v>
      </c>
      <c r="B587" t="s">
        <v>28</v>
      </c>
      <c r="C587" t="s">
        <v>20</v>
      </c>
      <c r="D587" t="s">
        <v>15</v>
      </c>
      <c r="E587">
        <v>2013</v>
      </c>
    </row>
    <row r="588" spans="1:5" x14ac:dyDescent="0.25">
      <c r="A588" t="s">
        <v>10</v>
      </c>
      <c r="B588" t="s">
        <v>29</v>
      </c>
      <c r="C588" t="s">
        <v>20</v>
      </c>
      <c r="D588" t="s">
        <v>15</v>
      </c>
      <c r="E588">
        <v>2013</v>
      </c>
    </row>
    <row r="589" spans="1:5" x14ac:dyDescent="0.25">
      <c r="A589" t="s">
        <v>10</v>
      </c>
      <c r="B589" t="s">
        <v>30</v>
      </c>
      <c r="C589" t="s">
        <v>20</v>
      </c>
      <c r="D589" t="s">
        <v>15</v>
      </c>
      <c r="E589">
        <v>2013</v>
      </c>
    </row>
    <row r="593" spans="1:12" x14ac:dyDescent="0.25">
      <c r="A593" t="s">
        <v>21</v>
      </c>
      <c r="B593" t="s">
        <v>24</v>
      </c>
      <c r="C593" t="s">
        <v>11</v>
      </c>
      <c r="D593" t="s">
        <v>12</v>
      </c>
      <c r="E593">
        <v>2012</v>
      </c>
      <c r="J593" s="4"/>
      <c r="K593" t="s">
        <v>12</v>
      </c>
      <c r="L593" t="s">
        <v>31</v>
      </c>
    </row>
    <row r="594" spans="1:12" x14ac:dyDescent="0.25">
      <c r="A594" t="s">
        <v>21</v>
      </c>
      <c r="B594" t="s">
        <v>26</v>
      </c>
      <c r="C594" t="s">
        <v>11</v>
      </c>
      <c r="D594" t="s">
        <v>12</v>
      </c>
      <c r="E594">
        <v>2012</v>
      </c>
      <c r="J594" s="4"/>
      <c r="L594" t="s">
        <v>19</v>
      </c>
    </row>
    <row r="595" spans="1:12" x14ac:dyDescent="0.25">
      <c r="A595" t="s">
        <v>21</v>
      </c>
      <c r="B595" t="s">
        <v>27</v>
      </c>
      <c r="C595" t="s">
        <v>11</v>
      </c>
      <c r="D595" t="s">
        <v>12</v>
      </c>
      <c r="E595">
        <v>2012</v>
      </c>
      <c r="J595" s="4"/>
      <c r="L595" t="s">
        <v>20</v>
      </c>
    </row>
    <row r="596" spans="1:12" x14ac:dyDescent="0.25">
      <c r="A596" t="s">
        <v>21</v>
      </c>
      <c r="B596" t="s">
        <v>28</v>
      </c>
      <c r="C596" t="s">
        <v>11</v>
      </c>
      <c r="D596" t="s">
        <v>12</v>
      </c>
      <c r="E596">
        <v>2012</v>
      </c>
      <c r="J596" s="4"/>
      <c r="K596" t="s">
        <v>15</v>
      </c>
      <c r="L596" t="s">
        <v>31</v>
      </c>
    </row>
    <row r="597" spans="1:12" x14ac:dyDescent="0.25">
      <c r="A597" t="s">
        <v>21</v>
      </c>
      <c r="B597" t="s">
        <v>29</v>
      </c>
      <c r="C597" t="s">
        <v>11</v>
      </c>
      <c r="D597" t="s">
        <v>12</v>
      </c>
      <c r="E597">
        <v>2012</v>
      </c>
      <c r="J597" s="4"/>
      <c r="L597" t="s">
        <v>19</v>
      </c>
    </row>
    <row r="598" spans="1:12" x14ac:dyDescent="0.25">
      <c r="A598" t="s">
        <v>21</v>
      </c>
      <c r="B598" t="s">
        <v>30</v>
      </c>
      <c r="C598" t="s">
        <v>11</v>
      </c>
      <c r="D598" t="s">
        <v>12</v>
      </c>
      <c r="E598">
        <v>2012</v>
      </c>
      <c r="J598" s="4"/>
      <c r="L598" t="s">
        <v>20</v>
      </c>
    </row>
    <row r="599" spans="1:12" x14ac:dyDescent="0.25">
      <c r="A599" t="s">
        <v>21</v>
      </c>
      <c r="B599" t="s">
        <v>26</v>
      </c>
      <c r="C599" t="s">
        <v>11</v>
      </c>
      <c r="D599" t="s">
        <v>15</v>
      </c>
      <c r="E599">
        <v>2012</v>
      </c>
      <c r="J599" s="4"/>
    </row>
    <row r="600" spans="1:12" x14ac:dyDescent="0.25">
      <c r="A600" t="s">
        <v>21</v>
      </c>
      <c r="B600" t="s">
        <v>28</v>
      </c>
      <c r="C600" t="s">
        <v>11</v>
      </c>
      <c r="D600" t="s">
        <v>15</v>
      </c>
      <c r="E600">
        <v>2012</v>
      </c>
      <c r="J600" s="4"/>
    </row>
    <row r="601" spans="1:12" x14ac:dyDescent="0.25">
      <c r="A601" t="s">
        <v>21</v>
      </c>
      <c r="B601" t="s">
        <v>29</v>
      </c>
      <c r="C601" t="s">
        <v>11</v>
      </c>
      <c r="D601" t="s">
        <v>15</v>
      </c>
      <c r="E601">
        <v>2012</v>
      </c>
      <c r="J601" s="4"/>
    </row>
    <row r="602" spans="1:12" x14ac:dyDescent="0.25">
      <c r="A602" t="s">
        <v>21</v>
      </c>
      <c r="B602" t="s">
        <v>30</v>
      </c>
      <c r="C602" t="s">
        <v>11</v>
      </c>
      <c r="D602" t="s">
        <v>15</v>
      </c>
      <c r="E602">
        <v>2012</v>
      </c>
      <c r="J602" s="4"/>
    </row>
    <row r="604" spans="1:12" x14ac:dyDescent="0.25">
      <c r="A604" t="s">
        <v>21</v>
      </c>
      <c r="B604" t="s">
        <v>24</v>
      </c>
      <c r="C604" t="s">
        <v>31</v>
      </c>
      <c r="D604" t="s">
        <v>12</v>
      </c>
      <c r="E604">
        <v>2012</v>
      </c>
    </row>
    <row r="605" spans="1:12" x14ac:dyDescent="0.25">
      <c r="A605" t="s">
        <v>21</v>
      </c>
      <c r="B605" t="s">
        <v>26</v>
      </c>
      <c r="C605" t="s">
        <v>31</v>
      </c>
      <c r="D605" t="s">
        <v>12</v>
      </c>
      <c r="E605">
        <v>2012</v>
      </c>
    </row>
    <row r="606" spans="1:12" x14ac:dyDescent="0.25">
      <c r="A606" t="s">
        <v>21</v>
      </c>
      <c r="B606" t="s">
        <v>27</v>
      </c>
      <c r="C606" t="s">
        <v>31</v>
      </c>
      <c r="D606" t="s">
        <v>12</v>
      </c>
      <c r="E606">
        <v>2012</v>
      </c>
    </row>
    <row r="607" spans="1:12" x14ac:dyDescent="0.25">
      <c r="A607" t="s">
        <v>21</v>
      </c>
      <c r="B607" t="s">
        <v>28</v>
      </c>
      <c r="C607" t="s">
        <v>31</v>
      </c>
      <c r="D607" t="s">
        <v>12</v>
      </c>
      <c r="E607">
        <v>2012</v>
      </c>
    </row>
    <row r="608" spans="1:12" x14ac:dyDescent="0.25">
      <c r="A608" t="s">
        <v>21</v>
      </c>
      <c r="B608" t="s">
        <v>29</v>
      </c>
      <c r="C608" t="s">
        <v>31</v>
      </c>
      <c r="D608" t="s">
        <v>12</v>
      </c>
      <c r="E608">
        <v>2012</v>
      </c>
    </row>
    <row r="609" spans="1:5" x14ac:dyDescent="0.25">
      <c r="A609" t="s">
        <v>21</v>
      </c>
      <c r="B609" t="s">
        <v>30</v>
      </c>
      <c r="C609" t="s">
        <v>31</v>
      </c>
      <c r="D609" t="s">
        <v>12</v>
      </c>
      <c r="E609">
        <v>2012</v>
      </c>
    </row>
    <row r="610" spans="1:5" x14ac:dyDescent="0.25">
      <c r="A610" t="s">
        <v>21</v>
      </c>
      <c r="B610" t="s">
        <v>26</v>
      </c>
      <c r="C610" t="s">
        <v>31</v>
      </c>
      <c r="D610" t="s">
        <v>15</v>
      </c>
      <c r="E610">
        <v>2012</v>
      </c>
    </row>
    <row r="611" spans="1:5" x14ac:dyDescent="0.25">
      <c r="A611" t="s">
        <v>21</v>
      </c>
      <c r="B611" t="s">
        <v>28</v>
      </c>
      <c r="C611" t="s">
        <v>31</v>
      </c>
      <c r="D611" t="s">
        <v>15</v>
      </c>
      <c r="E611">
        <v>2012</v>
      </c>
    </row>
    <row r="612" spans="1:5" x14ac:dyDescent="0.25">
      <c r="A612" t="s">
        <v>21</v>
      </c>
      <c r="B612" t="s">
        <v>29</v>
      </c>
      <c r="C612" t="s">
        <v>31</v>
      </c>
      <c r="D612" t="s">
        <v>15</v>
      </c>
      <c r="E612">
        <v>2012</v>
      </c>
    </row>
    <row r="613" spans="1:5" x14ac:dyDescent="0.25">
      <c r="A613" t="s">
        <v>21</v>
      </c>
      <c r="B613" t="s">
        <v>30</v>
      </c>
      <c r="C613" t="s">
        <v>31</v>
      </c>
      <c r="D613" t="s">
        <v>15</v>
      </c>
      <c r="E613">
        <v>2012</v>
      </c>
    </row>
    <row r="615" spans="1:5" x14ac:dyDescent="0.25">
      <c r="A615" t="s">
        <v>21</v>
      </c>
      <c r="B615" t="s">
        <v>24</v>
      </c>
      <c r="C615" t="s">
        <v>19</v>
      </c>
      <c r="D615" t="s">
        <v>12</v>
      </c>
      <c r="E615">
        <v>2012</v>
      </c>
    </row>
    <row r="616" spans="1:5" x14ac:dyDescent="0.25">
      <c r="A616" t="s">
        <v>21</v>
      </c>
      <c r="B616" t="s">
        <v>26</v>
      </c>
      <c r="C616" t="s">
        <v>19</v>
      </c>
      <c r="D616" t="s">
        <v>12</v>
      </c>
      <c r="E616">
        <v>2012</v>
      </c>
    </row>
    <row r="617" spans="1:5" x14ac:dyDescent="0.25">
      <c r="A617" t="s">
        <v>21</v>
      </c>
      <c r="B617" t="s">
        <v>27</v>
      </c>
      <c r="C617" t="s">
        <v>19</v>
      </c>
      <c r="D617" t="s">
        <v>12</v>
      </c>
      <c r="E617">
        <v>2012</v>
      </c>
    </row>
    <row r="618" spans="1:5" x14ac:dyDescent="0.25">
      <c r="A618" t="s">
        <v>21</v>
      </c>
      <c r="B618" t="s">
        <v>28</v>
      </c>
      <c r="C618" t="s">
        <v>19</v>
      </c>
      <c r="D618" t="s">
        <v>12</v>
      </c>
      <c r="E618">
        <v>2012</v>
      </c>
    </row>
    <row r="619" spans="1:5" x14ac:dyDescent="0.25">
      <c r="A619" t="s">
        <v>21</v>
      </c>
      <c r="B619" t="s">
        <v>29</v>
      </c>
      <c r="C619" t="s">
        <v>19</v>
      </c>
      <c r="D619" t="s">
        <v>12</v>
      </c>
      <c r="E619">
        <v>2012</v>
      </c>
    </row>
    <row r="620" spans="1:5" x14ac:dyDescent="0.25">
      <c r="A620" t="s">
        <v>21</v>
      </c>
      <c r="B620" t="s">
        <v>30</v>
      </c>
      <c r="C620" t="s">
        <v>19</v>
      </c>
      <c r="D620" t="s">
        <v>12</v>
      </c>
      <c r="E620">
        <v>2012</v>
      </c>
    </row>
    <row r="621" spans="1:5" x14ac:dyDescent="0.25">
      <c r="A621" t="s">
        <v>21</v>
      </c>
      <c r="B621" t="s">
        <v>26</v>
      </c>
      <c r="C621" t="s">
        <v>19</v>
      </c>
      <c r="D621" t="s">
        <v>15</v>
      </c>
      <c r="E621">
        <v>2012</v>
      </c>
    </row>
    <row r="622" spans="1:5" x14ac:dyDescent="0.25">
      <c r="A622" t="s">
        <v>21</v>
      </c>
      <c r="B622" t="s">
        <v>28</v>
      </c>
      <c r="C622" t="s">
        <v>19</v>
      </c>
      <c r="D622" t="s">
        <v>15</v>
      </c>
      <c r="E622">
        <v>2012</v>
      </c>
    </row>
    <row r="623" spans="1:5" x14ac:dyDescent="0.25">
      <c r="A623" t="s">
        <v>21</v>
      </c>
      <c r="B623" t="s">
        <v>29</v>
      </c>
      <c r="C623" t="s">
        <v>19</v>
      </c>
      <c r="D623" t="s">
        <v>15</v>
      </c>
      <c r="E623">
        <v>2012</v>
      </c>
    </row>
    <row r="624" spans="1:5" x14ac:dyDescent="0.25">
      <c r="A624" t="s">
        <v>21</v>
      </c>
      <c r="B624" t="s">
        <v>30</v>
      </c>
      <c r="C624" t="s">
        <v>19</v>
      </c>
      <c r="D624" t="s">
        <v>15</v>
      </c>
      <c r="E624">
        <v>2012</v>
      </c>
    </row>
    <row r="626" spans="1:12" x14ac:dyDescent="0.25">
      <c r="A626" t="s">
        <v>21</v>
      </c>
      <c r="B626" t="s">
        <v>24</v>
      </c>
      <c r="C626" t="s">
        <v>20</v>
      </c>
      <c r="D626" t="s">
        <v>12</v>
      </c>
      <c r="E626">
        <v>2012</v>
      </c>
    </row>
    <row r="627" spans="1:12" x14ac:dyDescent="0.25">
      <c r="A627" t="s">
        <v>21</v>
      </c>
      <c r="B627" t="s">
        <v>26</v>
      </c>
      <c r="C627" t="s">
        <v>20</v>
      </c>
      <c r="D627" t="s">
        <v>12</v>
      </c>
      <c r="E627">
        <v>2012</v>
      </c>
    </row>
    <row r="628" spans="1:12" x14ac:dyDescent="0.25">
      <c r="A628" t="s">
        <v>21</v>
      </c>
      <c r="B628" t="s">
        <v>27</v>
      </c>
      <c r="C628" t="s">
        <v>20</v>
      </c>
      <c r="D628" t="s">
        <v>12</v>
      </c>
      <c r="E628">
        <v>2012</v>
      </c>
    </row>
    <row r="629" spans="1:12" x14ac:dyDescent="0.25">
      <c r="A629" t="s">
        <v>21</v>
      </c>
      <c r="B629" t="s">
        <v>28</v>
      </c>
      <c r="C629" t="s">
        <v>20</v>
      </c>
      <c r="D629" t="s">
        <v>12</v>
      </c>
      <c r="E629">
        <v>2012</v>
      </c>
    </row>
    <row r="630" spans="1:12" x14ac:dyDescent="0.25">
      <c r="A630" t="s">
        <v>21</v>
      </c>
      <c r="B630" t="s">
        <v>29</v>
      </c>
      <c r="C630" t="s">
        <v>20</v>
      </c>
      <c r="D630" t="s">
        <v>12</v>
      </c>
      <c r="E630">
        <v>2012</v>
      </c>
    </row>
    <row r="631" spans="1:12" x14ac:dyDescent="0.25">
      <c r="A631" t="s">
        <v>21</v>
      </c>
      <c r="B631" t="s">
        <v>30</v>
      </c>
      <c r="C631" t="s">
        <v>20</v>
      </c>
      <c r="D631" t="s">
        <v>12</v>
      </c>
      <c r="E631">
        <v>2012</v>
      </c>
    </row>
    <row r="632" spans="1:12" x14ac:dyDescent="0.25">
      <c r="A632" t="s">
        <v>21</v>
      </c>
      <c r="B632" t="s">
        <v>26</v>
      </c>
      <c r="C632" t="s">
        <v>20</v>
      </c>
      <c r="D632" t="s">
        <v>15</v>
      </c>
      <c r="E632">
        <v>2012</v>
      </c>
    </row>
    <row r="633" spans="1:12" x14ac:dyDescent="0.25">
      <c r="A633" t="s">
        <v>21</v>
      </c>
      <c r="B633" t="s">
        <v>28</v>
      </c>
      <c r="C633" t="s">
        <v>20</v>
      </c>
      <c r="D633" t="s">
        <v>15</v>
      </c>
      <c r="E633">
        <v>2012</v>
      </c>
    </row>
    <row r="634" spans="1:12" x14ac:dyDescent="0.25">
      <c r="A634" t="s">
        <v>21</v>
      </c>
      <c r="B634" t="s">
        <v>29</v>
      </c>
      <c r="C634" t="s">
        <v>20</v>
      </c>
      <c r="D634" t="s">
        <v>15</v>
      </c>
      <c r="E634">
        <v>2012</v>
      </c>
    </row>
    <row r="635" spans="1:12" x14ac:dyDescent="0.25">
      <c r="A635" t="s">
        <v>21</v>
      </c>
      <c r="B635" t="s">
        <v>30</v>
      </c>
      <c r="C635" t="s">
        <v>20</v>
      </c>
      <c r="D635" t="s">
        <v>15</v>
      </c>
      <c r="E635">
        <v>2012</v>
      </c>
    </row>
    <row r="638" spans="1:12" x14ac:dyDescent="0.25">
      <c r="A638" t="s">
        <v>22</v>
      </c>
      <c r="B638" t="s">
        <v>24</v>
      </c>
      <c r="C638" t="s">
        <v>11</v>
      </c>
      <c r="D638" t="s">
        <v>12</v>
      </c>
      <c r="E638">
        <v>2013</v>
      </c>
      <c r="K638" t="s">
        <v>12</v>
      </c>
      <c r="L638" t="s">
        <v>31</v>
      </c>
    </row>
    <row r="639" spans="1:12" x14ac:dyDescent="0.25">
      <c r="A639" t="s">
        <v>22</v>
      </c>
      <c r="B639" t="s">
        <v>26</v>
      </c>
      <c r="C639" t="s">
        <v>11</v>
      </c>
      <c r="D639" t="s">
        <v>12</v>
      </c>
      <c r="E639">
        <v>2013</v>
      </c>
      <c r="L639" t="s">
        <v>19</v>
      </c>
    </row>
    <row r="640" spans="1:12" x14ac:dyDescent="0.25">
      <c r="A640" t="s">
        <v>22</v>
      </c>
      <c r="B640" t="s">
        <v>27</v>
      </c>
      <c r="C640" t="s">
        <v>11</v>
      </c>
      <c r="D640" t="s">
        <v>12</v>
      </c>
      <c r="E640">
        <v>2013</v>
      </c>
      <c r="L640" t="s">
        <v>20</v>
      </c>
    </row>
    <row r="641" spans="1:12" x14ac:dyDescent="0.25">
      <c r="A641" t="s">
        <v>22</v>
      </c>
      <c r="B641" t="s">
        <v>28</v>
      </c>
      <c r="C641" t="s">
        <v>11</v>
      </c>
      <c r="D641" t="s">
        <v>12</v>
      </c>
      <c r="E641">
        <v>2013</v>
      </c>
      <c r="K641" t="s">
        <v>15</v>
      </c>
      <c r="L641" t="s">
        <v>31</v>
      </c>
    </row>
    <row r="642" spans="1:12" x14ac:dyDescent="0.25">
      <c r="A642" t="s">
        <v>22</v>
      </c>
      <c r="B642" t="s">
        <v>29</v>
      </c>
      <c r="C642" t="s">
        <v>11</v>
      </c>
      <c r="D642" t="s">
        <v>12</v>
      </c>
      <c r="E642">
        <v>2013</v>
      </c>
      <c r="L642" t="s">
        <v>19</v>
      </c>
    </row>
    <row r="643" spans="1:12" x14ac:dyDescent="0.25">
      <c r="A643" t="s">
        <v>22</v>
      </c>
      <c r="B643" t="s">
        <v>30</v>
      </c>
      <c r="C643" t="s">
        <v>11</v>
      </c>
      <c r="D643" t="s">
        <v>12</v>
      </c>
      <c r="E643">
        <v>2013</v>
      </c>
      <c r="L643" t="s">
        <v>20</v>
      </c>
    </row>
    <row r="644" spans="1:12" x14ac:dyDescent="0.25">
      <c r="A644" t="s">
        <v>22</v>
      </c>
      <c r="B644" t="s">
        <v>26</v>
      </c>
      <c r="C644" t="s">
        <v>11</v>
      </c>
      <c r="D644" t="s">
        <v>15</v>
      </c>
      <c r="E644">
        <v>2013</v>
      </c>
    </row>
    <row r="645" spans="1:12" x14ac:dyDescent="0.25">
      <c r="A645" t="s">
        <v>22</v>
      </c>
      <c r="B645" t="s">
        <v>28</v>
      </c>
      <c r="C645" t="s">
        <v>11</v>
      </c>
      <c r="D645" t="s">
        <v>15</v>
      </c>
      <c r="E645">
        <v>2013</v>
      </c>
    </row>
    <row r="646" spans="1:12" x14ac:dyDescent="0.25">
      <c r="A646" t="s">
        <v>22</v>
      </c>
      <c r="B646" t="s">
        <v>29</v>
      </c>
      <c r="C646" t="s">
        <v>11</v>
      </c>
      <c r="D646" t="s">
        <v>15</v>
      </c>
      <c r="E646">
        <v>2013</v>
      </c>
    </row>
    <row r="647" spans="1:12" x14ac:dyDescent="0.25">
      <c r="A647" t="s">
        <v>22</v>
      </c>
      <c r="B647" t="s">
        <v>30</v>
      </c>
      <c r="C647" t="s">
        <v>11</v>
      </c>
      <c r="D647" t="s">
        <v>15</v>
      </c>
      <c r="E647">
        <v>2013</v>
      </c>
    </row>
    <row r="649" spans="1:12" x14ac:dyDescent="0.25">
      <c r="A649" t="s">
        <v>22</v>
      </c>
      <c r="B649" t="s">
        <v>24</v>
      </c>
      <c r="C649" t="s">
        <v>31</v>
      </c>
      <c r="D649" t="s">
        <v>12</v>
      </c>
      <c r="E649">
        <v>2013</v>
      </c>
    </row>
    <row r="650" spans="1:12" x14ac:dyDescent="0.25">
      <c r="A650" t="s">
        <v>22</v>
      </c>
      <c r="B650" t="s">
        <v>26</v>
      </c>
      <c r="C650" t="s">
        <v>31</v>
      </c>
      <c r="D650" t="s">
        <v>12</v>
      </c>
      <c r="E650">
        <v>2013</v>
      </c>
    </row>
    <row r="651" spans="1:12" x14ac:dyDescent="0.25">
      <c r="A651" t="s">
        <v>22</v>
      </c>
      <c r="B651" t="s">
        <v>27</v>
      </c>
      <c r="C651" t="s">
        <v>31</v>
      </c>
      <c r="D651" t="s">
        <v>12</v>
      </c>
      <c r="E651">
        <v>2013</v>
      </c>
    </row>
    <row r="652" spans="1:12" x14ac:dyDescent="0.25">
      <c r="A652" t="s">
        <v>22</v>
      </c>
      <c r="B652" t="s">
        <v>28</v>
      </c>
      <c r="C652" t="s">
        <v>31</v>
      </c>
      <c r="D652" t="s">
        <v>12</v>
      </c>
      <c r="E652">
        <v>2013</v>
      </c>
    </row>
    <row r="653" spans="1:12" x14ac:dyDescent="0.25">
      <c r="A653" t="s">
        <v>22</v>
      </c>
      <c r="B653" t="s">
        <v>29</v>
      </c>
      <c r="C653" t="s">
        <v>31</v>
      </c>
      <c r="D653" t="s">
        <v>12</v>
      </c>
      <c r="E653">
        <v>2013</v>
      </c>
    </row>
    <row r="654" spans="1:12" x14ac:dyDescent="0.25">
      <c r="A654" t="s">
        <v>22</v>
      </c>
      <c r="B654" t="s">
        <v>30</v>
      </c>
      <c r="C654" t="s">
        <v>31</v>
      </c>
      <c r="D654" t="s">
        <v>12</v>
      </c>
      <c r="E654">
        <v>2013</v>
      </c>
    </row>
    <row r="655" spans="1:12" x14ac:dyDescent="0.25">
      <c r="A655" t="s">
        <v>22</v>
      </c>
      <c r="B655" t="s">
        <v>26</v>
      </c>
      <c r="C655" t="s">
        <v>31</v>
      </c>
      <c r="D655" t="s">
        <v>15</v>
      </c>
      <c r="E655">
        <v>2013</v>
      </c>
    </row>
    <row r="656" spans="1:12" x14ac:dyDescent="0.25">
      <c r="A656" t="s">
        <v>22</v>
      </c>
      <c r="B656" t="s">
        <v>28</v>
      </c>
      <c r="C656" t="s">
        <v>31</v>
      </c>
      <c r="D656" t="s">
        <v>15</v>
      </c>
      <c r="E656">
        <v>2013</v>
      </c>
    </row>
    <row r="657" spans="1:5" x14ac:dyDescent="0.25">
      <c r="A657" t="s">
        <v>22</v>
      </c>
      <c r="B657" t="s">
        <v>29</v>
      </c>
      <c r="C657" t="s">
        <v>31</v>
      </c>
      <c r="D657" t="s">
        <v>15</v>
      </c>
      <c r="E657">
        <v>2013</v>
      </c>
    </row>
    <row r="658" spans="1:5" x14ac:dyDescent="0.25">
      <c r="A658" t="s">
        <v>22</v>
      </c>
      <c r="B658" t="s">
        <v>30</v>
      </c>
      <c r="C658" t="s">
        <v>31</v>
      </c>
      <c r="D658" t="s">
        <v>15</v>
      </c>
      <c r="E658">
        <v>2013</v>
      </c>
    </row>
    <row r="660" spans="1:5" x14ac:dyDescent="0.25">
      <c r="A660" t="s">
        <v>22</v>
      </c>
      <c r="B660" t="s">
        <v>24</v>
      </c>
      <c r="C660" t="s">
        <v>19</v>
      </c>
      <c r="D660" t="s">
        <v>12</v>
      </c>
      <c r="E660">
        <v>2013</v>
      </c>
    </row>
    <row r="661" spans="1:5" x14ac:dyDescent="0.25">
      <c r="A661" t="s">
        <v>22</v>
      </c>
      <c r="B661" t="s">
        <v>26</v>
      </c>
      <c r="C661" t="s">
        <v>19</v>
      </c>
      <c r="D661" t="s">
        <v>12</v>
      </c>
      <c r="E661">
        <v>2013</v>
      </c>
    </row>
    <row r="662" spans="1:5" x14ac:dyDescent="0.25">
      <c r="A662" t="s">
        <v>22</v>
      </c>
      <c r="B662" t="s">
        <v>27</v>
      </c>
      <c r="C662" t="s">
        <v>19</v>
      </c>
      <c r="D662" t="s">
        <v>12</v>
      </c>
      <c r="E662">
        <v>2013</v>
      </c>
    </row>
    <row r="663" spans="1:5" x14ac:dyDescent="0.25">
      <c r="A663" t="s">
        <v>22</v>
      </c>
      <c r="B663" t="s">
        <v>28</v>
      </c>
      <c r="C663" t="s">
        <v>19</v>
      </c>
      <c r="D663" t="s">
        <v>12</v>
      </c>
      <c r="E663">
        <v>2013</v>
      </c>
    </row>
    <row r="664" spans="1:5" x14ac:dyDescent="0.25">
      <c r="A664" t="s">
        <v>22</v>
      </c>
      <c r="B664" t="s">
        <v>29</v>
      </c>
      <c r="C664" t="s">
        <v>19</v>
      </c>
      <c r="D664" t="s">
        <v>12</v>
      </c>
      <c r="E664">
        <v>2013</v>
      </c>
    </row>
    <row r="665" spans="1:5" x14ac:dyDescent="0.25">
      <c r="A665" t="s">
        <v>22</v>
      </c>
      <c r="B665" t="s">
        <v>30</v>
      </c>
      <c r="C665" t="s">
        <v>19</v>
      </c>
      <c r="D665" t="s">
        <v>12</v>
      </c>
      <c r="E665">
        <v>2013</v>
      </c>
    </row>
    <row r="666" spans="1:5" x14ac:dyDescent="0.25">
      <c r="A666" t="s">
        <v>22</v>
      </c>
      <c r="B666" t="s">
        <v>26</v>
      </c>
      <c r="C666" t="s">
        <v>19</v>
      </c>
      <c r="D666" t="s">
        <v>15</v>
      </c>
      <c r="E666">
        <v>2013</v>
      </c>
    </row>
    <row r="667" spans="1:5" x14ac:dyDescent="0.25">
      <c r="A667" t="s">
        <v>22</v>
      </c>
      <c r="B667" t="s">
        <v>28</v>
      </c>
      <c r="C667" t="s">
        <v>19</v>
      </c>
      <c r="D667" t="s">
        <v>15</v>
      </c>
      <c r="E667">
        <v>2013</v>
      </c>
    </row>
    <row r="668" spans="1:5" x14ac:dyDescent="0.25">
      <c r="A668" t="s">
        <v>22</v>
      </c>
      <c r="B668" t="s">
        <v>29</v>
      </c>
      <c r="C668" t="s">
        <v>19</v>
      </c>
      <c r="D668" t="s">
        <v>15</v>
      </c>
      <c r="E668">
        <v>2013</v>
      </c>
    </row>
    <row r="669" spans="1:5" x14ac:dyDescent="0.25">
      <c r="A669" t="s">
        <v>22</v>
      </c>
      <c r="B669" t="s">
        <v>30</v>
      </c>
      <c r="C669" t="s">
        <v>19</v>
      </c>
      <c r="D669" t="s">
        <v>15</v>
      </c>
      <c r="E669">
        <v>2013</v>
      </c>
    </row>
    <row r="671" spans="1:5" x14ac:dyDescent="0.25">
      <c r="A671" t="s">
        <v>22</v>
      </c>
      <c r="B671" t="s">
        <v>24</v>
      </c>
      <c r="C671" t="s">
        <v>20</v>
      </c>
      <c r="D671" t="s">
        <v>12</v>
      </c>
      <c r="E671">
        <v>2013</v>
      </c>
    </row>
    <row r="672" spans="1:5" x14ac:dyDescent="0.25">
      <c r="A672" t="s">
        <v>22</v>
      </c>
      <c r="B672" t="s">
        <v>26</v>
      </c>
      <c r="C672" t="s">
        <v>20</v>
      </c>
      <c r="D672" t="s">
        <v>12</v>
      </c>
      <c r="E672">
        <v>2013</v>
      </c>
    </row>
    <row r="673" spans="1:14" x14ac:dyDescent="0.25">
      <c r="A673" t="s">
        <v>22</v>
      </c>
      <c r="B673" t="s">
        <v>27</v>
      </c>
      <c r="C673" t="s">
        <v>20</v>
      </c>
      <c r="D673" t="s">
        <v>12</v>
      </c>
      <c r="E673">
        <v>2013</v>
      </c>
    </row>
    <row r="674" spans="1:14" x14ac:dyDescent="0.25">
      <c r="A674" t="s">
        <v>22</v>
      </c>
      <c r="B674" t="s">
        <v>28</v>
      </c>
      <c r="C674" t="s">
        <v>20</v>
      </c>
      <c r="D674" t="s">
        <v>12</v>
      </c>
      <c r="E674">
        <v>2013</v>
      </c>
    </row>
    <row r="675" spans="1:14" x14ac:dyDescent="0.25">
      <c r="A675" t="s">
        <v>22</v>
      </c>
      <c r="B675" t="s">
        <v>29</v>
      </c>
      <c r="C675" t="s">
        <v>20</v>
      </c>
      <c r="D675" t="s">
        <v>12</v>
      </c>
      <c r="E675">
        <v>2013</v>
      </c>
    </row>
    <row r="676" spans="1:14" x14ac:dyDescent="0.25">
      <c r="A676" t="s">
        <v>22</v>
      </c>
      <c r="B676" t="s">
        <v>30</v>
      </c>
      <c r="C676" t="s">
        <v>20</v>
      </c>
      <c r="D676" t="s">
        <v>12</v>
      </c>
      <c r="E676">
        <v>2013</v>
      </c>
    </row>
    <row r="677" spans="1:14" x14ac:dyDescent="0.25">
      <c r="A677" t="s">
        <v>22</v>
      </c>
      <c r="B677" t="s">
        <v>26</v>
      </c>
      <c r="C677" t="s">
        <v>20</v>
      </c>
      <c r="D677" t="s">
        <v>15</v>
      </c>
      <c r="E677">
        <v>2013</v>
      </c>
    </row>
    <row r="678" spans="1:14" x14ac:dyDescent="0.25">
      <c r="A678" t="s">
        <v>22</v>
      </c>
      <c r="B678" t="s">
        <v>28</v>
      </c>
      <c r="C678" t="s">
        <v>20</v>
      </c>
      <c r="D678" t="s">
        <v>15</v>
      </c>
      <c r="E678">
        <v>2013</v>
      </c>
    </row>
    <row r="679" spans="1:14" x14ac:dyDescent="0.25">
      <c r="A679" t="s">
        <v>22</v>
      </c>
      <c r="B679" t="s">
        <v>29</v>
      </c>
      <c r="C679" t="s">
        <v>20</v>
      </c>
      <c r="D679" t="s">
        <v>15</v>
      </c>
      <c r="E679">
        <v>2013</v>
      </c>
    </row>
    <row r="680" spans="1:14" x14ac:dyDescent="0.25">
      <c r="A680" t="s">
        <v>22</v>
      </c>
      <c r="B680" t="s">
        <v>30</v>
      </c>
      <c r="C680" t="s">
        <v>20</v>
      </c>
      <c r="D680" t="s">
        <v>15</v>
      </c>
      <c r="E680">
        <v>2013</v>
      </c>
    </row>
    <row r="681" spans="1:14" ht="15.75" thickBot="1" x14ac:dyDescent="0.3">
      <c r="A681" s="6"/>
      <c r="B681" s="6"/>
      <c r="C681" s="6"/>
      <c r="D681" s="6"/>
      <c r="E681" s="6"/>
      <c r="F681" s="6"/>
      <c r="G681" s="34"/>
      <c r="H681" s="6"/>
      <c r="I681" s="6"/>
      <c r="J681" s="6"/>
      <c r="K681" s="6"/>
      <c r="L681" s="6"/>
      <c r="M681" s="6"/>
      <c r="N681" s="6"/>
    </row>
    <row r="683" spans="1:14" x14ac:dyDescent="0.25">
      <c r="A683" t="s">
        <v>10</v>
      </c>
      <c r="B683" t="s">
        <v>24</v>
      </c>
      <c r="C683" t="s">
        <v>11</v>
      </c>
      <c r="D683" t="s">
        <v>12</v>
      </c>
      <c r="E683">
        <v>2014</v>
      </c>
      <c r="K683" t="s">
        <v>12</v>
      </c>
      <c r="L683" t="s">
        <v>31</v>
      </c>
      <c r="M683">
        <f>1-M684-M685</f>
        <v>0.41000000000000009</v>
      </c>
    </row>
    <row r="684" spans="1:14" x14ac:dyDescent="0.25">
      <c r="A684" t="s">
        <v>10</v>
      </c>
      <c r="B684" t="s">
        <v>26</v>
      </c>
      <c r="C684" t="s">
        <v>11</v>
      </c>
      <c r="D684" t="s">
        <v>12</v>
      </c>
      <c r="E684">
        <v>2014</v>
      </c>
      <c r="L684" t="s">
        <v>19</v>
      </c>
      <c r="M684">
        <v>0.18</v>
      </c>
    </row>
    <row r="685" spans="1:14" x14ac:dyDescent="0.25">
      <c r="A685" t="s">
        <v>10</v>
      </c>
      <c r="B685" t="s">
        <v>27</v>
      </c>
      <c r="C685" t="s">
        <v>11</v>
      </c>
      <c r="D685" t="s">
        <v>12</v>
      </c>
      <c r="E685">
        <v>2014</v>
      </c>
      <c r="L685" t="s">
        <v>20</v>
      </c>
      <c r="M685">
        <v>0.41</v>
      </c>
    </row>
    <row r="686" spans="1:14" x14ac:dyDescent="0.25">
      <c r="A686" t="s">
        <v>10</v>
      </c>
      <c r="B686" t="s">
        <v>28</v>
      </c>
      <c r="C686" t="s">
        <v>11</v>
      </c>
      <c r="D686" t="s">
        <v>12</v>
      </c>
      <c r="E686">
        <v>2014</v>
      </c>
      <c r="K686" t="s">
        <v>15</v>
      </c>
      <c r="L686" t="s">
        <v>31</v>
      </c>
      <c r="M686">
        <f>1-M687-M688</f>
        <v>0.2</v>
      </c>
    </row>
    <row r="687" spans="1:14" x14ac:dyDescent="0.25">
      <c r="A687" t="s">
        <v>10</v>
      </c>
      <c r="B687" t="s">
        <v>29</v>
      </c>
      <c r="C687" t="s">
        <v>11</v>
      </c>
      <c r="D687" t="s">
        <v>12</v>
      </c>
      <c r="E687">
        <v>2014</v>
      </c>
      <c r="L687" t="s">
        <v>19</v>
      </c>
      <c r="M687">
        <v>0.35</v>
      </c>
    </row>
    <row r="688" spans="1:14" x14ac:dyDescent="0.25">
      <c r="A688" t="s">
        <v>10</v>
      </c>
      <c r="B688" t="s">
        <v>30</v>
      </c>
      <c r="C688" t="s">
        <v>11</v>
      </c>
      <c r="D688" t="s">
        <v>12</v>
      </c>
      <c r="E688">
        <v>2014</v>
      </c>
      <c r="L688" t="s">
        <v>20</v>
      </c>
      <c r="M688">
        <v>0.45</v>
      </c>
    </row>
    <row r="689" spans="1:5" x14ac:dyDescent="0.25">
      <c r="A689" t="s">
        <v>10</v>
      </c>
      <c r="B689" t="s">
        <v>26</v>
      </c>
      <c r="C689" t="s">
        <v>11</v>
      </c>
      <c r="D689" t="s">
        <v>15</v>
      </c>
      <c r="E689">
        <v>2014</v>
      </c>
    </row>
    <row r="690" spans="1:5" x14ac:dyDescent="0.25">
      <c r="A690" t="s">
        <v>10</v>
      </c>
      <c r="B690" t="s">
        <v>28</v>
      </c>
      <c r="C690" t="s">
        <v>11</v>
      </c>
      <c r="D690" t="s">
        <v>15</v>
      </c>
      <c r="E690">
        <v>2014</v>
      </c>
    </row>
    <row r="691" spans="1:5" x14ac:dyDescent="0.25">
      <c r="A691" t="s">
        <v>10</v>
      </c>
      <c r="B691" t="s">
        <v>29</v>
      </c>
      <c r="C691" t="s">
        <v>11</v>
      </c>
      <c r="D691" t="s">
        <v>15</v>
      </c>
      <c r="E691">
        <v>2014</v>
      </c>
    </row>
    <row r="692" spans="1:5" x14ac:dyDescent="0.25">
      <c r="A692" t="s">
        <v>10</v>
      </c>
      <c r="B692" t="s">
        <v>30</v>
      </c>
      <c r="C692" t="s">
        <v>11</v>
      </c>
      <c r="D692" t="s">
        <v>15</v>
      </c>
      <c r="E692">
        <v>2014</v>
      </c>
    </row>
    <row r="694" spans="1:5" x14ac:dyDescent="0.25">
      <c r="A694" t="s">
        <v>10</v>
      </c>
      <c r="B694" t="s">
        <v>24</v>
      </c>
      <c r="C694" t="s">
        <v>31</v>
      </c>
      <c r="D694" t="s">
        <v>12</v>
      </c>
      <c r="E694">
        <v>2014</v>
      </c>
    </row>
    <row r="695" spans="1:5" x14ac:dyDescent="0.25">
      <c r="A695" t="s">
        <v>10</v>
      </c>
      <c r="B695" t="s">
        <v>26</v>
      </c>
      <c r="C695" t="s">
        <v>31</v>
      </c>
      <c r="D695" t="s">
        <v>12</v>
      </c>
      <c r="E695">
        <v>2014</v>
      </c>
    </row>
    <row r="696" spans="1:5" x14ac:dyDescent="0.25">
      <c r="A696" t="s">
        <v>10</v>
      </c>
      <c r="B696" t="s">
        <v>27</v>
      </c>
      <c r="C696" t="s">
        <v>31</v>
      </c>
      <c r="D696" t="s">
        <v>12</v>
      </c>
      <c r="E696">
        <v>2014</v>
      </c>
    </row>
    <row r="697" spans="1:5" x14ac:dyDescent="0.25">
      <c r="A697" t="s">
        <v>10</v>
      </c>
      <c r="B697" t="s">
        <v>28</v>
      </c>
      <c r="C697" t="s">
        <v>31</v>
      </c>
      <c r="D697" t="s">
        <v>12</v>
      </c>
      <c r="E697">
        <v>2014</v>
      </c>
    </row>
    <row r="698" spans="1:5" x14ac:dyDescent="0.25">
      <c r="A698" t="s">
        <v>10</v>
      </c>
      <c r="B698" t="s">
        <v>29</v>
      </c>
      <c r="C698" t="s">
        <v>31</v>
      </c>
      <c r="D698" t="s">
        <v>12</v>
      </c>
      <c r="E698">
        <v>2014</v>
      </c>
    </row>
    <row r="699" spans="1:5" x14ac:dyDescent="0.25">
      <c r="A699" t="s">
        <v>10</v>
      </c>
      <c r="B699" t="s">
        <v>30</v>
      </c>
      <c r="C699" t="s">
        <v>31</v>
      </c>
      <c r="D699" t="s">
        <v>12</v>
      </c>
      <c r="E699">
        <v>2014</v>
      </c>
    </row>
    <row r="700" spans="1:5" x14ac:dyDescent="0.25">
      <c r="A700" t="s">
        <v>10</v>
      </c>
      <c r="B700" t="s">
        <v>26</v>
      </c>
      <c r="C700" t="s">
        <v>31</v>
      </c>
      <c r="D700" t="s">
        <v>15</v>
      </c>
      <c r="E700">
        <v>2014</v>
      </c>
    </row>
    <row r="701" spans="1:5" x14ac:dyDescent="0.25">
      <c r="A701" t="s">
        <v>10</v>
      </c>
      <c r="B701" t="s">
        <v>28</v>
      </c>
      <c r="C701" t="s">
        <v>31</v>
      </c>
      <c r="D701" t="s">
        <v>15</v>
      </c>
      <c r="E701">
        <v>2014</v>
      </c>
    </row>
    <row r="702" spans="1:5" x14ac:dyDescent="0.25">
      <c r="A702" t="s">
        <v>10</v>
      </c>
      <c r="B702" t="s">
        <v>29</v>
      </c>
      <c r="C702" t="s">
        <v>31</v>
      </c>
      <c r="D702" t="s">
        <v>15</v>
      </c>
      <c r="E702">
        <v>2014</v>
      </c>
    </row>
    <row r="703" spans="1:5" x14ac:dyDescent="0.25">
      <c r="A703" t="s">
        <v>10</v>
      </c>
      <c r="B703" t="s">
        <v>30</v>
      </c>
      <c r="C703" t="s">
        <v>31</v>
      </c>
      <c r="D703" t="s">
        <v>15</v>
      </c>
      <c r="E703">
        <v>2014</v>
      </c>
    </row>
    <row r="705" spans="1:5" x14ac:dyDescent="0.25">
      <c r="A705" t="s">
        <v>10</v>
      </c>
      <c r="B705" t="s">
        <v>24</v>
      </c>
      <c r="C705" t="s">
        <v>19</v>
      </c>
      <c r="D705" t="s">
        <v>12</v>
      </c>
      <c r="E705">
        <v>2014</v>
      </c>
    </row>
    <row r="706" spans="1:5" x14ac:dyDescent="0.25">
      <c r="A706" t="s">
        <v>10</v>
      </c>
      <c r="B706" t="s">
        <v>26</v>
      </c>
      <c r="C706" t="s">
        <v>19</v>
      </c>
      <c r="D706" t="s">
        <v>12</v>
      </c>
      <c r="E706">
        <v>2014</v>
      </c>
    </row>
    <row r="707" spans="1:5" x14ac:dyDescent="0.25">
      <c r="A707" t="s">
        <v>10</v>
      </c>
      <c r="B707" t="s">
        <v>27</v>
      </c>
      <c r="C707" t="s">
        <v>19</v>
      </c>
      <c r="D707" t="s">
        <v>12</v>
      </c>
      <c r="E707">
        <v>2014</v>
      </c>
    </row>
    <row r="708" spans="1:5" x14ac:dyDescent="0.25">
      <c r="A708" t="s">
        <v>10</v>
      </c>
      <c r="B708" t="s">
        <v>28</v>
      </c>
      <c r="C708" t="s">
        <v>19</v>
      </c>
      <c r="D708" t="s">
        <v>12</v>
      </c>
      <c r="E708">
        <v>2014</v>
      </c>
    </row>
    <row r="709" spans="1:5" x14ac:dyDescent="0.25">
      <c r="A709" t="s">
        <v>10</v>
      </c>
      <c r="B709" t="s">
        <v>29</v>
      </c>
      <c r="C709" t="s">
        <v>19</v>
      </c>
      <c r="D709" t="s">
        <v>12</v>
      </c>
      <c r="E709">
        <v>2014</v>
      </c>
    </row>
    <row r="710" spans="1:5" x14ac:dyDescent="0.25">
      <c r="A710" t="s">
        <v>10</v>
      </c>
      <c r="B710" t="s">
        <v>30</v>
      </c>
      <c r="C710" t="s">
        <v>19</v>
      </c>
      <c r="D710" t="s">
        <v>12</v>
      </c>
      <c r="E710">
        <v>2014</v>
      </c>
    </row>
    <row r="711" spans="1:5" x14ac:dyDescent="0.25">
      <c r="A711" t="s">
        <v>10</v>
      </c>
      <c r="B711" t="s">
        <v>26</v>
      </c>
      <c r="C711" t="s">
        <v>19</v>
      </c>
      <c r="D711" t="s">
        <v>15</v>
      </c>
      <c r="E711">
        <v>2014</v>
      </c>
    </row>
    <row r="712" spans="1:5" x14ac:dyDescent="0.25">
      <c r="A712" t="s">
        <v>10</v>
      </c>
      <c r="B712" t="s">
        <v>28</v>
      </c>
      <c r="C712" t="s">
        <v>19</v>
      </c>
      <c r="D712" t="s">
        <v>15</v>
      </c>
      <c r="E712">
        <v>2014</v>
      </c>
    </row>
    <row r="713" spans="1:5" x14ac:dyDescent="0.25">
      <c r="A713" t="s">
        <v>10</v>
      </c>
      <c r="B713" t="s">
        <v>29</v>
      </c>
      <c r="C713" t="s">
        <v>19</v>
      </c>
      <c r="D713" t="s">
        <v>15</v>
      </c>
      <c r="E713">
        <v>2014</v>
      </c>
    </row>
    <row r="714" spans="1:5" x14ac:dyDescent="0.25">
      <c r="A714" t="s">
        <v>10</v>
      </c>
      <c r="B714" t="s">
        <v>30</v>
      </c>
      <c r="C714" t="s">
        <v>19</v>
      </c>
      <c r="D714" t="s">
        <v>15</v>
      </c>
      <c r="E714">
        <v>2014</v>
      </c>
    </row>
    <row r="716" spans="1:5" x14ac:dyDescent="0.25">
      <c r="A716" t="s">
        <v>10</v>
      </c>
      <c r="B716" t="s">
        <v>24</v>
      </c>
      <c r="C716" t="s">
        <v>20</v>
      </c>
      <c r="D716" t="s">
        <v>12</v>
      </c>
      <c r="E716">
        <v>2014</v>
      </c>
    </row>
    <row r="717" spans="1:5" x14ac:dyDescent="0.25">
      <c r="A717" t="s">
        <v>10</v>
      </c>
      <c r="B717" t="s">
        <v>26</v>
      </c>
      <c r="C717" t="s">
        <v>20</v>
      </c>
      <c r="D717" t="s">
        <v>12</v>
      </c>
      <c r="E717">
        <v>2014</v>
      </c>
    </row>
    <row r="718" spans="1:5" x14ac:dyDescent="0.25">
      <c r="A718" t="s">
        <v>10</v>
      </c>
      <c r="B718" t="s">
        <v>27</v>
      </c>
      <c r="C718" t="s">
        <v>20</v>
      </c>
      <c r="D718" t="s">
        <v>12</v>
      </c>
      <c r="E718">
        <v>2014</v>
      </c>
    </row>
    <row r="719" spans="1:5" x14ac:dyDescent="0.25">
      <c r="A719" t="s">
        <v>10</v>
      </c>
      <c r="B719" t="s">
        <v>28</v>
      </c>
      <c r="C719" t="s">
        <v>20</v>
      </c>
      <c r="D719" t="s">
        <v>12</v>
      </c>
      <c r="E719">
        <v>2014</v>
      </c>
    </row>
    <row r="720" spans="1:5" x14ac:dyDescent="0.25">
      <c r="A720" t="s">
        <v>10</v>
      </c>
      <c r="B720" t="s">
        <v>29</v>
      </c>
      <c r="C720" t="s">
        <v>20</v>
      </c>
      <c r="D720" t="s">
        <v>12</v>
      </c>
      <c r="E720">
        <v>2014</v>
      </c>
    </row>
    <row r="721" spans="1:13" x14ac:dyDescent="0.25">
      <c r="A721" t="s">
        <v>10</v>
      </c>
      <c r="B721" t="s">
        <v>30</v>
      </c>
      <c r="C721" t="s">
        <v>20</v>
      </c>
      <c r="D721" t="s">
        <v>12</v>
      </c>
      <c r="E721">
        <v>2014</v>
      </c>
    </row>
    <row r="722" spans="1:13" x14ac:dyDescent="0.25">
      <c r="A722" t="s">
        <v>10</v>
      </c>
      <c r="B722" t="s">
        <v>26</v>
      </c>
      <c r="C722" t="s">
        <v>20</v>
      </c>
      <c r="D722" t="s">
        <v>15</v>
      </c>
      <c r="E722">
        <v>2014</v>
      </c>
    </row>
    <row r="723" spans="1:13" x14ac:dyDescent="0.25">
      <c r="A723" t="s">
        <v>10</v>
      </c>
      <c r="B723" t="s">
        <v>28</v>
      </c>
      <c r="C723" t="s">
        <v>20</v>
      </c>
      <c r="D723" t="s">
        <v>15</v>
      </c>
      <c r="E723">
        <v>2014</v>
      </c>
    </row>
    <row r="724" spans="1:13" x14ac:dyDescent="0.25">
      <c r="A724" t="s">
        <v>10</v>
      </c>
      <c r="B724" t="s">
        <v>29</v>
      </c>
      <c r="C724" t="s">
        <v>20</v>
      </c>
      <c r="D724" t="s">
        <v>15</v>
      </c>
      <c r="E724">
        <v>2014</v>
      </c>
    </row>
    <row r="725" spans="1:13" x14ac:dyDescent="0.25">
      <c r="A725" t="s">
        <v>10</v>
      </c>
      <c r="B725" t="s">
        <v>30</v>
      </c>
      <c r="C725" t="s">
        <v>20</v>
      </c>
      <c r="D725" t="s">
        <v>15</v>
      </c>
      <c r="E725">
        <v>2014</v>
      </c>
    </row>
    <row r="729" spans="1:13" x14ac:dyDescent="0.25">
      <c r="A729" t="s">
        <v>21</v>
      </c>
      <c r="B729" t="s">
        <v>24</v>
      </c>
      <c r="C729" t="s">
        <v>11</v>
      </c>
      <c r="D729" t="s">
        <v>12</v>
      </c>
      <c r="E729">
        <v>2013</v>
      </c>
      <c r="K729" t="s">
        <v>12</v>
      </c>
      <c r="L729" t="s">
        <v>31</v>
      </c>
      <c r="M729">
        <f>1-M730-M731</f>
        <v>0.32</v>
      </c>
    </row>
    <row r="730" spans="1:13" x14ac:dyDescent="0.25">
      <c r="A730" t="s">
        <v>21</v>
      </c>
      <c r="B730" t="s">
        <v>26</v>
      </c>
      <c r="C730" t="s">
        <v>11</v>
      </c>
      <c r="D730" t="s">
        <v>12</v>
      </c>
      <c r="E730">
        <v>2013</v>
      </c>
      <c r="L730" t="s">
        <v>19</v>
      </c>
      <c r="M730">
        <v>0.22</v>
      </c>
    </row>
    <row r="731" spans="1:13" x14ac:dyDescent="0.25">
      <c r="A731" t="s">
        <v>21</v>
      </c>
      <c r="B731" t="s">
        <v>27</v>
      </c>
      <c r="C731" t="s">
        <v>11</v>
      </c>
      <c r="D731" t="s">
        <v>12</v>
      </c>
      <c r="E731">
        <v>2013</v>
      </c>
      <c r="L731" t="s">
        <v>20</v>
      </c>
      <c r="M731">
        <v>0.46</v>
      </c>
    </row>
    <row r="732" spans="1:13" x14ac:dyDescent="0.25">
      <c r="A732" t="s">
        <v>21</v>
      </c>
      <c r="B732" t="s">
        <v>28</v>
      </c>
      <c r="C732" t="s">
        <v>11</v>
      </c>
      <c r="D732" t="s">
        <v>12</v>
      </c>
      <c r="E732">
        <v>2013</v>
      </c>
      <c r="K732" t="s">
        <v>15</v>
      </c>
      <c r="L732" t="s">
        <v>31</v>
      </c>
      <c r="M732">
        <f>1-M733-M734</f>
        <v>0.22999999999999998</v>
      </c>
    </row>
    <row r="733" spans="1:13" x14ac:dyDescent="0.25">
      <c r="A733" t="s">
        <v>21</v>
      </c>
      <c r="B733" t="s">
        <v>29</v>
      </c>
      <c r="C733" t="s">
        <v>11</v>
      </c>
      <c r="D733" t="s">
        <v>12</v>
      </c>
      <c r="E733">
        <v>2013</v>
      </c>
      <c r="L733" t="s">
        <v>19</v>
      </c>
      <c r="M733">
        <v>0.4</v>
      </c>
    </row>
    <row r="734" spans="1:13" x14ac:dyDescent="0.25">
      <c r="A734" t="s">
        <v>21</v>
      </c>
      <c r="B734" t="s">
        <v>30</v>
      </c>
      <c r="C734" t="s">
        <v>11</v>
      </c>
      <c r="D734" t="s">
        <v>12</v>
      </c>
      <c r="E734">
        <v>2013</v>
      </c>
      <c r="L734" t="s">
        <v>20</v>
      </c>
      <c r="M734">
        <v>0.37</v>
      </c>
    </row>
    <row r="735" spans="1:13" x14ac:dyDescent="0.25">
      <c r="A735" t="s">
        <v>21</v>
      </c>
      <c r="B735" t="s">
        <v>26</v>
      </c>
      <c r="C735" t="s">
        <v>11</v>
      </c>
      <c r="D735" t="s">
        <v>15</v>
      </c>
      <c r="E735">
        <v>2013</v>
      </c>
    </row>
    <row r="736" spans="1:13" x14ac:dyDescent="0.25">
      <c r="A736" t="s">
        <v>21</v>
      </c>
      <c r="B736" t="s">
        <v>28</v>
      </c>
      <c r="C736" t="s">
        <v>11</v>
      </c>
      <c r="D736" t="s">
        <v>15</v>
      </c>
      <c r="E736">
        <v>2013</v>
      </c>
    </row>
    <row r="737" spans="1:5" x14ac:dyDescent="0.25">
      <c r="A737" t="s">
        <v>21</v>
      </c>
      <c r="B737" t="s">
        <v>29</v>
      </c>
      <c r="C737" t="s">
        <v>11</v>
      </c>
      <c r="D737" t="s">
        <v>15</v>
      </c>
      <c r="E737">
        <v>2013</v>
      </c>
    </row>
    <row r="738" spans="1:5" x14ac:dyDescent="0.25">
      <c r="A738" t="s">
        <v>21</v>
      </c>
      <c r="B738" t="s">
        <v>30</v>
      </c>
      <c r="C738" t="s">
        <v>11</v>
      </c>
      <c r="D738" t="s">
        <v>15</v>
      </c>
      <c r="E738">
        <v>2013</v>
      </c>
    </row>
    <row r="740" spans="1:5" x14ac:dyDescent="0.25">
      <c r="A740" t="s">
        <v>21</v>
      </c>
      <c r="B740" t="s">
        <v>24</v>
      </c>
      <c r="C740" t="s">
        <v>31</v>
      </c>
      <c r="D740" t="s">
        <v>12</v>
      </c>
      <c r="E740">
        <v>2013</v>
      </c>
    </row>
    <row r="741" spans="1:5" x14ac:dyDescent="0.25">
      <c r="A741" t="s">
        <v>21</v>
      </c>
      <c r="B741" t="s">
        <v>26</v>
      </c>
      <c r="C741" t="s">
        <v>31</v>
      </c>
      <c r="D741" t="s">
        <v>12</v>
      </c>
      <c r="E741">
        <v>2013</v>
      </c>
    </row>
    <row r="742" spans="1:5" x14ac:dyDescent="0.25">
      <c r="A742" t="s">
        <v>21</v>
      </c>
      <c r="B742" t="s">
        <v>27</v>
      </c>
      <c r="C742" t="s">
        <v>31</v>
      </c>
      <c r="D742" t="s">
        <v>12</v>
      </c>
      <c r="E742">
        <v>2013</v>
      </c>
    </row>
    <row r="743" spans="1:5" x14ac:dyDescent="0.25">
      <c r="A743" t="s">
        <v>21</v>
      </c>
      <c r="B743" t="s">
        <v>28</v>
      </c>
      <c r="C743" t="s">
        <v>31</v>
      </c>
      <c r="D743" t="s">
        <v>12</v>
      </c>
      <c r="E743">
        <v>2013</v>
      </c>
    </row>
    <row r="744" spans="1:5" x14ac:dyDescent="0.25">
      <c r="A744" t="s">
        <v>21</v>
      </c>
      <c r="B744" t="s">
        <v>29</v>
      </c>
      <c r="C744" t="s">
        <v>31</v>
      </c>
      <c r="D744" t="s">
        <v>12</v>
      </c>
      <c r="E744">
        <v>2013</v>
      </c>
    </row>
    <row r="745" spans="1:5" x14ac:dyDescent="0.25">
      <c r="A745" t="s">
        <v>21</v>
      </c>
      <c r="B745" t="s">
        <v>30</v>
      </c>
      <c r="C745" t="s">
        <v>31</v>
      </c>
      <c r="D745" t="s">
        <v>12</v>
      </c>
      <c r="E745">
        <v>2013</v>
      </c>
    </row>
    <row r="746" spans="1:5" x14ac:dyDescent="0.25">
      <c r="A746" t="s">
        <v>21</v>
      </c>
      <c r="B746" t="s">
        <v>26</v>
      </c>
      <c r="C746" t="s">
        <v>31</v>
      </c>
      <c r="D746" t="s">
        <v>15</v>
      </c>
      <c r="E746">
        <v>2013</v>
      </c>
    </row>
    <row r="747" spans="1:5" x14ac:dyDescent="0.25">
      <c r="A747" t="s">
        <v>21</v>
      </c>
      <c r="B747" t="s">
        <v>28</v>
      </c>
      <c r="C747" t="s">
        <v>31</v>
      </c>
      <c r="D747" t="s">
        <v>15</v>
      </c>
      <c r="E747">
        <v>2013</v>
      </c>
    </row>
    <row r="748" spans="1:5" x14ac:dyDescent="0.25">
      <c r="A748" t="s">
        <v>21</v>
      </c>
      <c r="B748" t="s">
        <v>29</v>
      </c>
      <c r="C748" t="s">
        <v>31</v>
      </c>
      <c r="D748" t="s">
        <v>15</v>
      </c>
      <c r="E748">
        <v>2013</v>
      </c>
    </row>
    <row r="749" spans="1:5" x14ac:dyDescent="0.25">
      <c r="A749" t="s">
        <v>21</v>
      </c>
      <c r="B749" t="s">
        <v>30</v>
      </c>
      <c r="C749" t="s">
        <v>31</v>
      </c>
      <c r="D749" t="s">
        <v>15</v>
      </c>
      <c r="E749">
        <v>2013</v>
      </c>
    </row>
    <row r="751" spans="1:5" x14ac:dyDescent="0.25">
      <c r="A751" t="s">
        <v>21</v>
      </c>
      <c r="B751" t="s">
        <v>24</v>
      </c>
      <c r="C751" t="s">
        <v>19</v>
      </c>
      <c r="D751" t="s">
        <v>12</v>
      </c>
      <c r="E751">
        <v>2013</v>
      </c>
    </row>
    <row r="752" spans="1:5" x14ac:dyDescent="0.25">
      <c r="A752" t="s">
        <v>21</v>
      </c>
      <c r="B752" t="s">
        <v>26</v>
      </c>
      <c r="C752" t="s">
        <v>19</v>
      </c>
      <c r="D752" t="s">
        <v>12</v>
      </c>
      <c r="E752">
        <v>2013</v>
      </c>
    </row>
    <row r="753" spans="1:5" x14ac:dyDescent="0.25">
      <c r="A753" t="s">
        <v>21</v>
      </c>
      <c r="B753" t="s">
        <v>27</v>
      </c>
      <c r="C753" t="s">
        <v>19</v>
      </c>
      <c r="D753" t="s">
        <v>12</v>
      </c>
      <c r="E753">
        <v>2013</v>
      </c>
    </row>
    <row r="754" spans="1:5" x14ac:dyDescent="0.25">
      <c r="A754" t="s">
        <v>21</v>
      </c>
      <c r="B754" t="s">
        <v>28</v>
      </c>
      <c r="C754" t="s">
        <v>19</v>
      </c>
      <c r="D754" t="s">
        <v>12</v>
      </c>
      <c r="E754">
        <v>2013</v>
      </c>
    </row>
    <row r="755" spans="1:5" x14ac:dyDescent="0.25">
      <c r="A755" t="s">
        <v>21</v>
      </c>
      <c r="B755" t="s">
        <v>29</v>
      </c>
      <c r="C755" t="s">
        <v>19</v>
      </c>
      <c r="D755" t="s">
        <v>12</v>
      </c>
      <c r="E755">
        <v>2013</v>
      </c>
    </row>
    <row r="756" spans="1:5" x14ac:dyDescent="0.25">
      <c r="A756" t="s">
        <v>21</v>
      </c>
      <c r="B756" t="s">
        <v>30</v>
      </c>
      <c r="C756" t="s">
        <v>19</v>
      </c>
      <c r="D756" t="s">
        <v>12</v>
      </c>
      <c r="E756">
        <v>2013</v>
      </c>
    </row>
    <row r="757" spans="1:5" x14ac:dyDescent="0.25">
      <c r="A757" t="s">
        <v>21</v>
      </c>
      <c r="B757" t="s">
        <v>26</v>
      </c>
      <c r="C757" t="s">
        <v>19</v>
      </c>
      <c r="D757" t="s">
        <v>15</v>
      </c>
      <c r="E757">
        <v>2013</v>
      </c>
    </row>
    <row r="758" spans="1:5" x14ac:dyDescent="0.25">
      <c r="A758" t="s">
        <v>21</v>
      </c>
      <c r="B758" t="s">
        <v>28</v>
      </c>
      <c r="C758" t="s">
        <v>19</v>
      </c>
      <c r="D758" t="s">
        <v>15</v>
      </c>
      <c r="E758">
        <v>2013</v>
      </c>
    </row>
    <row r="759" spans="1:5" x14ac:dyDescent="0.25">
      <c r="A759" t="s">
        <v>21</v>
      </c>
      <c r="B759" t="s">
        <v>29</v>
      </c>
      <c r="C759" t="s">
        <v>19</v>
      </c>
      <c r="D759" t="s">
        <v>15</v>
      </c>
      <c r="E759">
        <v>2013</v>
      </c>
    </row>
    <row r="760" spans="1:5" x14ac:dyDescent="0.25">
      <c r="A760" t="s">
        <v>21</v>
      </c>
      <c r="B760" t="s">
        <v>30</v>
      </c>
      <c r="C760" t="s">
        <v>19</v>
      </c>
      <c r="D760" t="s">
        <v>15</v>
      </c>
      <c r="E760">
        <v>2013</v>
      </c>
    </row>
    <row r="762" spans="1:5" x14ac:dyDescent="0.25">
      <c r="A762" t="s">
        <v>21</v>
      </c>
      <c r="B762" t="s">
        <v>24</v>
      </c>
      <c r="C762" t="s">
        <v>20</v>
      </c>
      <c r="D762" t="s">
        <v>12</v>
      </c>
      <c r="E762">
        <v>2013</v>
      </c>
    </row>
    <row r="763" spans="1:5" x14ac:dyDescent="0.25">
      <c r="A763" t="s">
        <v>21</v>
      </c>
      <c r="B763" t="s">
        <v>26</v>
      </c>
      <c r="C763" t="s">
        <v>20</v>
      </c>
      <c r="D763" t="s">
        <v>12</v>
      </c>
      <c r="E763">
        <v>2013</v>
      </c>
    </row>
    <row r="764" spans="1:5" x14ac:dyDescent="0.25">
      <c r="A764" t="s">
        <v>21</v>
      </c>
      <c r="B764" t="s">
        <v>27</v>
      </c>
      <c r="C764" t="s">
        <v>20</v>
      </c>
      <c r="D764" t="s">
        <v>12</v>
      </c>
      <c r="E764">
        <v>2013</v>
      </c>
    </row>
    <row r="765" spans="1:5" x14ac:dyDescent="0.25">
      <c r="A765" t="s">
        <v>21</v>
      </c>
      <c r="B765" t="s">
        <v>28</v>
      </c>
      <c r="C765" t="s">
        <v>20</v>
      </c>
      <c r="D765" t="s">
        <v>12</v>
      </c>
      <c r="E765">
        <v>2013</v>
      </c>
    </row>
    <row r="766" spans="1:5" x14ac:dyDescent="0.25">
      <c r="A766" t="s">
        <v>21</v>
      </c>
      <c r="B766" t="s">
        <v>29</v>
      </c>
      <c r="C766" t="s">
        <v>20</v>
      </c>
      <c r="D766" t="s">
        <v>12</v>
      </c>
      <c r="E766">
        <v>2013</v>
      </c>
    </row>
    <row r="767" spans="1:5" x14ac:dyDescent="0.25">
      <c r="A767" t="s">
        <v>21</v>
      </c>
      <c r="B767" t="s">
        <v>30</v>
      </c>
      <c r="C767" t="s">
        <v>20</v>
      </c>
      <c r="D767" t="s">
        <v>12</v>
      </c>
      <c r="E767">
        <v>2013</v>
      </c>
    </row>
    <row r="768" spans="1:5" x14ac:dyDescent="0.25">
      <c r="A768" t="s">
        <v>21</v>
      </c>
      <c r="B768" t="s">
        <v>26</v>
      </c>
      <c r="C768" t="s">
        <v>20</v>
      </c>
      <c r="D768" t="s">
        <v>15</v>
      </c>
      <c r="E768">
        <v>2013</v>
      </c>
    </row>
    <row r="769" spans="1:13" x14ac:dyDescent="0.25">
      <c r="A769" t="s">
        <v>21</v>
      </c>
      <c r="B769" t="s">
        <v>28</v>
      </c>
      <c r="C769" t="s">
        <v>20</v>
      </c>
      <c r="D769" t="s">
        <v>15</v>
      </c>
      <c r="E769">
        <v>2013</v>
      </c>
    </row>
    <row r="770" spans="1:13" x14ac:dyDescent="0.25">
      <c r="A770" t="s">
        <v>21</v>
      </c>
      <c r="B770" t="s">
        <v>29</v>
      </c>
      <c r="C770" t="s">
        <v>20</v>
      </c>
      <c r="D770" t="s">
        <v>15</v>
      </c>
      <c r="E770">
        <v>2013</v>
      </c>
    </row>
    <row r="771" spans="1:13" x14ac:dyDescent="0.25">
      <c r="A771" t="s">
        <v>21</v>
      </c>
      <c r="B771" t="s">
        <v>30</v>
      </c>
      <c r="C771" t="s">
        <v>20</v>
      </c>
      <c r="D771" t="s">
        <v>15</v>
      </c>
      <c r="E771">
        <v>2013</v>
      </c>
    </row>
    <row r="774" spans="1:13" x14ac:dyDescent="0.25">
      <c r="A774" t="s">
        <v>22</v>
      </c>
      <c r="B774" t="s">
        <v>24</v>
      </c>
      <c r="C774" t="s">
        <v>11</v>
      </c>
      <c r="D774" t="s">
        <v>12</v>
      </c>
      <c r="E774">
        <v>2013</v>
      </c>
      <c r="K774" t="s">
        <v>12</v>
      </c>
      <c r="L774" t="s">
        <v>31</v>
      </c>
      <c r="M774">
        <f>1-M775-M776</f>
        <v>0.41</v>
      </c>
    </row>
    <row r="775" spans="1:13" x14ac:dyDescent="0.25">
      <c r="A775" t="s">
        <v>22</v>
      </c>
      <c r="B775" t="s">
        <v>26</v>
      </c>
      <c r="C775" t="s">
        <v>11</v>
      </c>
      <c r="D775" t="s">
        <v>12</v>
      </c>
      <c r="E775">
        <v>2013</v>
      </c>
      <c r="L775" t="s">
        <v>19</v>
      </c>
      <c r="M775">
        <v>0.25</v>
      </c>
    </row>
    <row r="776" spans="1:13" x14ac:dyDescent="0.25">
      <c r="A776" t="s">
        <v>22</v>
      </c>
      <c r="B776" t="s">
        <v>27</v>
      </c>
      <c r="C776" t="s">
        <v>11</v>
      </c>
      <c r="D776" t="s">
        <v>12</v>
      </c>
      <c r="E776">
        <v>2013</v>
      </c>
      <c r="L776" t="s">
        <v>20</v>
      </c>
      <c r="M776">
        <v>0.34</v>
      </c>
    </row>
    <row r="777" spans="1:13" x14ac:dyDescent="0.25">
      <c r="A777" t="s">
        <v>22</v>
      </c>
      <c r="B777" t="s">
        <v>28</v>
      </c>
      <c r="C777" t="s">
        <v>11</v>
      </c>
      <c r="D777" t="s">
        <v>12</v>
      </c>
      <c r="E777">
        <v>2013</v>
      </c>
      <c r="K777" t="s">
        <v>15</v>
      </c>
      <c r="L777" t="s">
        <v>31</v>
      </c>
      <c r="M777">
        <f>1-M778-M779</f>
        <v>0.27</v>
      </c>
    </row>
    <row r="778" spans="1:13" x14ac:dyDescent="0.25">
      <c r="A778" t="s">
        <v>22</v>
      </c>
      <c r="B778" t="s">
        <v>29</v>
      </c>
      <c r="C778" t="s">
        <v>11</v>
      </c>
      <c r="D778" t="s">
        <v>12</v>
      </c>
      <c r="E778">
        <v>2013</v>
      </c>
      <c r="L778" t="s">
        <v>19</v>
      </c>
      <c r="M778">
        <v>0.47</v>
      </c>
    </row>
    <row r="779" spans="1:13" x14ac:dyDescent="0.25">
      <c r="A779" t="s">
        <v>22</v>
      </c>
      <c r="B779" t="s">
        <v>30</v>
      </c>
      <c r="C779" t="s">
        <v>11</v>
      </c>
      <c r="D779" t="s">
        <v>12</v>
      </c>
      <c r="E779">
        <v>2013</v>
      </c>
      <c r="L779" t="s">
        <v>20</v>
      </c>
      <c r="M779">
        <v>0.26</v>
      </c>
    </row>
    <row r="780" spans="1:13" x14ac:dyDescent="0.25">
      <c r="A780" t="s">
        <v>22</v>
      </c>
      <c r="B780" t="s">
        <v>26</v>
      </c>
      <c r="C780" t="s">
        <v>11</v>
      </c>
      <c r="D780" t="s">
        <v>15</v>
      </c>
      <c r="E780">
        <v>2013</v>
      </c>
    </row>
    <row r="781" spans="1:13" x14ac:dyDescent="0.25">
      <c r="A781" t="s">
        <v>22</v>
      </c>
      <c r="B781" t="s">
        <v>28</v>
      </c>
      <c r="C781" t="s">
        <v>11</v>
      </c>
      <c r="D781" t="s">
        <v>15</v>
      </c>
      <c r="E781">
        <v>2013</v>
      </c>
    </row>
    <row r="782" spans="1:13" x14ac:dyDescent="0.25">
      <c r="A782" t="s">
        <v>22</v>
      </c>
      <c r="B782" t="s">
        <v>29</v>
      </c>
      <c r="C782" t="s">
        <v>11</v>
      </c>
      <c r="D782" t="s">
        <v>15</v>
      </c>
      <c r="E782">
        <v>2013</v>
      </c>
    </row>
    <row r="783" spans="1:13" x14ac:dyDescent="0.25">
      <c r="A783" t="s">
        <v>22</v>
      </c>
      <c r="B783" t="s">
        <v>30</v>
      </c>
      <c r="C783" t="s">
        <v>11</v>
      </c>
      <c r="D783" t="s">
        <v>15</v>
      </c>
      <c r="E783">
        <v>2013</v>
      </c>
    </row>
    <row r="785" spans="1:5" x14ac:dyDescent="0.25">
      <c r="A785" t="s">
        <v>22</v>
      </c>
      <c r="B785" t="s">
        <v>24</v>
      </c>
      <c r="C785" t="s">
        <v>31</v>
      </c>
      <c r="D785" t="s">
        <v>12</v>
      </c>
      <c r="E785">
        <v>2013</v>
      </c>
    </row>
    <row r="786" spans="1:5" x14ac:dyDescent="0.25">
      <c r="A786" t="s">
        <v>22</v>
      </c>
      <c r="B786" t="s">
        <v>26</v>
      </c>
      <c r="C786" t="s">
        <v>31</v>
      </c>
      <c r="D786" t="s">
        <v>12</v>
      </c>
      <c r="E786">
        <v>2013</v>
      </c>
    </row>
    <row r="787" spans="1:5" x14ac:dyDescent="0.25">
      <c r="A787" t="s">
        <v>22</v>
      </c>
      <c r="B787" t="s">
        <v>27</v>
      </c>
      <c r="C787" t="s">
        <v>31</v>
      </c>
      <c r="D787" t="s">
        <v>12</v>
      </c>
      <c r="E787">
        <v>2013</v>
      </c>
    </row>
    <row r="788" spans="1:5" x14ac:dyDescent="0.25">
      <c r="A788" t="s">
        <v>22</v>
      </c>
      <c r="B788" t="s">
        <v>28</v>
      </c>
      <c r="C788" t="s">
        <v>31</v>
      </c>
      <c r="D788" t="s">
        <v>12</v>
      </c>
      <c r="E788">
        <v>2013</v>
      </c>
    </row>
    <row r="789" spans="1:5" x14ac:dyDescent="0.25">
      <c r="A789" t="s">
        <v>22</v>
      </c>
      <c r="B789" t="s">
        <v>29</v>
      </c>
      <c r="C789" t="s">
        <v>31</v>
      </c>
      <c r="D789" t="s">
        <v>12</v>
      </c>
      <c r="E789">
        <v>2013</v>
      </c>
    </row>
    <row r="790" spans="1:5" x14ac:dyDescent="0.25">
      <c r="A790" t="s">
        <v>22</v>
      </c>
      <c r="B790" t="s">
        <v>30</v>
      </c>
      <c r="C790" t="s">
        <v>31</v>
      </c>
      <c r="D790" t="s">
        <v>12</v>
      </c>
      <c r="E790">
        <v>2013</v>
      </c>
    </row>
    <row r="791" spans="1:5" x14ac:dyDescent="0.25">
      <c r="A791" t="s">
        <v>22</v>
      </c>
      <c r="B791" t="s">
        <v>26</v>
      </c>
      <c r="C791" t="s">
        <v>31</v>
      </c>
      <c r="D791" t="s">
        <v>15</v>
      </c>
      <c r="E791">
        <v>2013</v>
      </c>
    </row>
    <row r="792" spans="1:5" x14ac:dyDescent="0.25">
      <c r="A792" t="s">
        <v>22</v>
      </c>
      <c r="B792" t="s">
        <v>28</v>
      </c>
      <c r="C792" t="s">
        <v>31</v>
      </c>
      <c r="D792" t="s">
        <v>15</v>
      </c>
      <c r="E792">
        <v>2013</v>
      </c>
    </row>
    <row r="793" spans="1:5" x14ac:dyDescent="0.25">
      <c r="A793" t="s">
        <v>22</v>
      </c>
      <c r="B793" t="s">
        <v>29</v>
      </c>
      <c r="C793" t="s">
        <v>31</v>
      </c>
      <c r="D793" t="s">
        <v>15</v>
      </c>
      <c r="E793">
        <v>2013</v>
      </c>
    </row>
    <row r="794" spans="1:5" x14ac:dyDescent="0.25">
      <c r="A794" t="s">
        <v>22</v>
      </c>
      <c r="B794" t="s">
        <v>30</v>
      </c>
      <c r="C794" t="s">
        <v>31</v>
      </c>
      <c r="D794" t="s">
        <v>15</v>
      </c>
      <c r="E794">
        <v>2013</v>
      </c>
    </row>
    <row r="796" spans="1:5" x14ac:dyDescent="0.25">
      <c r="A796" t="s">
        <v>22</v>
      </c>
      <c r="B796" t="s">
        <v>24</v>
      </c>
      <c r="C796" t="s">
        <v>19</v>
      </c>
      <c r="D796" t="s">
        <v>12</v>
      </c>
      <c r="E796">
        <v>2013</v>
      </c>
    </row>
    <row r="797" spans="1:5" x14ac:dyDescent="0.25">
      <c r="A797" t="s">
        <v>22</v>
      </c>
      <c r="B797" t="s">
        <v>26</v>
      </c>
      <c r="C797" t="s">
        <v>19</v>
      </c>
      <c r="D797" t="s">
        <v>12</v>
      </c>
      <c r="E797">
        <v>2013</v>
      </c>
    </row>
    <row r="798" spans="1:5" x14ac:dyDescent="0.25">
      <c r="A798" t="s">
        <v>22</v>
      </c>
      <c r="B798" t="s">
        <v>27</v>
      </c>
      <c r="C798" t="s">
        <v>19</v>
      </c>
      <c r="D798" t="s">
        <v>12</v>
      </c>
      <c r="E798">
        <v>2013</v>
      </c>
    </row>
    <row r="799" spans="1:5" x14ac:dyDescent="0.25">
      <c r="A799" t="s">
        <v>22</v>
      </c>
      <c r="B799" t="s">
        <v>28</v>
      </c>
      <c r="C799" t="s">
        <v>19</v>
      </c>
      <c r="D799" t="s">
        <v>12</v>
      </c>
      <c r="E799">
        <v>2013</v>
      </c>
    </row>
    <row r="800" spans="1:5" x14ac:dyDescent="0.25">
      <c r="A800" t="s">
        <v>22</v>
      </c>
      <c r="B800" t="s">
        <v>29</v>
      </c>
      <c r="C800" t="s">
        <v>19</v>
      </c>
      <c r="D800" t="s">
        <v>12</v>
      </c>
      <c r="E800">
        <v>2013</v>
      </c>
    </row>
    <row r="801" spans="1:5" x14ac:dyDescent="0.25">
      <c r="A801" t="s">
        <v>22</v>
      </c>
      <c r="B801" t="s">
        <v>30</v>
      </c>
      <c r="C801" t="s">
        <v>19</v>
      </c>
      <c r="D801" t="s">
        <v>12</v>
      </c>
      <c r="E801">
        <v>2013</v>
      </c>
    </row>
    <row r="802" spans="1:5" x14ac:dyDescent="0.25">
      <c r="A802" t="s">
        <v>22</v>
      </c>
      <c r="B802" t="s">
        <v>26</v>
      </c>
      <c r="C802" t="s">
        <v>19</v>
      </c>
      <c r="D802" t="s">
        <v>15</v>
      </c>
      <c r="E802">
        <v>2013</v>
      </c>
    </row>
    <row r="803" spans="1:5" x14ac:dyDescent="0.25">
      <c r="A803" t="s">
        <v>22</v>
      </c>
      <c r="B803" t="s">
        <v>28</v>
      </c>
      <c r="C803" t="s">
        <v>19</v>
      </c>
      <c r="D803" t="s">
        <v>15</v>
      </c>
      <c r="E803">
        <v>2013</v>
      </c>
    </row>
    <row r="804" spans="1:5" x14ac:dyDescent="0.25">
      <c r="A804" t="s">
        <v>22</v>
      </c>
      <c r="B804" t="s">
        <v>29</v>
      </c>
      <c r="C804" t="s">
        <v>19</v>
      </c>
      <c r="D804" t="s">
        <v>15</v>
      </c>
      <c r="E804">
        <v>2013</v>
      </c>
    </row>
    <row r="805" spans="1:5" x14ac:dyDescent="0.25">
      <c r="A805" t="s">
        <v>22</v>
      </c>
      <c r="B805" t="s">
        <v>30</v>
      </c>
      <c r="C805" t="s">
        <v>19</v>
      </c>
      <c r="D805" t="s">
        <v>15</v>
      </c>
      <c r="E805">
        <v>2013</v>
      </c>
    </row>
    <row r="807" spans="1:5" x14ac:dyDescent="0.25">
      <c r="A807" t="s">
        <v>22</v>
      </c>
      <c r="B807" t="s">
        <v>24</v>
      </c>
      <c r="C807" t="s">
        <v>20</v>
      </c>
      <c r="D807" t="s">
        <v>12</v>
      </c>
      <c r="E807">
        <v>2013</v>
      </c>
    </row>
    <row r="808" spans="1:5" x14ac:dyDescent="0.25">
      <c r="A808" t="s">
        <v>22</v>
      </c>
      <c r="B808" t="s">
        <v>26</v>
      </c>
      <c r="C808" t="s">
        <v>20</v>
      </c>
      <c r="D808" t="s">
        <v>12</v>
      </c>
      <c r="E808">
        <v>2013</v>
      </c>
    </row>
    <row r="809" spans="1:5" x14ac:dyDescent="0.25">
      <c r="A809" t="s">
        <v>22</v>
      </c>
      <c r="B809" t="s">
        <v>27</v>
      </c>
      <c r="C809" t="s">
        <v>20</v>
      </c>
      <c r="D809" t="s">
        <v>12</v>
      </c>
      <c r="E809">
        <v>2013</v>
      </c>
    </row>
    <row r="810" spans="1:5" x14ac:dyDescent="0.25">
      <c r="A810" t="s">
        <v>22</v>
      </c>
      <c r="B810" t="s">
        <v>28</v>
      </c>
      <c r="C810" t="s">
        <v>20</v>
      </c>
      <c r="D810" t="s">
        <v>12</v>
      </c>
      <c r="E810">
        <v>2013</v>
      </c>
    </row>
    <row r="811" spans="1:5" x14ac:dyDescent="0.25">
      <c r="A811" t="s">
        <v>22</v>
      </c>
      <c r="B811" t="s">
        <v>29</v>
      </c>
      <c r="C811" t="s">
        <v>20</v>
      </c>
      <c r="D811" t="s">
        <v>12</v>
      </c>
      <c r="E811">
        <v>2013</v>
      </c>
    </row>
    <row r="812" spans="1:5" x14ac:dyDescent="0.25">
      <c r="A812" t="s">
        <v>22</v>
      </c>
      <c r="B812" t="s">
        <v>30</v>
      </c>
      <c r="C812" t="s">
        <v>20</v>
      </c>
      <c r="D812" t="s">
        <v>12</v>
      </c>
      <c r="E812">
        <v>2013</v>
      </c>
    </row>
    <row r="813" spans="1:5" x14ac:dyDescent="0.25">
      <c r="A813" t="s">
        <v>22</v>
      </c>
      <c r="B813" t="s">
        <v>26</v>
      </c>
      <c r="C813" t="s">
        <v>20</v>
      </c>
      <c r="D813" t="s">
        <v>15</v>
      </c>
      <c r="E813">
        <v>2013</v>
      </c>
    </row>
    <row r="814" spans="1:5" x14ac:dyDescent="0.25">
      <c r="A814" t="s">
        <v>22</v>
      </c>
      <c r="B814" t="s">
        <v>28</v>
      </c>
      <c r="C814" t="s">
        <v>20</v>
      </c>
      <c r="D814" t="s">
        <v>15</v>
      </c>
      <c r="E814">
        <v>2013</v>
      </c>
    </row>
    <row r="815" spans="1:5" x14ac:dyDescent="0.25">
      <c r="A815" t="s">
        <v>22</v>
      </c>
      <c r="B815" t="s">
        <v>29</v>
      </c>
      <c r="C815" t="s">
        <v>20</v>
      </c>
      <c r="D815" t="s">
        <v>15</v>
      </c>
      <c r="E815">
        <v>2013</v>
      </c>
    </row>
    <row r="816" spans="1:5" x14ac:dyDescent="0.25">
      <c r="A816" t="s">
        <v>22</v>
      </c>
      <c r="B816" t="s">
        <v>30</v>
      </c>
      <c r="C816" t="s">
        <v>20</v>
      </c>
      <c r="D816" t="s">
        <v>15</v>
      </c>
      <c r="E816">
        <v>2013</v>
      </c>
    </row>
    <row r="817" spans="1:14" ht="15.75" thickBot="1" x14ac:dyDescent="0.3">
      <c r="A817" s="6"/>
      <c r="B817" s="6"/>
      <c r="C817" s="6"/>
      <c r="D817" s="6"/>
      <c r="E817" s="6"/>
      <c r="F817" s="6"/>
      <c r="G817" s="34"/>
      <c r="H817" s="6"/>
      <c r="I817" s="6"/>
      <c r="J817" s="6"/>
      <c r="K817" s="6"/>
      <c r="L817" s="6"/>
      <c r="M817" s="6"/>
      <c r="N817" s="6"/>
    </row>
    <row r="819" spans="1:14" x14ac:dyDescent="0.25">
      <c r="A819" t="s">
        <v>10</v>
      </c>
      <c r="B819" t="s">
        <v>24</v>
      </c>
      <c r="C819" t="s">
        <v>11</v>
      </c>
      <c r="D819" t="s">
        <v>12</v>
      </c>
      <c r="E819">
        <v>2015</v>
      </c>
      <c r="K819" t="s">
        <v>12</v>
      </c>
      <c r="L819" t="s">
        <v>31</v>
      </c>
      <c r="M819">
        <f>1-M820-M821</f>
        <v>0.39000000000000007</v>
      </c>
    </row>
    <row r="820" spans="1:14" x14ac:dyDescent="0.25">
      <c r="A820" t="s">
        <v>10</v>
      </c>
      <c r="B820" t="s">
        <v>26</v>
      </c>
      <c r="C820" t="s">
        <v>11</v>
      </c>
      <c r="D820" t="s">
        <v>12</v>
      </c>
      <c r="E820">
        <v>2015</v>
      </c>
      <c r="L820" t="s">
        <v>19</v>
      </c>
      <c r="M820">
        <v>0.19</v>
      </c>
    </row>
    <row r="821" spans="1:14" x14ac:dyDescent="0.25">
      <c r="A821" t="s">
        <v>10</v>
      </c>
      <c r="B821" t="s">
        <v>27</v>
      </c>
      <c r="C821" t="s">
        <v>11</v>
      </c>
      <c r="D821" t="s">
        <v>12</v>
      </c>
      <c r="E821">
        <v>2015</v>
      </c>
      <c r="L821" t="s">
        <v>20</v>
      </c>
      <c r="M821">
        <v>0.42</v>
      </c>
    </row>
    <row r="822" spans="1:14" x14ac:dyDescent="0.25">
      <c r="A822" t="s">
        <v>10</v>
      </c>
      <c r="B822" t="s">
        <v>28</v>
      </c>
      <c r="C822" t="s">
        <v>11</v>
      </c>
      <c r="D822" t="s">
        <v>12</v>
      </c>
      <c r="E822">
        <v>2015</v>
      </c>
      <c r="K822" t="s">
        <v>15</v>
      </c>
      <c r="L822" t="s">
        <v>31</v>
      </c>
      <c r="M822">
        <f>1-M823-M824</f>
        <v>0.2</v>
      </c>
    </row>
    <row r="823" spans="1:14" x14ac:dyDescent="0.25">
      <c r="A823" t="s">
        <v>10</v>
      </c>
      <c r="B823" t="s">
        <v>29</v>
      </c>
      <c r="C823" t="s">
        <v>11</v>
      </c>
      <c r="D823" t="s">
        <v>12</v>
      </c>
      <c r="E823">
        <v>2015</v>
      </c>
      <c r="L823" t="s">
        <v>19</v>
      </c>
      <c r="M823">
        <v>0.35</v>
      </c>
    </row>
    <row r="824" spans="1:14" x14ac:dyDescent="0.25">
      <c r="A824" t="s">
        <v>10</v>
      </c>
      <c r="B824" t="s">
        <v>30</v>
      </c>
      <c r="C824" t="s">
        <v>11</v>
      </c>
      <c r="D824" t="s">
        <v>12</v>
      </c>
      <c r="E824">
        <v>2015</v>
      </c>
      <c r="L824" t="s">
        <v>20</v>
      </c>
      <c r="M824">
        <v>0.45</v>
      </c>
    </row>
    <row r="825" spans="1:14" x14ac:dyDescent="0.25">
      <c r="A825" t="s">
        <v>10</v>
      </c>
      <c r="B825" t="s">
        <v>26</v>
      </c>
      <c r="C825" t="s">
        <v>11</v>
      </c>
      <c r="D825" t="s">
        <v>15</v>
      </c>
      <c r="E825">
        <v>2015</v>
      </c>
    </row>
    <row r="826" spans="1:14" x14ac:dyDescent="0.25">
      <c r="A826" t="s">
        <v>10</v>
      </c>
      <c r="B826" t="s">
        <v>28</v>
      </c>
      <c r="C826" t="s">
        <v>11</v>
      </c>
      <c r="D826" t="s">
        <v>15</v>
      </c>
      <c r="E826">
        <v>2015</v>
      </c>
    </row>
    <row r="827" spans="1:14" x14ac:dyDescent="0.25">
      <c r="A827" t="s">
        <v>10</v>
      </c>
      <c r="B827" t="s">
        <v>29</v>
      </c>
      <c r="C827" t="s">
        <v>11</v>
      </c>
      <c r="D827" t="s">
        <v>15</v>
      </c>
      <c r="E827">
        <v>2015</v>
      </c>
    </row>
    <row r="828" spans="1:14" x14ac:dyDescent="0.25">
      <c r="A828" t="s">
        <v>10</v>
      </c>
      <c r="B828" t="s">
        <v>30</v>
      </c>
      <c r="C828" t="s">
        <v>11</v>
      </c>
      <c r="D828" t="s">
        <v>15</v>
      </c>
      <c r="E828">
        <v>2015</v>
      </c>
    </row>
    <row r="830" spans="1:14" x14ac:dyDescent="0.25">
      <c r="A830" t="s">
        <v>10</v>
      </c>
      <c r="B830" t="s">
        <v>24</v>
      </c>
      <c r="C830" t="s">
        <v>31</v>
      </c>
      <c r="D830" t="s">
        <v>12</v>
      </c>
      <c r="E830">
        <v>2015</v>
      </c>
    </row>
    <row r="831" spans="1:14" x14ac:dyDescent="0.25">
      <c r="A831" t="s">
        <v>10</v>
      </c>
      <c r="B831" t="s">
        <v>26</v>
      </c>
      <c r="C831" t="s">
        <v>31</v>
      </c>
      <c r="D831" t="s">
        <v>12</v>
      </c>
      <c r="E831">
        <v>2015</v>
      </c>
    </row>
    <row r="832" spans="1:14" x14ac:dyDescent="0.25">
      <c r="A832" t="s">
        <v>10</v>
      </c>
      <c r="B832" t="s">
        <v>27</v>
      </c>
      <c r="C832" t="s">
        <v>31</v>
      </c>
      <c r="D832" t="s">
        <v>12</v>
      </c>
      <c r="E832">
        <v>2015</v>
      </c>
    </row>
    <row r="833" spans="1:5" x14ac:dyDescent="0.25">
      <c r="A833" t="s">
        <v>10</v>
      </c>
      <c r="B833" t="s">
        <v>28</v>
      </c>
      <c r="C833" t="s">
        <v>31</v>
      </c>
      <c r="D833" t="s">
        <v>12</v>
      </c>
      <c r="E833">
        <v>2015</v>
      </c>
    </row>
    <row r="834" spans="1:5" x14ac:dyDescent="0.25">
      <c r="A834" t="s">
        <v>10</v>
      </c>
      <c r="B834" t="s">
        <v>29</v>
      </c>
      <c r="C834" t="s">
        <v>31</v>
      </c>
      <c r="D834" t="s">
        <v>12</v>
      </c>
      <c r="E834">
        <v>2015</v>
      </c>
    </row>
    <row r="835" spans="1:5" x14ac:dyDescent="0.25">
      <c r="A835" t="s">
        <v>10</v>
      </c>
      <c r="B835" t="s">
        <v>30</v>
      </c>
      <c r="C835" t="s">
        <v>31</v>
      </c>
      <c r="D835" t="s">
        <v>12</v>
      </c>
      <c r="E835">
        <v>2015</v>
      </c>
    </row>
    <row r="836" spans="1:5" x14ac:dyDescent="0.25">
      <c r="A836" t="s">
        <v>10</v>
      </c>
      <c r="B836" t="s">
        <v>26</v>
      </c>
      <c r="C836" t="s">
        <v>31</v>
      </c>
      <c r="D836" t="s">
        <v>15</v>
      </c>
      <c r="E836">
        <v>2015</v>
      </c>
    </row>
    <row r="837" spans="1:5" x14ac:dyDescent="0.25">
      <c r="A837" t="s">
        <v>10</v>
      </c>
      <c r="B837" t="s">
        <v>28</v>
      </c>
      <c r="C837" t="s">
        <v>31</v>
      </c>
      <c r="D837" t="s">
        <v>15</v>
      </c>
      <c r="E837">
        <v>2015</v>
      </c>
    </row>
    <row r="838" spans="1:5" x14ac:dyDescent="0.25">
      <c r="A838" t="s">
        <v>10</v>
      </c>
      <c r="B838" t="s">
        <v>29</v>
      </c>
      <c r="C838" t="s">
        <v>31</v>
      </c>
      <c r="D838" t="s">
        <v>15</v>
      </c>
      <c r="E838">
        <v>2015</v>
      </c>
    </row>
    <row r="839" spans="1:5" x14ac:dyDescent="0.25">
      <c r="A839" t="s">
        <v>10</v>
      </c>
      <c r="B839" t="s">
        <v>30</v>
      </c>
      <c r="C839" t="s">
        <v>31</v>
      </c>
      <c r="D839" t="s">
        <v>15</v>
      </c>
      <c r="E839">
        <v>2015</v>
      </c>
    </row>
    <row r="841" spans="1:5" x14ac:dyDescent="0.25">
      <c r="A841" t="s">
        <v>10</v>
      </c>
      <c r="B841" t="s">
        <v>24</v>
      </c>
      <c r="C841" t="s">
        <v>19</v>
      </c>
      <c r="D841" t="s">
        <v>12</v>
      </c>
      <c r="E841">
        <v>2015</v>
      </c>
    </row>
    <row r="842" spans="1:5" x14ac:dyDescent="0.25">
      <c r="A842" t="s">
        <v>10</v>
      </c>
      <c r="B842" t="s">
        <v>26</v>
      </c>
      <c r="C842" t="s">
        <v>19</v>
      </c>
      <c r="D842" t="s">
        <v>12</v>
      </c>
      <c r="E842">
        <v>2015</v>
      </c>
    </row>
    <row r="843" spans="1:5" x14ac:dyDescent="0.25">
      <c r="A843" t="s">
        <v>10</v>
      </c>
      <c r="B843" t="s">
        <v>27</v>
      </c>
      <c r="C843" t="s">
        <v>19</v>
      </c>
      <c r="D843" t="s">
        <v>12</v>
      </c>
      <c r="E843">
        <v>2015</v>
      </c>
    </row>
    <row r="844" spans="1:5" x14ac:dyDescent="0.25">
      <c r="A844" t="s">
        <v>10</v>
      </c>
      <c r="B844" t="s">
        <v>28</v>
      </c>
      <c r="C844" t="s">
        <v>19</v>
      </c>
      <c r="D844" t="s">
        <v>12</v>
      </c>
      <c r="E844">
        <v>2015</v>
      </c>
    </row>
    <row r="845" spans="1:5" x14ac:dyDescent="0.25">
      <c r="A845" t="s">
        <v>10</v>
      </c>
      <c r="B845" t="s">
        <v>29</v>
      </c>
      <c r="C845" t="s">
        <v>19</v>
      </c>
      <c r="D845" t="s">
        <v>12</v>
      </c>
      <c r="E845">
        <v>2015</v>
      </c>
    </row>
    <row r="846" spans="1:5" x14ac:dyDescent="0.25">
      <c r="A846" t="s">
        <v>10</v>
      </c>
      <c r="B846" t="s">
        <v>30</v>
      </c>
      <c r="C846" t="s">
        <v>19</v>
      </c>
      <c r="D846" t="s">
        <v>12</v>
      </c>
      <c r="E846">
        <v>2015</v>
      </c>
    </row>
    <row r="847" spans="1:5" x14ac:dyDescent="0.25">
      <c r="A847" t="s">
        <v>10</v>
      </c>
      <c r="B847" t="s">
        <v>26</v>
      </c>
      <c r="C847" t="s">
        <v>19</v>
      </c>
      <c r="D847" t="s">
        <v>15</v>
      </c>
      <c r="E847">
        <v>2015</v>
      </c>
    </row>
    <row r="848" spans="1:5" x14ac:dyDescent="0.25">
      <c r="A848" t="s">
        <v>10</v>
      </c>
      <c r="B848" t="s">
        <v>28</v>
      </c>
      <c r="C848" t="s">
        <v>19</v>
      </c>
      <c r="D848" t="s">
        <v>15</v>
      </c>
      <c r="E848">
        <v>2015</v>
      </c>
    </row>
    <row r="849" spans="1:5" x14ac:dyDescent="0.25">
      <c r="A849" t="s">
        <v>10</v>
      </c>
      <c r="B849" t="s">
        <v>29</v>
      </c>
      <c r="C849" t="s">
        <v>19</v>
      </c>
      <c r="D849" t="s">
        <v>15</v>
      </c>
      <c r="E849">
        <v>2015</v>
      </c>
    </row>
    <row r="850" spans="1:5" x14ac:dyDescent="0.25">
      <c r="A850" t="s">
        <v>10</v>
      </c>
      <c r="B850" t="s">
        <v>30</v>
      </c>
      <c r="C850" t="s">
        <v>19</v>
      </c>
      <c r="D850" t="s">
        <v>15</v>
      </c>
      <c r="E850">
        <v>2015</v>
      </c>
    </row>
    <row r="852" spans="1:5" x14ac:dyDescent="0.25">
      <c r="A852" t="s">
        <v>10</v>
      </c>
      <c r="B852" t="s">
        <v>24</v>
      </c>
      <c r="C852" t="s">
        <v>20</v>
      </c>
      <c r="D852" t="s">
        <v>12</v>
      </c>
      <c r="E852">
        <v>2015</v>
      </c>
    </row>
    <row r="853" spans="1:5" x14ac:dyDescent="0.25">
      <c r="A853" t="s">
        <v>10</v>
      </c>
      <c r="B853" t="s">
        <v>26</v>
      </c>
      <c r="C853" t="s">
        <v>20</v>
      </c>
      <c r="D853" t="s">
        <v>12</v>
      </c>
      <c r="E853">
        <v>2015</v>
      </c>
    </row>
    <row r="854" spans="1:5" x14ac:dyDescent="0.25">
      <c r="A854" t="s">
        <v>10</v>
      </c>
      <c r="B854" t="s">
        <v>27</v>
      </c>
      <c r="C854" t="s">
        <v>20</v>
      </c>
      <c r="D854" t="s">
        <v>12</v>
      </c>
      <c r="E854">
        <v>2015</v>
      </c>
    </row>
    <row r="855" spans="1:5" x14ac:dyDescent="0.25">
      <c r="A855" t="s">
        <v>10</v>
      </c>
      <c r="B855" t="s">
        <v>28</v>
      </c>
      <c r="C855" t="s">
        <v>20</v>
      </c>
      <c r="D855" t="s">
        <v>12</v>
      </c>
      <c r="E855">
        <v>2015</v>
      </c>
    </row>
    <row r="856" spans="1:5" x14ac:dyDescent="0.25">
      <c r="A856" t="s">
        <v>10</v>
      </c>
      <c r="B856" t="s">
        <v>29</v>
      </c>
      <c r="C856" t="s">
        <v>20</v>
      </c>
      <c r="D856" t="s">
        <v>12</v>
      </c>
      <c r="E856">
        <v>2015</v>
      </c>
    </row>
    <row r="857" spans="1:5" x14ac:dyDescent="0.25">
      <c r="A857" t="s">
        <v>10</v>
      </c>
      <c r="B857" t="s">
        <v>30</v>
      </c>
      <c r="C857" t="s">
        <v>20</v>
      </c>
      <c r="D857" t="s">
        <v>12</v>
      </c>
      <c r="E857">
        <v>2015</v>
      </c>
    </row>
    <row r="858" spans="1:5" x14ac:dyDescent="0.25">
      <c r="A858" t="s">
        <v>10</v>
      </c>
      <c r="B858" t="s">
        <v>26</v>
      </c>
      <c r="C858" t="s">
        <v>20</v>
      </c>
      <c r="D858" t="s">
        <v>15</v>
      </c>
      <c r="E858">
        <v>2015</v>
      </c>
    </row>
    <row r="859" spans="1:5" x14ac:dyDescent="0.25">
      <c r="A859" t="s">
        <v>10</v>
      </c>
      <c r="B859" t="s">
        <v>28</v>
      </c>
      <c r="C859" t="s">
        <v>20</v>
      </c>
      <c r="D859" t="s">
        <v>15</v>
      </c>
      <c r="E859">
        <v>2015</v>
      </c>
    </row>
    <row r="860" spans="1:5" x14ac:dyDescent="0.25">
      <c r="A860" t="s">
        <v>10</v>
      </c>
      <c r="B860" t="s">
        <v>29</v>
      </c>
      <c r="C860" t="s">
        <v>20</v>
      </c>
      <c r="D860" t="s">
        <v>15</v>
      </c>
      <c r="E860">
        <v>2015</v>
      </c>
    </row>
    <row r="861" spans="1:5" x14ac:dyDescent="0.25">
      <c r="A861" t="s">
        <v>10</v>
      </c>
      <c r="B861" t="s">
        <v>30</v>
      </c>
      <c r="C861" t="s">
        <v>20</v>
      </c>
      <c r="D861" t="s">
        <v>15</v>
      </c>
      <c r="E861">
        <v>2015</v>
      </c>
    </row>
    <row r="865" spans="1:13" x14ac:dyDescent="0.25">
      <c r="A865" t="s">
        <v>21</v>
      </c>
      <c r="B865" t="s">
        <v>24</v>
      </c>
      <c r="C865" t="s">
        <v>11</v>
      </c>
      <c r="D865" t="s">
        <v>12</v>
      </c>
      <c r="E865">
        <v>2014</v>
      </c>
      <c r="K865" t="s">
        <v>12</v>
      </c>
      <c r="L865" t="s">
        <v>31</v>
      </c>
      <c r="M865">
        <v>0.3</v>
      </c>
    </row>
    <row r="866" spans="1:13" x14ac:dyDescent="0.25">
      <c r="A866" t="s">
        <v>21</v>
      </c>
      <c r="B866" t="s">
        <v>26</v>
      </c>
      <c r="C866" t="s">
        <v>11</v>
      </c>
      <c r="D866" t="s">
        <v>12</v>
      </c>
      <c r="E866">
        <v>2014</v>
      </c>
      <c r="L866" t="s">
        <v>19</v>
      </c>
      <c r="M866">
        <v>0.17</v>
      </c>
    </row>
    <row r="867" spans="1:13" x14ac:dyDescent="0.25">
      <c r="A867" t="s">
        <v>21</v>
      </c>
      <c r="B867" t="s">
        <v>27</v>
      </c>
      <c r="C867" t="s">
        <v>11</v>
      </c>
      <c r="D867" t="s">
        <v>12</v>
      </c>
      <c r="E867">
        <v>2014</v>
      </c>
      <c r="L867" t="s">
        <v>20</v>
      </c>
      <c r="M867">
        <v>0.53</v>
      </c>
    </row>
    <row r="868" spans="1:13" x14ac:dyDescent="0.25">
      <c r="A868" t="s">
        <v>21</v>
      </c>
      <c r="B868" t="s">
        <v>28</v>
      </c>
      <c r="C868" t="s">
        <v>11</v>
      </c>
      <c r="D868" t="s">
        <v>12</v>
      </c>
      <c r="E868">
        <v>2014</v>
      </c>
      <c r="K868" t="s">
        <v>15</v>
      </c>
      <c r="L868" t="s">
        <v>31</v>
      </c>
      <c r="M868">
        <v>0.18</v>
      </c>
    </row>
    <row r="869" spans="1:13" x14ac:dyDescent="0.25">
      <c r="A869" t="s">
        <v>21</v>
      </c>
      <c r="B869" t="s">
        <v>29</v>
      </c>
      <c r="C869" t="s">
        <v>11</v>
      </c>
      <c r="D869" t="s">
        <v>12</v>
      </c>
      <c r="E869">
        <v>2014</v>
      </c>
      <c r="L869" t="s">
        <v>19</v>
      </c>
      <c r="M869">
        <v>0.31</v>
      </c>
    </row>
    <row r="870" spans="1:13" x14ac:dyDescent="0.25">
      <c r="A870" t="s">
        <v>21</v>
      </c>
      <c r="B870" t="s">
        <v>30</v>
      </c>
      <c r="C870" t="s">
        <v>11</v>
      </c>
      <c r="D870" t="s">
        <v>12</v>
      </c>
      <c r="E870">
        <v>2014</v>
      </c>
      <c r="L870" t="s">
        <v>20</v>
      </c>
      <c r="M870">
        <v>0.51</v>
      </c>
    </row>
    <row r="871" spans="1:13" x14ac:dyDescent="0.25">
      <c r="A871" t="s">
        <v>21</v>
      </c>
      <c r="B871" t="s">
        <v>26</v>
      </c>
      <c r="C871" t="s">
        <v>11</v>
      </c>
      <c r="D871" t="s">
        <v>15</v>
      </c>
      <c r="E871">
        <v>2014</v>
      </c>
    </row>
    <row r="872" spans="1:13" x14ac:dyDescent="0.25">
      <c r="A872" t="s">
        <v>21</v>
      </c>
      <c r="B872" t="s">
        <v>28</v>
      </c>
      <c r="C872" t="s">
        <v>11</v>
      </c>
      <c r="D872" t="s">
        <v>15</v>
      </c>
      <c r="E872">
        <v>2014</v>
      </c>
    </row>
    <row r="873" spans="1:13" x14ac:dyDescent="0.25">
      <c r="A873" t="s">
        <v>21</v>
      </c>
      <c r="B873" t="s">
        <v>29</v>
      </c>
      <c r="C873" t="s">
        <v>11</v>
      </c>
      <c r="D873" t="s">
        <v>15</v>
      </c>
      <c r="E873">
        <v>2014</v>
      </c>
    </row>
    <row r="874" spans="1:13" x14ac:dyDescent="0.25">
      <c r="A874" t="s">
        <v>21</v>
      </c>
      <c r="B874" t="s">
        <v>30</v>
      </c>
      <c r="C874" t="s">
        <v>11</v>
      </c>
      <c r="D874" t="s">
        <v>15</v>
      </c>
      <c r="E874">
        <v>2014</v>
      </c>
    </row>
    <row r="876" spans="1:13" x14ac:dyDescent="0.25">
      <c r="A876" t="s">
        <v>21</v>
      </c>
      <c r="B876" t="s">
        <v>24</v>
      </c>
      <c r="C876" t="s">
        <v>31</v>
      </c>
      <c r="D876" t="s">
        <v>12</v>
      </c>
      <c r="E876">
        <v>2014</v>
      </c>
    </row>
    <row r="877" spans="1:13" x14ac:dyDescent="0.25">
      <c r="A877" t="s">
        <v>21</v>
      </c>
      <c r="B877" t="s">
        <v>26</v>
      </c>
      <c r="C877" t="s">
        <v>31</v>
      </c>
      <c r="D877" t="s">
        <v>12</v>
      </c>
      <c r="E877">
        <v>2014</v>
      </c>
    </row>
    <row r="878" spans="1:13" x14ac:dyDescent="0.25">
      <c r="A878" t="s">
        <v>21</v>
      </c>
      <c r="B878" t="s">
        <v>27</v>
      </c>
      <c r="C878" t="s">
        <v>31</v>
      </c>
      <c r="D878" t="s">
        <v>12</v>
      </c>
      <c r="E878">
        <v>2014</v>
      </c>
    </row>
    <row r="879" spans="1:13" x14ac:dyDescent="0.25">
      <c r="A879" t="s">
        <v>21</v>
      </c>
      <c r="B879" t="s">
        <v>28</v>
      </c>
      <c r="C879" t="s">
        <v>31</v>
      </c>
      <c r="D879" t="s">
        <v>12</v>
      </c>
      <c r="E879">
        <v>2014</v>
      </c>
    </row>
    <row r="880" spans="1:13" x14ac:dyDescent="0.25">
      <c r="A880" t="s">
        <v>21</v>
      </c>
      <c r="B880" t="s">
        <v>29</v>
      </c>
      <c r="C880" t="s">
        <v>31</v>
      </c>
      <c r="D880" t="s">
        <v>12</v>
      </c>
      <c r="E880">
        <v>2014</v>
      </c>
    </row>
    <row r="881" spans="1:5" x14ac:dyDescent="0.25">
      <c r="A881" t="s">
        <v>21</v>
      </c>
      <c r="B881" t="s">
        <v>30</v>
      </c>
      <c r="C881" t="s">
        <v>31</v>
      </c>
      <c r="D881" t="s">
        <v>12</v>
      </c>
      <c r="E881">
        <v>2014</v>
      </c>
    </row>
    <row r="882" spans="1:5" x14ac:dyDescent="0.25">
      <c r="A882" t="s">
        <v>21</v>
      </c>
      <c r="B882" t="s">
        <v>26</v>
      </c>
      <c r="C882" t="s">
        <v>31</v>
      </c>
      <c r="D882" t="s">
        <v>15</v>
      </c>
      <c r="E882">
        <v>2014</v>
      </c>
    </row>
    <row r="883" spans="1:5" x14ac:dyDescent="0.25">
      <c r="A883" t="s">
        <v>21</v>
      </c>
      <c r="B883" t="s">
        <v>28</v>
      </c>
      <c r="C883" t="s">
        <v>31</v>
      </c>
      <c r="D883" t="s">
        <v>15</v>
      </c>
      <c r="E883">
        <v>2014</v>
      </c>
    </row>
    <row r="884" spans="1:5" x14ac:dyDescent="0.25">
      <c r="A884" t="s">
        <v>21</v>
      </c>
      <c r="B884" t="s">
        <v>29</v>
      </c>
      <c r="C884" t="s">
        <v>31</v>
      </c>
      <c r="D884" t="s">
        <v>15</v>
      </c>
      <c r="E884">
        <v>2014</v>
      </c>
    </row>
    <row r="885" spans="1:5" x14ac:dyDescent="0.25">
      <c r="A885" t="s">
        <v>21</v>
      </c>
      <c r="B885" t="s">
        <v>30</v>
      </c>
      <c r="C885" t="s">
        <v>31</v>
      </c>
      <c r="D885" t="s">
        <v>15</v>
      </c>
      <c r="E885">
        <v>2014</v>
      </c>
    </row>
    <row r="887" spans="1:5" x14ac:dyDescent="0.25">
      <c r="A887" t="s">
        <v>21</v>
      </c>
      <c r="B887" t="s">
        <v>24</v>
      </c>
      <c r="C887" t="s">
        <v>19</v>
      </c>
      <c r="D887" t="s">
        <v>12</v>
      </c>
      <c r="E887">
        <v>2014</v>
      </c>
    </row>
    <row r="888" spans="1:5" x14ac:dyDescent="0.25">
      <c r="A888" t="s">
        <v>21</v>
      </c>
      <c r="B888" t="s">
        <v>26</v>
      </c>
      <c r="C888" t="s">
        <v>19</v>
      </c>
      <c r="D888" t="s">
        <v>12</v>
      </c>
      <c r="E888">
        <v>2014</v>
      </c>
    </row>
    <row r="889" spans="1:5" x14ac:dyDescent="0.25">
      <c r="A889" t="s">
        <v>21</v>
      </c>
      <c r="B889" t="s">
        <v>27</v>
      </c>
      <c r="C889" t="s">
        <v>19</v>
      </c>
      <c r="D889" t="s">
        <v>12</v>
      </c>
      <c r="E889">
        <v>2014</v>
      </c>
    </row>
    <row r="890" spans="1:5" x14ac:dyDescent="0.25">
      <c r="A890" t="s">
        <v>21</v>
      </c>
      <c r="B890" t="s">
        <v>28</v>
      </c>
      <c r="C890" t="s">
        <v>19</v>
      </c>
      <c r="D890" t="s">
        <v>12</v>
      </c>
      <c r="E890">
        <v>2014</v>
      </c>
    </row>
    <row r="891" spans="1:5" x14ac:dyDescent="0.25">
      <c r="A891" t="s">
        <v>21</v>
      </c>
      <c r="B891" t="s">
        <v>29</v>
      </c>
      <c r="C891" t="s">
        <v>19</v>
      </c>
      <c r="D891" t="s">
        <v>12</v>
      </c>
      <c r="E891">
        <v>2014</v>
      </c>
    </row>
    <row r="892" spans="1:5" x14ac:dyDescent="0.25">
      <c r="A892" t="s">
        <v>21</v>
      </c>
      <c r="B892" t="s">
        <v>30</v>
      </c>
      <c r="C892" t="s">
        <v>19</v>
      </c>
      <c r="D892" t="s">
        <v>12</v>
      </c>
      <c r="E892">
        <v>2014</v>
      </c>
    </row>
    <row r="893" spans="1:5" x14ac:dyDescent="0.25">
      <c r="A893" t="s">
        <v>21</v>
      </c>
      <c r="B893" t="s">
        <v>26</v>
      </c>
      <c r="C893" t="s">
        <v>19</v>
      </c>
      <c r="D893" t="s">
        <v>15</v>
      </c>
      <c r="E893">
        <v>2014</v>
      </c>
    </row>
    <row r="894" spans="1:5" x14ac:dyDescent="0.25">
      <c r="A894" t="s">
        <v>21</v>
      </c>
      <c r="B894" t="s">
        <v>28</v>
      </c>
      <c r="C894" t="s">
        <v>19</v>
      </c>
      <c r="D894" t="s">
        <v>15</v>
      </c>
      <c r="E894">
        <v>2014</v>
      </c>
    </row>
    <row r="895" spans="1:5" x14ac:dyDescent="0.25">
      <c r="A895" t="s">
        <v>21</v>
      </c>
      <c r="B895" t="s">
        <v>29</v>
      </c>
      <c r="C895" t="s">
        <v>19</v>
      </c>
      <c r="D895" t="s">
        <v>15</v>
      </c>
      <c r="E895">
        <v>2014</v>
      </c>
    </row>
    <row r="896" spans="1:5" x14ac:dyDescent="0.25">
      <c r="A896" t="s">
        <v>21</v>
      </c>
      <c r="B896" t="s">
        <v>30</v>
      </c>
      <c r="C896" t="s">
        <v>19</v>
      </c>
      <c r="D896" t="s">
        <v>15</v>
      </c>
      <c r="E896">
        <v>2014</v>
      </c>
    </row>
    <row r="898" spans="1:13" x14ac:dyDescent="0.25">
      <c r="A898" t="s">
        <v>21</v>
      </c>
      <c r="B898" t="s">
        <v>24</v>
      </c>
      <c r="C898" t="s">
        <v>20</v>
      </c>
      <c r="D898" t="s">
        <v>12</v>
      </c>
      <c r="E898">
        <v>2014</v>
      </c>
    </row>
    <row r="899" spans="1:13" x14ac:dyDescent="0.25">
      <c r="A899" t="s">
        <v>21</v>
      </c>
      <c r="B899" t="s">
        <v>26</v>
      </c>
      <c r="C899" t="s">
        <v>20</v>
      </c>
      <c r="D899" t="s">
        <v>12</v>
      </c>
      <c r="E899">
        <v>2014</v>
      </c>
    </row>
    <row r="900" spans="1:13" x14ac:dyDescent="0.25">
      <c r="A900" t="s">
        <v>21</v>
      </c>
      <c r="B900" t="s">
        <v>27</v>
      </c>
      <c r="C900" t="s">
        <v>20</v>
      </c>
      <c r="D900" t="s">
        <v>12</v>
      </c>
      <c r="E900">
        <v>2014</v>
      </c>
    </row>
    <row r="901" spans="1:13" x14ac:dyDescent="0.25">
      <c r="A901" t="s">
        <v>21</v>
      </c>
      <c r="B901" t="s">
        <v>28</v>
      </c>
      <c r="C901" t="s">
        <v>20</v>
      </c>
      <c r="D901" t="s">
        <v>12</v>
      </c>
      <c r="E901">
        <v>2014</v>
      </c>
    </row>
    <row r="902" spans="1:13" x14ac:dyDescent="0.25">
      <c r="A902" t="s">
        <v>21</v>
      </c>
      <c r="B902" t="s">
        <v>29</v>
      </c>
      <c r="C902" t="s">
        <v>20</v>
      </c>
      <c r="D902" t="s">
        <v>12</v>
      </c>
      <c r="E902">
        <v>2014</v>
      </c>
    </row>
    <row r="903" spans="1:13" x14ac:dyDescent="0.25">
      <c r="A903" t="s">
        <v>21</v>
      </c>
      <c r="B903" t="s">
        <v>30</v>
      </c>
      <c r="C903" t="s">
        <v>20</v>
      </c>
      <c r="D903" t="s">
        <v>12</v>
      </c>
      <c r="E903">
        <v>2014</v>
      </c>
    </row>
    <row r="904" spans="1:13" x14ac:dyDescent="0.25">
      <c r="A904" t="s">
        <v>21</v>
      </c>
      <c r="B904" t="s">
        <v>26</v>
      </c>
      <c r="C904" t="s">
        <v>20</v>
      </c>
      <c r="D904" t="s">
        <v>15</v>
      </c>
      <c r="E904">
        <v>2014</v>
      </c>
    </row>
    <row r="905" spans="1:13" x14ac:dyDescent="0.25">
      <c r="A905" t="s">
        <v>21</v>
      </c>
      <c r="B905" t="s">
        <v>28</v>
      </c>
      <c r="C905" t="s">
        <v>20</v>
      </c>
      <c r="D905" t="s">
        <v>15</v>
      </c>
      <c r="E905">
        <v>2014</v>
      </c>
    </row>
    <row r="906" spans="1:13" x14ac:dyDescent="0.25">
      <c r="A906" t="s">
        <v>21</v>
      </c>
      <c r="B906" t="s">
        <v>29</v>
      </c>
      <c r="C906" t="s">
        <v>20</v>
      </c>
      <c r="D906" t="s">
        <v>15</v>
      </c>
      <c r="E906">
        <v>2014</v>
      </c>
    </row>
    <row r="907" spans="1:13" x14ac:dyDescent="0.25">
      <c r="A907" t="s">
        <v>21</v>
      </c>
      <c r="B907" t="s">
        <v>30</v>
      </c>
      <c r="C907" t="s">
        <v>20</v>
      </c>
      <c r="D907" t="s">
        <v>15</v>
      </c>
      <c r="E907">
        <v>2014</v>
      </c>
    </row>
    <row r="910" spans="1:13" x14ac:dyDescent="0.25">
      <c r="A910" t="s">
        <v>22</v>
      </c>
      <c r="B910" t="s">
        <v>24</v>
      </c>
      <c r="C910" t="s">
        <v>11</v>
      </c>
      <c r="D910" t="s">
        <v>12</v>
      </c>
      <c r="E910">
        <v>2014</v>
      </c>
      <c r="K910" t="s">
        <v>12</v>
      </c>
      <c r="L910" t="s">
        <v>31</v>
      </c>
      <c r="M910">
        <f>1-M911-M912</f>
        <v>0.4</v>
      </c>
    </row>
    <row r="911" spans="1:13" x14ac:dyDescent="0.25">
      <c r="A911" t="s">
        <v>22</v>
      </c>
      <c r="B911" t="s">
        <v>26</v>
      </c>
      <c r="C911" t="s">
        <v>11</v>
      </c>
      <c r="D911" t="s">
        <v>12</v>
      </c>
      <c r="E911">
        <v>2014</v>
      </c>
      <c r="L911" t="s">
        <v>19</v>
      </c>
      <c r="M911">
        <v>0.24</v>
      </c>
    </row>
    <row r="912" spans="1:13" x14ac:dyDescent="0.25">
      <c r="A912" t="s">
        <v>22</v>
      </c>
      <c r="B912" t="s">
        <v>27</v>
      </c>
      <c r="C912" t="s">
        <v>11</v>
      </c>
      <c r="D912" t="s">
        <v>12</v>
      </c>
      <c r="E912">
        <v>2014</v>
      </c>
      <c r="L912" t="s">
        <v>20</v>
      </c>
      <c r="M912">
        <v>0.36</v>
      </c>
    </row>
    <row r="913" spans="1:13" x14ac:dyDescent="0.25">
      <c r="A913" t="s">
        <v>22</v>
      </c>
      <c r="B913" t="s">
        <v>28</v>
      </c>
      <c r="C913" t="s">
        <v>11</v>
      </c>
      <c r="D913" t="s">
        <v>12</v>
      </c>
      <c r="E913">
        <v>2014</v>
      </c>
      <c r="K913" t="s">
        <v>15</v>
      </c>
      <c r="L913" t="s">
        <v>31</v>
      </c>
      <c r="M913">
        <f>1-M914-M915</f>
        <v>0.27</v>
      </c>
    </row>
    <row r="914" spans="1:13" x14ac:dyDescent="0.25">
      <c r="A914" t="s">
        <v>22</v>
      </c>
      <c r="B914" t="s">
        <v>29</v>
      </c>
      <c r="C914" t="s">
        <v>11</v>
      </c>
      <c r="D914" t="s">
        <v>12</v>
      </c>
      <c r="E914">
        <v>2014</v>
      </c>
      <c r="L914" t="s">
        <v>19</v>
      </c>
      <c r="M914">
        <v>0.49</v>
      </c>
    </row>
    <row r="915" spans="1:13" x14ac:dyDescent="0.25">
      <c r="A915" t="s">
        <v>22</v>
      </c>
      <c r="B915" t="s">
        <v>30</v>
      </c>
      <c r="C915" t="s">
        <v>11</v>
      </c>
      <c r="D915" t="s">
        <v>12</v>
      </c>
      <c r="E915">
        <v>2014</v>
      </c>
      <c r="L915" t="s">
        <v>20</v>
      </c>
      <c r="M915">
        <v>0.24</v>
      </c>
    </row>
    <row r="916" spans="1:13" x14ac:dyDescent="0.25">
      <c r="A916" t="s">
        <v>22</v>
      </c>
      <c r="B916" t="s">
        <v>26</v>
      </c>
      <c r="C916" t="s">
        <v>11</v>
      </c>
      <c r="D916" t="s">
        <v>15</v>
      </c>
      <c r="E916">
        <v>2014</v>
      </c>
    </row>
    <row r="917" spans="1:13" x14ac:dyDescent="0.25">
      <c r="A917" t="s">
        <v>22</v>
      </c>
      <c r="B917" t="s">
        <v>28</v>
      </c>
      <c r="C917" t="s">
        <v>11</v>
      </c>
      <c r="D917" t="s">
        <v>15</v>
      </c>
      <c r="E917">
        <v>2014</v>
      </c>
    </row>
    <row r="918" spans="1:13" x14ac:dyDescent="0.25">
      <c r="A918" t="s">
        <v>22</v>
      </c>
      <c r="B918" t="s">
        <v>29</v>
      </c>
      <c r="C918" t="s">
        <v>11</v>
      </c>
      <c r="D918" t="s">
        <v>15</v>
      </c>
      <c r="E918">
        <v>2014</v>
      </c>
    </row>
    <row r="919" spans="1:13" x14ac:dyDescent="0.25">
      <c r="A919" t="s">
        <v>22</v>
      </c>
      <c r="B919" t="s">
        <v>30</v>
      </c>
      <c r="C919" t="s">
        <v>11</v>
      </c>
      <c r="D919" t="s">
        <v>15</v>
      </c>
      <c r="E919">
        <v>2014</v>
      </c>
    </row>
    <row r="921" spans="1:13" x14ac:dyDescent="0.25">
      <c r="A921" t="s">
        <v>22</v>
      </c>
      <c r="B921" t="s">
        <v>24</v>
      </c>
      <c r="C921" t="s">
        <v>31</v>
      </c>
      <c r="D921" t="s">
        <v>12</v>
      </c>
      <c r="E921">
        <v>2014</v>
      </c>
    </row>
    <row r="922" spans="1:13" x14ac:dyDescent="0.25">
      <c r="A922" t="s">
        <v>22</v>
      </c>
      <c r="B922" t="s">
        <v>26</v>
      </c>
      <c r="C922" t="s">
        <v>31</v>
      </c>
      <c r="D922" t="s">
        <v>12</v>
      </c>
      <c r="E922">
        <v>2014</v>
      </c>
    </row>
    <row r="923" spans="1:13" x14ac:dyDescent="0.25">
      <c r="A923" t="s">
        <v>22</v>
      </c>
      <c r="B923" t="s">
        <v>27</v>
      </c>
      <c r="C923" t="s">
        <v>31</v>
      </c>
      <c r="D923" t="s">
        <v>12</v>
      </c>
      <c r="E923">
        <v>2014</v>
      </c>
    </row>
    <row r="924" spans="1:13" x14ac:dyDescent="0.25">
      <c r="A924" t="s">
        <v>22</v>
      </c>
      <c r="B924" t="s">
        <v>28</v>
      </c>
      <c r="C924" t="s">
        <v>31</v>
      </c>
      <c r="D924" t="s">
        <v>12</v>
      </c>
      <c r="E924">
        <v>2014</v>
      </c>
    </row>
    <row r="925" spans="1:13" x14ac:dyDescent="0.25">
      <c r="A925" t="s">
        <v>22</v>
      </c>
      <c r="B925" t="s">
        <v>29</v>
      </c>
      <c r="C925" t="s">
        <v>31</v>
      </c>
      <c r="D925" t="s">
        <v>12</v>
      </c>
      <c r="E925">
        <v>2014</v>
      </c>
    </row>
    <row r="926" spans="1:13" x14ac:dyDescent="0.25">
      <c r="A926" t="s">
        <v>22</v>
      </c>
      <c r="B926" t="s">
        <v>30</v>
      </c>
      <c r="C926" t="s">
        <v>31</v>
      </c>
      <c r="D926" t="s">
        <v>12</v>
      </c>
      <c r="E926">
        <v>2014</v>
      </c>
    </row>
    <row r="927" spans="1:13" x14ac:dyDescent="0.25">
      <c r="A927" t="s">
        <v>22</v>
      </c>
      <c r="B927" t="s">
        <v>26</v>
      </c>
      <c r="C927" t="s">
        <v>31</v>
      </c>
      <c r="D927" t="s">
        <v>15</v>
      </c>
      <c r="E927">
        <v>2014</v>
      </c>
    </row>
    <row r="928" spans="1:13" x14ac:dyDescent="0.25">
      <c r="A928" t="s">
        <v>22</v>
      </c>
      <c r="B928" t="s">
        <v>28</v>
      </c>
      <c r="C928" t="s">
        <v>31</v>
      </c>
      <c r="D928" t="s">
        <v>15</v>
      </c>
      <c r="E928">
        <v>2014</v>
      </c>
    </row>
    <row r="929" spans="1:5" x14ac:dyDescent="0.25">
      <c r="A929" t="s">
        <v>22</v>
      </c>
      <c r="B929" t="s">
        <v>29</v>
      </c>
      <c r="C929" t="s">
        <v>31</v>
      </c>
      <c r="D929" t="s">
        <v>15</v>
      </c>
      <c r="E929">
        <v>2014</v>
      </c>
    </row>
    <row r="930" spans="1:5" x14ac:dyDescent="0.25">
      <c r="A930" t="s">
        <v>22</v>
      </c>
      <c r="B930" t="s">
        <v>30</v>
      </c>
      <c r="C930" t="s">
        <v>31</v>
      </c>
      <c r="D930" t="s">
        <v>15</v>
      </c>
      <c r="E930">
        <v>2014</v>
      </c>
    </row>
    <row r="932" spans="1:5" x14ac:dyDescent="0.25">
      <c r="A932" t="s">
        <v>22</v>
      </c>
      <c r="B932" t="s">
        <v>24</v>
      </c>
      <c r="C932" t="s">
        <v>19</v>
      </c>
      <c r="D932" t="s">
        <v>12</v>
      </c>
      <c r="E932">
        <v>2014</v>
      </c>
    </row>
    <row r="933" spans="1:5" x14ac:dyDescent="0.25">
      <c r="A933" t="s">
        <v>22</v>
      </c>
      <c r="B933" t="s">
        <v>26</v>
      </c>
      <c r="C933" t="s">
        <v>19</v>
      </c>
      <c r="D933" t="s">
        <v>12</v>
      </c>
      <c r="E933">
        <v>2014</v>
      </c>
    </row>
    <row r="934" spans="1:5" x14ac:dyDescent="0.25">
      <c r="A934" t="s">
        <v>22</v>
      </c>
      <c r="B934" t="s">
        <v>27</v>
      </c>
      <c r="C934" t="s">
        <v>19</v>
      </c>
      <c r="D934" t="s">
        <v>12</v>
      </c>
      <c r="E934">
        <v>2014</v>
      </c>
    </row>
    <row r="935" spans="1:5" x14ac:dyDescent="0.25">
      <c r="A935" t="s">
        <v>22</v>
      </c>
      <c r="B935" t="s">
        <v>28</v>
      </c>
      <c r="C935" t="s">
        <v>19</v>
      </c>
      <c r="D935" t="s">
        <v>12</v>
      </c>
      <c r="E935">
        <v>2014</v>
      </c>
    </row>
    <row r="936" spans="1:5" x14ac:dyDescent="0.25">
      <c r="A936" t="s">
        <v>22</v>
      </c>
      <c r="B936" t="s">
        <v>29</v>
      </c>
      <c r="C936" t="s">
        <v>19</v>
      </c>
      <c r="D936" t="s">
        <v>12</v>
      </c>
      <c r="E936">
        <v>2014</v>
      </c>
    </row>
    <row r="937" spans="1:5" x14ac:dyDescent="0.25">
      <c r="A937" t="s">
        <v>22</v>
      </c>
      <c r="B937" t="s">
        <v>30</v>
      </c>
      <c r="C937" t="s">
        <v>19</v>
      </c>
      <c r="D937" t="s">
        <v>12</v>
      </c>
      <c r="E937">
        <v>2014</v>
      </c>
    </row>
    <row r="938" spans="1:5" x14ac:dyDescent="0.25">
      <c r="A938" t="s">
        <v>22</v>
      </c>
      <c r="B938" t="s">
        <v>26</v>
      </c>
      <c r="C938" t="s">
        <v>19</v>
      </c>
      <c r="D938" t="s">
        <v>15</v>
      </c>
      <c r="E938">
        <v>2014</v>
      </c>
    </row>
    <row r="939" spans="1:5" x14ac:dyDescent="0.25">
      <c r="A939" t="s">
        <v>22</v>
      </c>
      <c r="B939" t="s">
        <v>28</v>
      </c>
      <c r="C939" t="s">
        <v>19</v>
      </c>
      <c r="D939" t="s">
        <v>15</v>
      </c>
      <c r="E939">
        <v>2014</v>
      </c>
    </row>
    <row r="940" spans="1:5" x14ac:dyDescent="0.25">
      <c r="A940" t="s">
        <v>22</v>
      </c>
      <c r="B940" t="s">
        <v>29</v>
      </c>
      <c r="C940" t="s">
        <v>19</v>
      </c>
      <c r="D940" t="s">
        <v>15</v>
      </c>
      <c r="E940">
        <v>2014</v>
      </c>
    </row>
    <row r="941" spans="1:5" x14ac:dyDescent="0.25">
      <c r="A941" t="s">
        <v>22</v>
      </c>
      <c r="B941" t="s">
        <v>30</v>
      </c>
      <c r="C941" t="s">
        <v>19</v>
      </c>
      <c r="D941" t="s">
        <v>15</v>
      </c>
      <c r="E941">
        <v>2014</v>
      </c>
    </row>
    <row r="943" spans="1:5" x14ac:dyDescent="0.25">
      <c r="A943" t="s">
        <v>22</v>
      </c>
      <c r="B943" t="s">
        <v>24</v>
      </c>
      <c r="C943" t="s">
        <v>20</v>
      </c>
      <c r="D943" t="s">
        <v>12</v>
      </c>
      <c r="E943">
        <v>2014</v>
      </c>
    </row>
    <row r="944" spans="1:5" x14ac:dyDescent="0.25">
      <c r="A944" t="s">
        <v>22</v>
      </c>
      <c r="B944" t="s">
        <v>26</v>
      </c>
      <c r="C944" t="s">
        <v>20</v>
      </c>
      <c r="D944" t="s">
        <v>12</v>
      </c>
      <c r="E944">
        <v>2014</v>
      </c>
    </row>
    <row r="945" spans="1:10" x14ac:dyDescent="0.25">
      <c r="A945" t="s">
        <v>22</v>
      </c>
      <c r="B945" t="s">
        <v>27</v>
      </c>
      <c r="C945" t="s">
        <v>20</v>
      </c>
      <c r="D945" t="s">
        <v>12</v>
      </c>
      <c r="E945">
        <v>2014</v>
      </c>
    </row>
    <row r="946" spans="1:10" x14ac:dyDescent="0.25">
      <c r="A946" t="s">
        <v>22</v>
      </c>
      <c r="B946" t="s">
        <v>28</v>
      </c>
      <c r="C946" t="s">
        <v>20</v>
      </c>
      <c r="D946" t="s">
        <v>12</v>
      </c>
      <c r="E946">
        <v>2014</v>
      </c>
    </row>
    <row r="947" spans="1:10" x14ac:dyDescent="0.25">
      <c r="A947" t="s">
        <v>22</v>
      </c>
      <c r="B947" t="s">
        <v>29</v>
      </c>
      <c r="C947" t="s">
        <v>20</v>
      </c>
      <c r="D947" t="s">
        <v>12</v>
      </c>
      <c r="E947">
        <v>2014</v>
      </c>
    </row>
    <row r="948" spans="1:10" x14ac:dyDescent="0.25">
      <c r="A948" t="s">
        <v>22</v>
      </c>
      <c r="B948" t="s">
        <v>30</v>
      </c>
      <c r="C948" t="s">
        <v>20</v>
      </c>
      <c r="D948" t="s">
        <v>12</v>
      </c>
      <c r="E948">
        <v>2014</v>
      </c>
    </row>
    <row r="949" spans="1:10" x14ac:dyDescent="0.25">
      <c r="A949" t="s">
        <v>22</v>
      </c>
      <c r="B949" t="s">
        <v>26</v>
      </c>
      <c r="C949" t="s">
        <v>20</v>
      </c>
      <c r="D949" t="s">
        <v>15</v>
      </c>
      <c r="E949">
        <v>2014</v>
      </c>
    </row>
    <row r="950" spans="1:10" x14ac:dyDescent="0.25">
      <c r="A950" t="s">
        <v>22</v>
      </c>
      <c r="B950" t="s">
        <v>28</v>
      </c>
      <c r="C950" t="s">
        <v>20</v>
      </c>
      <c r="D950" t="s">
        <v>15</v>
      </c>
      <c r="E950">
        <v>2014</v>
      </c>
    </row>
    <row r="951" spans="1:10" x14ac:dyDescent="0.25">
      <c r="A951" t="s">
        <v>22</v>
      </c>
      <c r="B951" t="s">
        <v>29</v>
      </c>
      <c r="C951" t="s">
        <v>20</v>
      </c>
      <c r="D951" t="s">
        <v>15</v>
      </c>
      <c r="E951">
        <v>2014</v>
      </c>
    </row>
    <row r="952" spans="1:10" x14ac:dyDescent="0.25">
      <c r="A952" t="s">
        <v>22</v>
      </c>
      <c r="B952" t="s">
        <v>30</v>
      </c>
      <c r="C952" t="s">
        <v>20</v>
      </c>
      <c r="D952" t="s">
        <v>15</v>
      </c>
      <c r="E952">
        <v>2014</v>
      </c>
    </row>
    <row r="959" spans="1:10" x14ac:dyDescent="0.25">
      <c r="A959" s="5" t="s">
        <v>21</v>
      </c>
      <c r="B959" s="5" t="s">
        <v>24</v>
      </c>
      <c r="C959" s="5" t="s">
        <v>19</v>
      </c>
      <c r="D959" s="5" t="s">
        <v>12</v>
      </c>
      <c r="E959" s="5">
        <v>2014</v>
      </c>
      <c r="F959" s="5"/>
      <c r="H959" s="5"/>
      <c r="I959" s="5"/>
      <c r="J959" s="5"/>
    </row>
    <row r="960" spans="1:10" x14ac:dyDescent="0.25">
      <c r="A960" s="5" t="s">
        <v>21</v>
      </c>
      <c r="B960" s="5" t="s">
        <v>26</v>
      </c>
      <c r="C960" s="5" t="s">
        <v>19</v>
      </c>
      <c r="D960" s="5" t="s">
        <v>12</v>
      </c>
      <c r="E960" s="5">
        <v>2014</v>
      </c>
      <c r="F960" s="5"/>
      <c r="H960" s="5"/>
      <c r="I960" s="5"/>
      <c r="J960" s="5"/>
    </row>
    <row r="961" spans="1:10" x14ac:dyDescent="0.25">
      <c r="A961" s="5" t="s">
        <v>21</v>
      </c>
      <c r="B961" s="5" t="s">
        <v>27</v>
      </c>
      <c r="C961" s="5" t="s">
        <v>19</v>
      </c>
      <c r="D961" s="5" t="s">
        <v>12</v>
      </c>
      <c r="E961" s="5">
        <v>2014</v>
      </c>
      <c r="F961" s="5"/>
      <c r="H961" s="5"/>
      <c r="I961" s="5"/>
      <c r="J961" s="5"/>
    </row>
    <row r="962" spans="1:10" x14ac:dyDescent="0.25">
      <c r="A962" s="5" t="s">
        <v>21</v>
      </c>
      <c r="B962" s="5" t="s">
        <v>28</v>
      </c>
      <c r="C962" s="5" t="s">
        <v>19</v>
      </c>
      <c r="D962" s="5" t="s">
        <v>12</v>
      </c>
      <c r="E962" s="5">
        <v>2014</v>
      </c>
      <c r="F962" s="5"/>
      <c r="H962" s="5"/>
      <c r="I962" s="5"/>
      <c r="J962" s="5"/>
    </row>
    <row r="963" spans="1:10" x14ac:dyDescent="0.25">
      <c r="A963" s="5" t="s">
        <v>21</v>
      </c>
      <c r="B963" s="5" t="s">
        <v>29</v>
      </c>
      <c r="C963" s="5" t="s">
        <v>19</v>
      </c>
      <c r="D963" s="5" t="s">
        <v>12</v>
      </c>
      <c r="E963" s="5">
        <v>2014</v>
      </c>
      <c r="F963" s="5"/>
      <c r="H963" s="5"/>
      <c r="I963" s="5"/>
      <c r="J963" s="5"/>
    </row>
    <row r="964" spans="1:10" x14ac:dyDescent="0.25">
      <c r="A964" s="5" t="s">
        <v>21</v>
      </c>
      <c r="B964" s="5" t="s">
        <v>30</v>
      </c>
      <c r="C964" s="5" t="s">
        <v>19</v>
      </c>
      <c r="D964" s="5" t="s">
        <v>12</v>
      </c>
      <c r="E964" s="5">
        <v>2014</v>
      </c>
      <c r="F964" s="5"/>
      <c r="H964" s="5"/>
      <c r="I964" s="5"/>
      <c r="J964" s="5"/>
    </row>
    <row r="965" spans="1:10" x14ac:dyDescent="0.25">
      <c r="A965" s="4" t="s">
        <v>10</v>
      </c>
      <c r="B965" s="4" t="s">
        <v>24</v>
      </c>
      <c r="C965" s="4" t="s">
        <v>19</v>
      </c>
      <c r="D965" s="4" t="s">
        <v>12</v>
      </c>
      <c r="E965" s="4">
        <v>2014</v>
      </c>
      <c r="F965" s="4"/>
      <c r="H965" s="4"/>
      <c r="I965" s="4"/>
      <c r="J965" s="4"/>
    </row>
    <row r="966" spans="1:10" x14ac:dyDescent="0.25">
      <c r="A966" s="4" t="s">
        <v>10</v>
      </c>
      <c r="B966" s="4" t="s">
        <v>26</v>
      </c>
      <c r="C966" s="4" t="s">
        <v>19</v>
      </c>
      <c r="D966" s="4" t="s">
        <v>12</v>
      </c>
      <c r="E966" s="4">
        <v>2014</v>
      </c>
      <c r="F966" s="4"/>
      <c r="H966" s="4"/>
      <c r="I966" s="4"/>
      <c r="J966" s="4"/>
    </row>
    <row r="967" spans="1:10" x14ac:dyDescent="0.25">
      <c r="A967" s="4" t="s">
        <v>10</v>
      </c>
      <c r="B967" s="4" t="s">
        <v>27</v>
      </c>
      <c r="C967" s="4" t="s">
        <v>19</v>
      </c>
      <c r="D967" s="4" t="s">
        <v>12</v>
      </c>
      <c r="E967" s="4">
        <v>2014</v>
      </c>
      <c r="F967" s="4"/>
      <c r="H967" s="4"/>
      <c r="I967" s="4"/>
      <c r="J967" s="4"/>
    </row>
    <row r="968" spans="1:10" x14ac:dyDescent="0.25">
      <c r="A968" s="4" t="s">
        <v>10</v>
      </c>
      <c r="B968" s="4" t="s">
        <v>28</v>
      </c>
      <c r="C968" s="4" t="s">
        <v>19</v>
      </c>
      <c r="D968" s="4" t="s">
        <v>12</v>
      </c>
      <c r="E968" s="4">
        <v>2014</v>
      </c>
      <c r="F968" s="4"/>
      <c r="H968" s="4"/>
      <c r="I968" s="4"/>
      <c r="J968" s="4"/>
    </row>
    <row r="969" spans="1:10" x14ac:dyDescent="0.25">
      <c r="A969" s="4" t="s">
        <v>10</v>
      </c>
      <c r="B969" s="4" t="s">
        <v>29</v>
      </c>
      <c r="C969" s="4" t="s">
        <v>19</v>
      </c>
      <c r="D969" s="4" t="s">
        <v>12</v>
      </c>
      <c r="E969" s="4">
        <v>2014</v>
      </c>
      <c r="F969" s="4"/>
      <c r="H969" s="4"/>
      <c r="I969" s="4"/>
      <c r="J969" s="4"/>
    </row>
    <row r="970" spans="1:10" x14ac:dyDescent="0.25">
      <c r="A970" s="4" t="s">
        <v>10</v>
      </c>
      <c r="B970" s="4" t="s">
        <v>30</v>
      </c>
      <c r="C970" s="4" t="s">
        <v>19</v>
      </c>
      <c r="D970" s="4" t="s">
        <v>12</v>
      </c>
      <c r="E970" s="4">
        <v>2014</v>
      </c>
      <c r="F970" s="4"/>
      <c r="H970" s="4"/>
      <c r="I970" s="4"/>
      <c r="J970" s="4"/>
    </row>
    <row r="971" spans="1:10" x14ac:dyDescent="0.25">
      <c r="A971" s="5" t="s">
        <v>22</v>
      </c>
      <c r="B971" s="5" t="s">
        <v>24</v>
      </c>
      <c r="C971" s="5" t="s">
        <v>19</v>
      </c>
      <c r="D971" s="5" t="s">
        <v>12</v>
      </c>
      <c r="E971" s="5">
        <v>2014</v>
      </c>
      <c r="F971" s="5"/>
      <c r="H971" s="5"/>
      <c r="I971" s="5"/>
      <c r="J971" s="5"/>
    </row>
    <row r="972" spans="1:10" x14ac:dyDescent="0.25">
      <c r="A972" s="5" t="s">
        <v>22</v>
      </c>
      <c r="B972" s="5" t="s">
        <v>26</v>
      </c>
      <c r="C972" s="5" t="s">
        <v>19</v>
      </c>
      <c r="D972" s="5" t="s">
        <v>12</v>
      </c>
      <c r="E972" s="5">
        <v>2014</v>
      </c>
      <c r="F972" s="5"/>
      <c r="H972" s="5"/>
      <c r="I972" s="5"/>
      <c r="J972" s="5"/>
    </row>
    <row r="973" spans="1:10" x14ac:dyDescent="0.25">
      <c r="A973" s="5" t="s">
        <v>22</v>
      </c>
      <c r="B973" s="5" t="s">
        <v>27</v>
      </c>
      <c r="C973" s="5" t="s">
        <v>19</v>
      </c>
      <c r="D973" s="5" t="s">
        <v>12</v>
      </c>
      <c r="E973" s="5">
        <v>2014</v>
      </c>
      <c r="F973" s="5"/>
      <c r="H973" s="5"/>
      <c r="I973" s="5"/>
      <c r="J973" s="5"/>
    </row>
    <row r="974" spans="1:10" x14ac:dyDescent="0.25">
      <c r="A974" s="5" t="s">
        <v>22</v>
      </c>
      <c r="B974" s="5" t="s">
        <v>28</v>
      </c>
      <c r="C974" s="5" t="s">
        <v>19</v>
      </c>
      <c r="D974" s="5" t="s">
        <v>12</v>
      </c>
      <c r="E974" s="5">
        <v>2014</v>
      </c>
      <c r="F974" s="5"/>
      <c r="H974" s="5"/>
      <c r="I974" s="5"/>
      <c r="J974" s="5"/>
    </row>
    <row r="975" spans="1:10" x14ac:dyDescent="0.25">
      <c r="A975" s="5" t="s">
        <v>22</v>
      </c>
      <c r="B975" s="5" t="s">
        <v>29</v>
      </c>
      <c r="C975" s="5" t="s">
        <v>19</v>
      </c>
      <c r="D975" s="5" t="s">
        <v>12</v>
      </c>
      <c r="E975" s="5">
        <v>2014</v>
      </c>
      <c r="F975" s="5"/>
      <c r="H975" s="5"/>
      <c r="I975" s="5"/>
      <c r="J975" s="5"/>
    </row>
    <row r="976" spans="1:10" x14ac:dyDescent="0.25">
      <c r="A976" s="5" t="s">
        <v>22</v>
      </c>
      <c r="B976" s="5" t="s">
        <v>30</v>
      </c>
      <c r="C976" s="5" t="s">
        <v>19</v>
      </c>
      <c r="D976" s="5" t="s">
        <v>12</v>
      </c>
      <c r="E976" s="5">
        <v>2014</v>
      </c>
      <c r="F976" s="5"/>
      <c r="H976" s="5"/>
      <c r="I976" s="5"/>
      <c r="J976" s="5"/>
    </row>
    <row r="977" spans="1:10" x14ac:dyDescent="0.25">
      <c r="A977" s="5" t="s">
        <v>21</v>
      </c>
      <c r="B977" s="5" t="s">
        <v>26</v>
      </c>
      <c r="C977" s="5" t="s">
        <v>19</v>
      </c>
      <c r="D977" s="5" t="s">
        <v>15</v>
      </c>
      <c r="E977" s="5">
        <v>2014</v>
      </c>
      <c r="F977" s="5"/>
      <c r="H977" s="5"/>
      <c r="I977" s="5"/>
      <c r="J977" s="5"/>
    </row>
    <row r="978" spans="1:10" x14ac:dyDescent="0.25">
      <c r="A978" s="5" t="s">
        <v>21</v>
      </c>
      <c r="B978" s="5" t="s">
        <v>28</v>
      </c>
      <c r="C978" s="5" t="s">
        <v>19</v>
      </c>
      <c r="D978" s="5" t="s">
        <v>15</v>
      </c>
      <c r="E978" s="5">
        <v>2014</v>
      </c>
      <c r="F978" s="5"/>
      <c r="H978" s="5"/>
      <c r="I978" s="5"/>
      <c r="J978" s="5"/>
    </row>
    <row r="979" spans="1:10" x14ac:dyDescent="0.25">
      <c r="A979" s="5" t="s">
        <v>21</v>
      </c>
      <c r="B979" s="5" t="s">
        <v>29</v>
      </c>
      <c r="C979" s="5" t="s">
        <v>19</v>
      </c>
      <c r="D979" s="5" t="s">
        <v>15</v>
      </c>
      <c r="E979" s="5">
        <v>2014</v>
      </c>
      <c r="F979" s="5"/>
      <c r="H979" s="5"/>
      <c r="I979" s="5"/>
      <c r="J979" s="5"/>
    </row>
    <row r="980" spans="1:10" x14ac:dyDescent="0.25">
      <c r="A980" s="5" t="s">
        <v>21</v>
      </c>
      <c r="B980" s="5" t="s">
        <v>30</v>
      </c>
      <c r="C980" s="5" t="s">
        <v>19</v>
      </c>
      <c r="D980" s="5" t="s">
        <v>15</v>
      </c>
      <c r="E980" s="5">
        <v>2014</v>
      </c>
      <c r="F980" s="5"/>
      <c r="H980" s="5"/>
      <c r="I980" s="5"/>
      <c r="J980" s="5"/>
    </row>
    <row r="981" spans="1:10" x14ac:dyDescent="0.25">
      <c r="A981" s="4" t="s">
        <v>10</v>
      </c>
      <c r="B981" s="4" t="s">
        <v>26</v>
      </c>
      <c r="C981" s="4" t="s">
        <v>19</v>
      </c>
      <c r="D981" s="4" t="s">
        <v>15</v>
      </c>
      <c r="E981" s="4">
        <v>2014</v>
      </c>
      <c r="F981" s="4"/>
      <c r="H981" s="4"/>
      <c r="I981" s="4"/>
      <c r="J981" s="4"/>
    </row>
    <row r="982" spans="1:10" x14ac:dyDescent="0.25">
      <c r="A982" s="4" t="s">
        <v>10</v>
      </c>
      <c r="B982" s="4" t="s">
        <v>28</v>
      </c>
      <c r="C982" s="4" t="s">
        <v>19</v>
      </c>
      <c r="D982" s="4" t="s">
        <v>15</v>
      </c>
      <c r="E982" s="4">
        <v>2014</v>
      </c>
      <c r="F982" s="4"/>
      <c r="H982" s="4"/>
      <c r="I982" s="4"/>
      <c r="J982" s="4"/>
    </row>
    <row r="983" spans="1:10" x14ac:dyDescent="0.25">
      <c r="A983" s="4" t="s">
        <v>10</v>
      </c>
      <c r="B983" s="4" t="s">
        <v>29</v>
      </c>
      <c r="C983" s="4" t="s">
        <v>19</v>
      </c>
      <c r="D983" s="4" t="s">
        <v>15</v>
      </c>
      <c r="E983" s="4">
        <v>2014</v>
      </c>
      <c r="F983" s="4"/>
      <c r="H983" s="4"/>
      <c r="I983" s="4"/>
      <c r="J983" s="4"/>
    </row>
    <row r="984" spans="1:10" x14ac:dyDescent="0.25">
      <c r="A984" s="4" t="s">
        <v>10</v>
      </c>
      <c r="B984" s="4" t="s">
        <v>30</v>
      </c>
      <c r="C984" s="4" t="s">
        <v>19</v>
      </c>
      <c r="D984" s="4" t="s">
        <v>15</v>
      </c>
      <c r="E984" s="4">
        <v>2014</v>
      </c>
      <c r="F984" s="4"/>
      <c r="H984" s="4"/>
      <c r="I984" s="4"/>
      <c r="J984" s="4"/>
    </row>
    <row r="985" spans="1:10" x14ac:dyDescent="0.25">
      <c r="A985" s="5" t="s">
        <v>22</v>
      </c>
      <c r="B985" s="5" t="s">
        <v>26</v>
      </c>
      <c r="C985" s="5" t="s">
        <v>19</v>
      </c>
      <c r="D985" s="5" t="s">
        <v>15</v>
      </c>
      <c r="E985" s="5">
        <v>2014</v>
      </c>
      <c r="F985" s="5"/>
      <c r="H985" s="5"/>
      <c r="I985" s="5"/>
      <c r="J985" s="5"/>
    </row>
    <row r="986" spans="1:10" x14ac:dyDescent="0.25">
      <c r="A986" s="5" t="s">
        <v>22</v>
      </c>
      <c r="B986" s="5" t="s">
        <v>28</v>
      </c>
      <c r="C986" s="5" t="s">
        <v>19</v>
      </c>
      <c r="D986" s="5" t="s">
        <v>15</v>
      </c>
      <c r="E986" s="5">
        <v>2014</v>
      </c>
      <c r="F986" s="5"/>
      <c r="H986" s="5"/>
      <c r="I986" s="5"/>
      <c r="J986" s="5"/>
    </row>
    <row r="987" spans="1:10" x14ac:dyDescent="0.25">
      <c r="A987" s="5" t="s">
        <v>22</v>
      </c>
      <c r="B987" s="5" t="s">
        <v>29</v>
      </c>
      <c r="C987" s="5" t="s">
        <v>19</v>
      </c>
      <c r="D987" s="5" t="s">
        <v>15</v>
      </c>
      <c r="E987" s="5">
        <v>2014</v>
      </c>
      <c r="F987" s="5"/>
      <c r="H987" s="5"/>
      <c r="I987" s="5"/>
      <c r="J987" s="5"/>
    </row>
    <row r="988" spans="1:10" x14ac:dyDescent="0.25">
      <c r="A988" s="5" t="s">
        <v>22</v>
      </c>
      <c r="B988" s="5" t="s">
        <v>30</v>
      </c>
      <c r="C988" s="5" t="s">
        <v>19</v>
      </c>
      <c r="D988" s="5" t="s">
        <v>15</v>
      </c>
      <c r="E988" s="5">
        <v>2014</v>
      </c>
      <c r="F988" s="5"/>
      <c r="H988" s="5"/>
      <c r="I988" s="5"/>
      <c r="J988" s="5"/>
    </row>
    <row r="989" spans="1:10" x14ac:dyDescent="0.25">
      <c r="A989" s="5" t="s">
        <v>21</v>
      </c>
      <c r="B989" s="5" t="s">
        <v>24</v>
      </c>
      <c r="C989" s="5" t="s">
        <v>20</v>
      </c>
      <c r="D989" s="5" t="s">
        <v>12</v>
      </c>
      <c r="E989" s="5">
        <v>2014</v>
      </c>
      <c r="F989" s="5"/>
      <c r="H989" s="5"/>
      <c r="I989" s="5"/>
      <c r="J989" s="5"/>
    </row>
    <row r="990" spans="1:10" x14ac:dyDescent="0.25">
      <c r="A990" s="5" t="s">
        <v>21</v>
      </c>
      <c r="B990" s="5" t="s">
        <v>26</v>
      </c>
      <c r="C990" s="5" t="s">
        <v>20</v>
      </c>
      <c r="D990" s="5" t="s">
        <v>12</v>
      </c>
      <c r="E990" s="5">
        <v>2014</v>
      </c>
      <c r="F990" s="5"/>
      <c r="H990" s="5"/>
      <c r="I990" s="5"/>
      <c r="J990" s="5"/>
    </row>
    <row r="991" spans="1:10" x14ac:dyDescent="0.25">
      <c r="A991" s="5" t="s">
        <v>21</v>
      </c>
      <c r="B991" s="5" t="s">
        <v>27</v>
      </c>
      <c r="C991" s="5" t="s">
        <v>20</v>
      </c>
      <c r="D991" s="5" t="s">
        <v>12</v>
      </c>
      <c r="E991" s="5">
        <v>2014</v>
      </c>
      <c r="F991" s="5"/>
      <c r="H991" s="5"/>
      <c r="I991" s="5"/>
      <c r="J991" s="5"/>
    </row>
    <row r="992" spans="1:10" x14ac:dyDescent="0.25">
      <c r="A992" s="5" t="s">
        <v>21</v>
      </c>
      <c r="B992" s="5" t="s">
        <v>28</v>
      </c>
      <c r="C992" s="5" t="s">
        <v>20</v>
      </c>
      <c r="D992" s="5" t="s">
        <v>12</v>
      </c>
      <c r="E992" s="5">
        <v>2014</v>
      </c>
      <c r="F992" s="5"/>
      <c r="H992" s="5"/>
      <c r="I992" s="5"/>
      <c r="J992" s="5"/>
    </row>
    <row r="993" spans="1:10" x14ac:dyDescent="0.25">
      <c r="A993" s="5" t="s">
        <v>21</v>
      </c>
      <c r="B993" s="5" t="s">
        <v>29</v>
      </c>
      <c r="C993" s="5" t="s">
        <v>20</v>
      </c>
      <c r="D993" s="5" t="s">
        <v>12</v>
      </c>
      <c r="E993" s="5">
        <v>2014</v>
      </c>
      <c r="F993" s="5"/>
      <c r="H993" s="5"/>
      <c r="I993" s="5"/>
      <c r="J993" s="5"/>
    </row>
    <row r="994" spans="1:10" x14ac:dyDescent="0.25">
      <c r="A994" s="5" t="s">
        <v>21</v>
      </c>
      <c r="B994" s="5" t="s">
        <v>30</v>
      </c>
      <c r="C994" s="5" t="s">
        <v>20</v>
      </c>
      <c r="D994" s="5" t="s">
        <v>12</v>
      </c>
      <c r="E994" s="5">
        <v>2014</v>
      </c>
      <c r="F994" s="5"/>
      <c r="H994" s="5"/>
      <c r="I994" s="5"/>
      <c r="J994" s="5"/>
    </row>
    <row r="995" spans="1:10" x14ac:dyDescent="0.25">
      <c r="A995" s="4" t="s">
        <v>10</v>
      </c>
      <c r="B995" s="4" t="s">
        <v>24</v>
      </c>
      <c r="C995" s="4" t="s">
        <v>20</v>
      </c>
      <c r="D995" s="4" t="s">
        <v>12</v>
      </c>
      <c r="E995" s="4">
        <v>2014</v>
      </c>
      <c r="F995" s="4"/>
      <c r="H995" s="4"/>
      <c r="I995" s="4"/>
      <c r="J995" s="4"/>
    </row>
    <row r="996" spans="1:10" x14ac:dyDescent="0.25">
      <c r="A996" s="4" t="s">
        <v>10</v>
      </c>
      <c r="B996" s="4" t="s">
        <v>26</v>
      </c>
      <c r="C996" s="4" t="s">
        <v>20</v>
      </c>
      <c r="D996" s="4" t="s">
        <v>12</v>
      </c>
      <c r="E996" s="4">
        <v>2014</v>
      </c>
      <c r="F996" s="4"/>
      <c r="H996" s="4"/>
      <c r="I996" s="4"/>
      <c r="J996" s="4"/>
    </row>
    <row r="997" spans="1:10" x14ac:dyDescent="0.25">
      <c r="A997" s="4" t="s">
        <v>10</v>
      </c>
      <c r="B997" s="4" t="s">
        <v>27</v>
      </c>
      <c r="C997" s="4" t="s">
        <v>20</v>
      </c>
      <c r="D997" s="4" t="s">
        <v>12</v>
      </c>
      <c r="E997" s="4">
        <v>2014</v>
      </c>
      <c r="F997" s="4"/>
      <c r="H997" s="4"/>
      <c r="I997" s="4"/>
      <c r="J997" s="4"/>
    </row>
    <row r="998" spans="1:10" x14ac:dyDescent="0.25">
      <c r="A998" s="4" t="s">
        <v>10</v>
      </c>
      <c r="B998" s="4" t="s">
        <v>28</v>
      </c>
      <c r="C998" s="4" t="s">
        <v>20</v>
      </c>
      <c r="D998" s="4" t="s">
        <v>12</v>
      </c>
      <c r="E998" s="4">
        <v>2014</v>
      </c>
      <c r="F998" s="4"/>
      <c r="H998" s="4"/>
      <c r="I998" s="4"/>
      <c r="J998" s="4"/>
    </row>
    <row r="999" spans="1:10" x14ac:dyDescent="0.25">
      <c r="A999" s="4" t="s">
        <v>10</v>
      </c>
      <c r="B999" s="4" t="s">
        <v>29</v>
      </c>
      <c r="C999" s="4" t="s">
        <v>20</v>
      </c>
      <c r="D999" s="4" t="s">
        <v>12</v>
      </c>
      <c r="E999" s="4">
        <v>2014</v>
      </c>
      <c r="F999" s="4"/>
      <c r="H999" s="4"/>
      <c r="I999" s="4"/>
      <c r="J999" s="4"/>
    </row>
    <row r="1000" spans="1:10" x14ac:dyDescent="0.25">
      <c r="A1000" s="4" t="s">
        <v>10</v>
      </c>
      <c r="B1000" s="4" t="s">
        <v>30</v>
      </c>
      <c r="C1000" s="4" t="s">
        <v>20</v>
      </c>
      <c r="D1000" s="4" t="s">
        <v>12</v>
      </c>
      <c r="E1000" s="4">
        <v>2014</v>
      </c>
      <c r="F1000" s="4"/>
      <c r="H1000" s="4"/>
      <c r="I1000" s="4"/>
      <c r="J1000" s="4"/>
    </row>
    <row r="1001" spans="1:10" x14ac:dyDescent="0.25">
      <c r="A1001" s="5" t="s">
        <v>22</v>
      </c>
      <c r="B1001" s="5" t="s">
        <v>24</v>
      </c>
      <c r="C1001" s="5" t="s">
        <v>20</v>
      </c>
      <c r="D1001" s="5" t="s">
        <v>12</v>
      </c>
      <c r="E1001" s="5">
        <v>2014</v>
      </c>
      <c r="F1001" s="5"/>
      <c r="H1001" s="5"/>
      <c r="I1001" s="5"/>
      <c r="J1001" s="5"/>
    </row>
    <row r="1002" spans="1:10" x14ac:dyDescent="0.25">
      <c r="A1002" s="5" t="s">
        <v>22</v>
      </c>
      <c r="B1002" s="5" t="s">
        <v>26</v>
      </c>
      <c r="C1002" s="5" t="s">
        <v>20</v>
      </c>
      <c r="D1002" s="5" t="s">
        <v>12</v>
      </c>
      <c r="E1002" s="5">
        <v>2014</v>
      </c>
      <c r="F1002" s="5"/>
      <c r="H1002" s="5"/>
      <c r="I1002" s="5"/>
      <c r="J1002" s="5"/>
    </row>
    <row r="1003" spans="1:10" x14ac:dyDescent="0.25">
      <c r="A1003" s="5" t="s">
        <v>22</v>
      </c>
      <c r="B1003" s="5" t="s">
        <v>27</v>
      </c>
      <c r="C1003" s="5" t="s">
        <v>20</v>
      </c>
      <c r="D1003" s="5" t="s">
        <v>12</v>
      </c>
      <c r="E1003" s="5">
        <v>2014</v>
      </c>
      <c r="F1003" s="5"/>
      <c r="H1003" s="5"/>
      <c r="I1003" s="5"/>
      <c r="J1003" s="5"/>
    </row>
    <row r="1004" spans="1:10" x14ac:dyDescent="0.25">
      <c r="A1004" s="5" t="s">
        <v>22</v>
      </c>
      <c r="B1004" s="5" t="s">
        <v>28</v>
      </c>
      <c r="C1004" s="5" t="s">
        <v>20</v>
      </c>
      <c r="D1004" s="5" t="s">
        <v>12</v>
      </c>
      <c r="E1004" s="5">
        <v>2014</v>
      </c>
      <c r="F1004" s="5"/>
      <c r="H1004" s="5"/>
      <c r="I1004" s="5"/>
      <c r="J1004" s="5"/>
    </row>
    <row r="1005" spans="1:10" x14ac:dyDescent="0.25">
      <c r="A1005" s="5" t="s">
        <v>22</v>
      </c>
      <c r="B1005" s="5" t="s">
        <v>29</v>
      </c>
      <c r="C1005" s="5" t="s">
        <v>20</v>
      </c>
      <c r="D1005" s="5" t="s">
        <v>12</v>
      </c>
      <c r="E1005" s="5">
        <v>2014</v>
      </c>
      <c r="F1005" s="5"/>
      <c r="H1005" s="5"/>
      <c r="I1005" s="5"/>
      <c r="J1005" s="5"/>
    </row>
    <row r="1006" spans="1:10" x14ac:dyDescent="0.25">
      <c r="A1006" s="5" t="s">
        <v>22</v>
      </c>
      <c r="B1006" s="5" t="s">
        <v>30</v>
      </c>
      <c r="C1006" s="5" t="s">
        <v>20</v>
      </c>
      <c r="D1006" s="5" t="s">
        <v>12</v>
      </c>
      <c r="E1006" s="5">
        <v>2014</v>
      </c>
      <c r="F1006" s="5"/>
      <c r="H1006" s="5"/>
      <c r="I1006" s="5"/>
      <c r="J1006" s="5"/>
    </row>
    <row r="1007" spans="1:10" x14ac:dyDescent="0.25">
      <c r="A1007" s="5" t="s">
        <v>21</v>
      </c>
      <c r="B1007" s="5" t="s">
        <v>26</v>
      </c>
      <c r="C1007" s="5" t="s">
        <v>20</v>
      </c>
      <c r="D1007" s="5" t="s">
        <v>15</v>
      </c>
      <c r="E1007" s="5">
        <v>2014</v>
      </c>
      <c r="F1007" s="5"/>
      <c r="H1007" s="5"/>
      <c r="I1007" s="5"/>
      <c r="J1007" s="5"/>
    </row>
    <row r="1008" spans="1:10" x14ac:dyDescent="0.25">
      <c r="A1008" s="5" t="s">
        <v>21</v>
      </c>
      <c r="B1008" s="5" t="s">
        <v>28</v>
      </c>
      <c r="C1008" s="5" t="s">
        <v>20</v>
      </c>
      <c r="D1008" s="5" t="s">
        <v>15</v>
      </c>
      <c r="E1008" s="5">
        <v>2014</v>
      </c>
      <c r="F1008" s="5"/>
      <c r="H1008" s="5"/>
      <c r="I1008" s="5"/>
      <c r="J1008" s="5"/>
    </row>
    <row r="1009" spans="1:10" x14ac:dyDescent="0.25">
      <c r="A1009" s="5" t="s">
        <v>21</v>
      </c>
      <c r="B1009" s="5" t="s">
        <v>29</v>
      </c>
      <c r="C1009" s="5" t="s">
        <v>20</v>
      </c>
      <c r="D1009" s="5" t="s">
        <v>15</v>
      </c>
      <c r="E1009" s="5">
        <v>2014</v>
      </c>
      <c r="F1009" s="5"/>
      <c r="H1009" s="5"/>
      <c r="I1009" s="5"/>
      <c r="J1009" s="5"/>
    </row>
    <row r="1010" spans="1:10" x14ac:dyDescent="0.25">
      <c r="A1010" s="5" t="s">
        <v>21</v>
      </c>
      <c r="B1010" s="5" t="s">
        <v>30</v>
      </c>
      <c r="C1010" s="5" t="s">
        <v>20</v>
      </c>
      <c r="D1010" s="5" t="s">
        <v>15</v>
      </c>
      <c r="E1010" s="5">
        <v>2014</v>
      </c>
      <c r="F1010" s="5"/>
      <c r="H1010" s="5"/>
      <c r="I1010" s="5"/>
      <c r="J1010" s="5"/>
    </row>
    <row r="1011" spans="1:10" x14ac:dyDescent="0.25">
      <c r="A1011" s="4" t="s">
        <v>10</v>
      </c>
      <c r="B1011" s="4" t="s">
        <v>26</v>
      </c>
      <c r="C1011" s="4" t="s">
        <v>20</v>
      </c>
      <c r="D1011" s="4" t="s">
        <v>15</v>
      </c>
      <c r="E1011" s="4">
        <v>2014</v>
      </c>
      <c r="F1011" s="4"/>
      <c r="H1011" s="4"/>
      <c r="I1011" s="4"/>
      <c r="J1011" s="4"/>
    </row>
    <row r="1012" spans="1:10" x14ac:dyDescent="0.25">
      <c r="A1012" s="4" t="s">
        <v>10</v>
      </c>
      <c r="B1012" s="4" t="s">
        <v>28</v>
      </c>
      <c r="C1012" s="4" t="s">
        <v>20</v>
      </c>
      <c r="D1012" s="4" t="s">
        <v>15</v>
      </c>
      <c r="E1012" s="4">
        <v>2014</v>
      </c>
      <c r="F1012" s="4"/>
      <c r="H1012" s="4"/>
      <c r="I1012" s="4"/>
      <c r="J1012" s="4"/>
    </row>
    <row r="1013" spans="1:10" x14ac:dyDescent="0.25">
      <c r="A1013" s="4" t="s">
        <v>10</v>
      </c>
      <c r="B1013" s="4" t="s">
        <v>29</v>
      </c>
      <c r="C1013" s="4" t="s">
        <v>20</v>
      </c>
      <c r="D1013" s="4" t="s">
        <v>15</v>
      </c>
      <c r="E1013" s="4">
        <v>2014</v>
      </c>
      <c r="F1013" s="4"/>
      <c r="H1013" s="4"/>
      <c r="I1013" s="4"/>
      <c r="J1013" s="4"/>
    </row>
    <row r="1014" spans="1:10" x14ac:dyDescent="0.25">
      <c r="A1014" s="4" t="s">
        <v>10</v>
      </c>
      <c r="B1014" s="4" t="s">
        <v>30</v>
      </c>
      <c r="C1014" s="4" t="s">
        <v>20</v>
      </c>
      <c r="D1014" s="4" t="s">
        <v>15</v>
      </c>
      <c r="E1014" s="4">
        <v>2014</v>
      </c>
      <c r="F1014" s="4"/>
      <c r="H1014" s="4"/>
      <c r="I1014" s="4"/>
      <c r="J1014" s="4"/>
    </row>
    <row r="1015" spans="1:10" x14ac:dyDescent="0.25">
      <c r="A1015" s="5" t="s">
        <v>22</v>
      </c>
      <c r="B1015" s="5" t="s">
        <v>26</v>
      </c>
      <c r="C1015" s="5" t="s">
        <v>20</v>
      </c>
      <c r="D1015" s="5" t="s">
        <v>15</v>
      </c>
      <c r="E1015" s="5">
        <v>2014</v>
      </c>
      <c r="F1015" s="5"/>
      <c r="H1015" s="5"/>
      <c r="I1015" s="5"/>
      <c r="J1015" s="5"/>
    </row>
    <row r="1016" spans="1:10" x14ac:dyDescent="0.25">
      <c r="A1016" s="5" t="s">
        <v>22</v>
      </c>
      <c r="B1016" s="5" t="s">
        <v>28</v>
      </c>
      <c r="C1016" s="5" t="s">
        <v>20</v>
      </c>
      <c r="D1016" s="5" t="s">
        <v>15</v>
      </c>
      <c r="E1016" s="5">
        <v>2014</v>
      </c>
      <c r="F1016" s="5"/>
      <c r="H1016" s="5"/>
      <c r="I1016" s="5"/>
      <c r="J1016" s="5"/>
    </row>
    <row r="1017" spans="1:10" x14ac:dyDescent="0.25">
      <c r="A1017" s="5" t="s">
        <v>22</v>
      </c>
      <c r="B1017" s="5" t="s">
        <v>29</v>
      </c>
      <c r="C1017" s="5" t="s">
        <v>20</v>
      </c>
      <c r="D1017" s="5" t="s">
        <v>15</v>
      </c>
      <c r="E1017" s="5">
        <v>2014</v>
      </c>
      <c r="F1017" s="5"/>
      <c r="H1017" s="5"/>
      <c r="I1017" s="5"/>
      <c r="J1017" s="5"/>
    </row>
    <row r="1018" spans="1:10" x14ac:dyDescent="0.25">
      <c r="A1018" s="5" t="s">
        <v>22</v>
      </c>
      <c r="B1018" s="5" t="s">
        <v>30</v>
      </c>
      <c r="C1018" s="5" t="s">
        <v>20</v>
      </c>
      <c r="D1018" s="5" t="s">
        <v>15</v>
      </c>
      <c r="E1018" s="5">
        <v>2014</v>
      </c>
      <c r="F1018" s="5"/>
      <c r="H1018" s="5"/>
      <c r="I1018" s="5"/>
      <c r="J1018" s="5"/>
    </row>
    <row r="1019" spans="1:10" x14ac:dyDescent="0.25">
      <c r="A1019" s="5" t="s">
        <v>21</v>
      </c>
      <c r="B1019" s="5" t="s">
        <v>24</v>
      </c>
      <c r="C1019" s="5" t="s">
        <v>31</v>
      </c>
      <c r="D1019" s="5" t="s">
        <v>12</v>
      </c>
      <c r="E1019" s="5">
        <v>2014</v>
      </c>
      <c r="F1019" s="5"/>
      <c r="H1019" s="5"/>
      <c r="I1019" s="5"/>
      <c r="J1019" s="5"/>
    </row>
    <row r="1020" spans="1:10" x14ac:dyDescent="0.25">
      <c r="A1020" s="5" t="s">
        <v>21</v>
      </c>
      <c r="B1020" s="5" t="s">
        <v>26</v>
      </c>
      <c r="C1020" s="5" t="s">
        <v>31</v>
      </c>
      <c r="D1020" s="5" t="s">
        <v>12</v>
      </c>
      <c r="E1020" s="5">
        <v>2014</v>
      </c>
      <c r="F1020" s="5"/>
      <c r="H1020" s="5"/>
      <c r="I1020" s="5"/>
      <c r="J1020" s="5"/>
    </row>
    <row r="1021" spans="1:10" x14ac:dyDescent="0.25">
      <c r="A1021" s="5" t="s">
        <v>21</v>
      </c>
      <c r="B1021" s="5" t="s">
        <v>27</v>
      </c>
      <c r="C1021" s="5" t="s">
        <v>31</v>
      </c>
      <c r="D1021" s="5" t="s">
        <v>12</v>
      </c>
      <c r="E1021" s="5">
        <v>2014</v>
      </c>
      <c r="F1021" s="5"/>
      <c r="H1021" s="5"/>
      <c r="I1021" s="5"/>
      <c r="J1021" s="5"/>
    </row>
    <row r="1022" spans="1:10" x14ac:dyDescent="0.25">
      <c r="A1022" s="5" t="s">
        <v>21</v>
      </c>
      <c r="B1022" s="5" t="s">
        <v>28</v>
      </c>
      <c r="C1022" s="5" t="s">
        <v>31</v>
      </c>
      <c r="D1022" s="5" t="s">
        <v>12</v>
      </c>
      <c r="E1022" s="5">
        <v>2014</v>
      </c>
      <c r="F1022" s="5"/>
      <c r="H1022" s="5"/>
      <c r="I1022" s="5"/>
      <c r="J1022" s="5"/>
    </row>
    <row r="1023" spans="1:10" x14ac:dyDescent="0.25">
      <c r="A1023" s="5" t="s">
        <v>21</v>
      </c>
      <c r="B1023" s="5" t="s">
        <v>29</v>
      </c>
      <c r="C1023" s="5" t="s">
        <v>31</v>
      </c>
      <c r="D1023" s="5" t="s">
        <v>12</v>
      </c>
      <c r="E1023" s="5">
        <v>2014</v>
      </c>
      <c r="F1023" s="5"/>
      <c r="H1023" s="5"/>
      <c r="I1023" s="5"/>
      <c r="J1023" s="5"/>
    </row>
    <row r="1024" spans="1:10" x14ac:dyDescent="0.25">
      <c r="A1024" s="5" t="s">
        <v>21</v>
      </c>
      <c r="B1024" s="5" t="s">
        <v>30</v>
      </c>
      <c r="C1024" s="5" t="s">
        <v>31</v>
      </c>
      <c r="D1024" s="5" t="s">
        <v>12</v>
      </c>
      <c r="E1024" s="5">
        <v>2014</v>
      </c>
      <c r="F1024" s="5"/>
      <c r="H1024" s="5"/>
      <c r="I1024" s="5"/>
      <c r="J1024" s="5"/>
    </row>
    <row r="1025" spans="1:10" x14ac:dyDescent="0.25">
      <c r="A1025" s="4" t="s">
        <v>10</v>
      </c>
      <c r="B1025" s="4" t="s">
        <v>24</v>
      </c>
      <c r="C1025" s="4" t="s">
        <v>31</v>
      </c>
      <c r="D1025" s="4" t="s">
        <v>12</v>
      </c>
      <c r="E1025" s="4">
        <v>2014</v>
      </c>
      <c r="F1025" s="4"/>
      <c r="H1025" s="4"/>
      <c r="I1025" s="4"/>
      <c r="J1025" s="4"/>
    </row>
    <row r="1026" spans="1:10" x14ac:dyDescent="0.25">
      <c r="A1026" s="4" t="s">
        <v>10</v>
      </c>
      <c r="B1026" s="4" t="s">
        <v>26</v>
      </c>
      <c r="C1026" s="4" t="s">
        <v>31</v>
      </c>
      <c r="D1026" s="4" t="s">
        <v>12</v>
      </c>
      <c r="E1026" s="4">
        <v>2014</v>
      </c>
      <c r="F1026" s="4"/>
      <c r="H1026" s="4"/>
      <c r="I1026" s="4"/>
      <c r="J1026" s="4"/>
    </row>
    <row r="1027" spans="1:10" x14ac:dyDescent="0.25">
      <c r="A1027" s="4" t="s">
        <v>10</v>
      </c>
      <c r="B1027" s="4" t="s">
        <v>27</v>
      </c>
      <c r="C1027" s="4" t="s">
        <v>31</v>
      </c>
      <c r="D1027" s="4" t="s">
        <v>12</v>
      </c>
      <c r="E1027" s="4">
        <v>2014</v>
      </c>
      <c r="F1027" s="4"/>
      <c r="H1027" s="4"/>
      <c r="I1027" s="4"/>
      <c r="J1027" s="4"/>
    </row>
    <row r="1028" spans="1:10" x14ac:dyDescent="0.25">
      <c r="A1028" s="4" t="s">
        <v>10</v>
      </c>
      <c r="B1028" s="4" t="s">
        <v>28</v>
      </c>
      <c r="C1028" s="4" t="s">
        <v>31</v>
      </c>
      <c r="D1028" s="4" t="s">
        <v>12</v>
      </c>
      <c r="E1028" s="4">
        <v>2014</v>
      </c>
      <c r="F1028" s="4"/>
      <c r="H1028" s="4"/>
      <c r="I1028" s="4"/>
      <c r="J1028" s="4"/>
    </row>
    <row r="1029" spans="1:10" x14ac:dyDescent="0.25">
      <c r="A1029" s="4" t="s">
        <v>10</v>
      </c>
      <c r="B1029" s="4" t="s">
        <v>29</v>
      </c>
      <c r="C1029" s="4" t="s">
        <v>31</v>
      </c>
      <c r="D1029" s="4" t="s">
        <v>12</v>
      </c>
      <c r="E1029" s="4">
        <v>2014</v>
      </c>
      <c r="F1029" s="4"/>
      <c r="H1029" s="4"/>
      <c r="I1029" s="4"/>
      <c r="J1029" s="4"/>
    </row>
    <row r="1030" spans="1:10" x14ac:dyDescent="0.25">
      <c r="A1030" s="4" t="s">
        <v>10</v>
      </c>
      <c r="B1030" s="4" t="s">
        <v>30</v>
      </c>
      <c r="C1030" s="4" t="s">
        <v>31</v>
      </c>
      <c r="D1030" s="4" t="s">
        <v>12</v>
      </c>
      <c r="E1030" s="4">
        <v>2014</v>
      </c>
      <c r="F1030" s="4"/>
      <c r="H1030" s="4"/>
      <c r="I1030" s="4"/>
      <c r="J1030" s="4"/>
    </row>
    <row r="1031" spans="1:10" x14ac:dyDescent="0.25">
      <c r="A1031" s="5" t="s">
        <v>22</v>
      </c>
      <c r="B1031" s="5" t="s">
        <v>24</v>
      </c>
      <c r="C1031" s="5" t="s">
        <v>31</v>
      </c>
      <c r="D1031" s="5" t="s">
        <v>12</v>
      </c>
      <c r="E1031" s="5">
        <v>2014</v>
      </c>
      <c r="F1031" s="5"/>
      <c r="H1031" s="5"/>
      <c r="I1031" s="5"/>
      <c r="J1031" s="5"/>
    </row>
    <row r="1032" spans="1:10" x14ac:dyDescent="0.25">
      <c r="A1032" s="5" t="s">
        <v>22</v>
      </c>
      <c r="B1032" s="5" t="s">
        <v>26</v>
      </c>
      <c r="C1032" s="5" t="s">
        <v>31</v>
      </c>
      <c r="D1032" s="5" t="s">
        <v>12</v>
      </c>
      <c r="E1032" s="5">
        <v>2014</v>
      </c>
      <c r="F1032" s="5"/>
      <c r="H1032" s="5"/>
      <c r="I1032" s="5"/>
      <c r="J1032" s="5"/>
    </row>
    <row r="1033" spans="1:10" x14ac:dyDescent="0.25">
      <c r="A1033" s="5" t="s">
        <v>22</v>
      </c>
      <c r="B1033" s="5" t="s">
        <v>27</v>
      </c>
      <c r="C1033" s="5" t="s">
        <v>31</v>
      </c>
      <c r="D1033" s="5" t="s">
        <v>12</v>
      </c>
      <c r="E1033" s="5">
        <v>2014</v>
      </c>
      <c r="F1033" s="5"/>
      <c r="H1033" s="5"/>
      <c r="I1033" s="5"/>
      <c r="J1033" s="5"/>
    </row>
    <row r="1034" spans="1:10" x14ac:dyDescent="0.25">
      <c r="A1034" s="5" t="s">
        <v>22</v>
      </c>
      <c r="B1034" s="5" t="s">
        <v>28</v>
      </c>
      <c r="C1034" s="5" t="s">
        <v>31</v>
      </c>
      <c r="D1034" s="5" t="s">
        <v>12</v>
      </c>
      <c r="E1034" s="5">
        <v>2014</v>
      </c>
      <c r="F1034" s="5"/>
      <c r="H1034" s="5"/>
      <c r="I1034" s="5"/>
      <c r="J1034" s="5"/>
    </row>
    <row r="1035" spans="1:10" x14ac:dyDescent="0.25">
      <c r="A1035" s="5" t="s">
        <v>22</v>
      </c>
      <c r="B1035" s="5" t="s">
        <v>29</v>
      </c>
      <c r="C1035" s="5" t="s">
        <v>31</v>
      </c>
      <c r="D1035" s="5" t="s">
        <v>12</v>
      </c>
      <c r="E1035" s="5">
        <v>2014</v>
      </c>
      <c r="F1035" s="5"/>
      <c r="H1035" s="5"/>
      <c r="I1035" s="5"/>
      <c r="J1035" s="5"/>
    </row>
    <row r="1036" spans="1:10" x14ac:dyDescent="0.25">
      <c r="A1036" s="5" t="s">
        <v>22</v>
      </c>
      <c r="B1036" s="5" t="s">
        <v>30</v>
      </c>
      <c r="C1036" s="5" t="s">
        <v>31</v>
      </c>
      <c r="D1036" s="5" t="s">
        <v>12</v>
      </c>
      <c r="E1036" s="5">
        <v>2014</v>
      </c>
      <c r="F1036" s="5"/>
      <c r="H1036" s="5"/>
      <c r="I1036" s="5"/>
      <c r="J1036" s="5"/>
    </row>
    <row r="1037" spans="1:10" x14ac:dyDescent="0.25">
      <c r="A1037" s="5" t="s">
        <v>21</v>
      </c>
      <c r="B1037" s="5" t="s">
        <v>26</v>
      </c>
      <c r="C1037" s="5" t="s">
        <v>31</v>
      </c>
      <c r="D1037" s="5" t="s">
        <v>15</v>
      </c>
      <c r="E1037" s="5">
        <v>2014</v>
      </c>
      <c r="F1037" s="5"/>
      <c r="H1037" s="5"/>
      <c r="I1037" s="5"/>
      <c r="J1037" s="5"/>
    </row>
    <row r="1038" spans="1:10" x14ac:dyDescent="0.25">
      <c r="A1038" s="5" t="s">
        <v>21</v>
      </c>
      <c r="B1038" s="5" t="s">
        <v>28</v>
      </c>
      <c r="C1038" s="5" t="s">
        <v>31</v>
      </c>
      <c r="D1038" s="5" t="s">
        <v>15</v>
      </c>
      <c r="E1038" s="5">
        <v>2014</v>
      </c>
      <c r="F1038" s="5"/>
      <c r="H1038" s="5"/>
      <c r="I1038" s="5"/>
      <c r="J1038" s="5"/>
    </row>
    <row r="1039" spans="1:10" x14ac:dyDescent="0.25">
      <c r="A1039" s="5" t="s">
        <v>21</v>
      </c>
      <c r="B1039" s="5" t="s">
        <v>29</v>
      </c>
      <c r="C1039" s="5" t="s">
        <v>31</v>
      </c>
      <c r="D1039" s="5" t="s">
        <v>15</v>
      </c>
      <c r="E1039" s="5">
        <v>2014</v>
      </c>
      <c r="F1039" s="5"/>
      <c r="H1039" s="5"/>
      <c r="I1039" s="5"/>
      <c r="J1039" s="5"/>
    </row>
    <row r="1040" spans="1:10" x14ac:dyDescent="0.25">
      <c r="A1040" s="5" t="s">
        <v>21</v>
      </c>
      <c r="B1040" s="5" t="s">
        <v>30</v>
      </c>
      <c r="C1040" s="5" t="s">
        <v>31</v>
      </c>
      <c r="D1040" s="5" t="s">
        <v>15</v>
      </c>
      <c r="E1040" s="5">
        <v>2014</v>
      </c>
      <c r="F1040" s="5"/>
      <c r="H1040" s="5"/>
      <c r="I1040" s="5"/>
      <c r="J1040" s="5"/>
    </row>
    <row r="1041" spans="1:10" x14ac:dyDescent="0.25">
      <c r="A1041" s="4" t="s">
        <v>10</v>
      </c>
      <c r="B1041" s="4" t="s">
        <v>26</v>
      </c>
      <c r="C1041" s="4" t="s">
        <v>31</v>
      </c>
      <c r="D1041" s="4" t="s">
        <v>15</v>
      </c>
      <c r="E1041" s="4">
        <v>2014</v>
      </c>
      <c r="F1041" s="4"/>
      <c r="H1041" s="4"/>
      <c r="I1041" s="4"/>
      <c r="J1041" s="4"/>
    </row>
    <row r="1042" spans="1:10" x14ac:dyDescent="0.25">
      <c r="A1042" s="4" t="s">
        <v>10</v>
      </c>
      <c r="B1042" s="4" t="s">
        <v>28</v>
      </c>
      <c r="C1042" s="4" t="s">
        <v>31</v>
      </c>
      <c r="D1042" s="4" t="s">
        <v>15</v>
      </c>
      <c r="E1042" s="4">
        <v>2014</v>
      </c>
      <c r="F1042" s="4"/>
      <c r="H1042" s="4"/>
      <c r="I1042" s="4"/>
      <c r="J1042" s="4"/>
    </row>
    <row r="1043" spans="1:10" x14ac:dyDescent="0.25">
      <c r="A1043" s="4" t="s">
        <v>10</v>
      </c>
      <c r="B1043" s="4" t="s">
        <v>29</v>
      </c>
      <c r="C1043" s="4" t="s">
        <v>31</v>
      </c>
      <c r="D1043" s="4" t="s">
        <v>15</v>
      </c>
      <c r="E1043" s="4">
        <v>2014</v>
      </c>
      <c r="F1043" s="4"/>
      <c r="H1043" s="4"/>
      <c r="I1043" s="4"/>
      <c r="J1043" s="4"/>
    </row>
    <row r="1044" spans="1:10" x14ac:dyDescent="0.25">
      <c r="A1044" s="4" t="s">
        <v>10</v>
      </c>
      <c r="B1044" s="4" t="s">
        <v>30</v>
      </c>
      <c r="C1044" s="4" t="s">
        <v>31</v>
      </c>
      <c r="D1044" s="4" t="s">
        <v>15</v>
      </c>
      <c r="E1044" s="4">
        <v>2014</v>
      </c>
      <c r="F1044" s="4"/>
      <c r="H1044" s="4"/>
      <c r="I1044" s="4"/>
      <c r="J1044" s="4"/>
    </row>
    <row r="1045" spans="1:10" x14ac:dyDescent="0.25">
      <c r="A1045" s="5" t="s">
        <v>22</v>
      </c>
      <c r="B1045" s="5" t="s">
        <v>26</v>
      </c>
      <c r="C1045" s="5" t="s">
        <v>31</v>
      </c>
      <c r="D1045" s="5" t="s">
        <v>15</v>
      </c>
      <c r="E1045" s="5">
        <v>2014</v>
      </c>
      <c r="F1045" s="5"/>
      <c r="H1045" s="5"/>
      <c r="I1045" s="5"/>
      <c r="J1045" s="5"/>
    </row>
    <row r="1046" spans="1:10" x14ac:dyDescent="0.25">
      <c r="A1046" s="5" t="s">
        <v>22</v>
      </c>
      <c r="B1046" s="5" t="s">
        <v>28</v>
      </c>
      <c r="C1046" s="5" t="s">
        <v>31</v>
      </c>
      <c r="D1046" s="5" t="s">
        <v>15</v>
      </c>
      <c r="E1046" s="5">
        <v>2014</v>
      </c>
      <c r="F1046" s="5"/>
      <c r="H1046" s="5"/>
      <c r="I1046" s="5"/>
      <c r="J1046" s="5"/>
    </row>
    <row r="1047" spans="1:10" x14ac:dyDescent="0.25">
      <c r="A1047" s="5" t="s">
        <v>22</v>
      </c>
      <c r="B1047" s="5" t="s">
        <v>29</v>
      </c>
      <c r="C1047" s="5" t="s">
        <v>31</v>
      </c>
      <c r="D1047" s="5" t="s">
        <v>15</v>
      </c>
      <c r="E1047" s="5">
        <v>2014</v>
      </c>
      <c r="F1047" s="5"/>
      <c r="H1047" s="5"/>
      <c r="I1047" s="5"/>
      <c r="J1047" s="5"/>
    </row>
    <row r="1048" spans="1:10" x14ac:dyDescent="0.25">
      <c r="A1048" s="5" t="s">
        <v>22</v>
      </c>
      <c r="B1048" s="5" t="s">
        <v>30</v>
      </c>
      <c r="C1048" s="5" t="s">
        <v>31</v>
      </c>
      <c r="D1048" s="5" t="s">
        <v>15</v>
      </c>
      <c r="E1048" s="5">
        <v>2014</v>
      </c>
      <c r="F1048" s="5"/>
      <c r="H1048" s="5"/>
      <c r="I1048" s="5"/>
      <c r="J1048" s="5"/>
    </row>
    <row r="1049" spans="1:10" x14ac:dyDescent="0.25">
      <c r="A1049" s="4" t="s">
        <v>21</v>
      </c>
      <c r="B1049" s="4" t="s">
        <v>24</v>
      </c>
      <c r="C1049" s="4" t="s">
        <v>19</v>
      </c>
      <c r="D1049" s="4" t="s">
        <v>12</v>
      </c>
      <c r="E1049" s="4">
        <v>2015</v>
      </c>
      <c r="F1049" s="4"/>
      <c r="H1049" s="4"/>
      <c r="I1049" s="4"/>
      <c r="J1049" s="4"/>
    </row>
    <row r="1050" spans="1:10" x14ac:dyDescent="0.25">
      <c r="A1050" s="4" t="s">
        <v>21</v>
      </c>
      <c r="B1050" s="4" t="s">
        <v>26</v>
      </c>
      <c r="C1050" s="4" t="s">
        <v>19</v>
      </c>
      <c r="D1050" s="4" t="s">
        <v>12</v>
      </c>
      <c r="E1050" s="4">
        <v>2015</v>
      </c>
      <c r="F1050" s="4"/>
      <c r="H1050" s="4"/>
      <c r="I1050" s="4"/>
      <c r="J1050" s="4"/>
    </row>
    <row r="1051" spans="1:10" x14ac:dyDescent="0.25">
      <c r="A1051" s="4" t="s">
        <v>21</v>
      </c>
      <c r="B1051" s="4" t="s">
        <v>27</v>
      </c>
      <c r="C1051" s="4" t="s">
        <v>19</v>
      </c>
      <c r="D1051" s="4" t="s">
        <v>12</v>
      </c>
      <c r="E1051" s="4">
        <v>2015</v>
      </c>
      <c r="F1051" s="4"/>
      <c r="H1051" s="4"/>
      <c r="I1051" s="4"/>
      <c r="J1051" s="4"/>
    </row>
    <row r="1052" spans="1:10" x14ac:dyDescent="0.25">
      <c r="A1052" s="4" t="s">
        <v>21</v>
      </c>
      <c r="B1052" s="4" t="s">
        <v>28</v>
      </c>
      <c r="C1052" s="4" t="s">
        <v>19</v>
      </c>
      <c r="D1052" s="4" t="s">
        <v>12</v>
      </c>
      <c r="E1052" s="4">
        <v>2015</v>
      </c>
      <c r="F1052" s="4"/>
      <c r="H1052" s="4"/>
      <c r="I1052" s="4"/>
      <c r="J1052" s="4"/>
    </row>
    <row r="1053" spans="1:10" x14ac:dyDescent="0.25">
      <c r="A1053" s="4" t="s">
        <v>21</v>
      </c>
      <c r="B1053" s="4" t="s">
        <v>29</v>
      </c>
      <c r="C1053" s="4" t="s">
        <v>19</v>
      </c>
      <c r="D1053" s="4" t="s">
        <v>12</v>
      </c>
      <c r="E1053" s="4">
        <v>2015</v>
      </c>
      <c r="F1053" s="4"/>
      <c r="H1053" s="4"/>
      <c r="I1053" s="4"/>
      <c r="J1053" s="4"/>
    </row>
    <row r="1054" spans="1:10" x14ac:dyDescent="0.25">
      <c r="A1054" s="4" t="s">
        <v>21</v>
      </c>
      <c r="B1054" s="4" t="s">
        <v>30</v>
      </c>
      <c r="C1054" s="4" t="s">
        <v>19</v>
      </c>
      <c r="D1054" s="4" t="s">
        <v>12</v>
      </c>
      <c r="E1054" s="4">
        <v>2015</v>
      </c>
      <c r="F1054" s="4"/>
      <c r="H1054" s="4"/>
      <c r="I1054" s="4"/>
      <c r="J1054" s="4"/>
    </row>
    <row r="1055" spans="1:10" x14ac:dyDescent="0.25">
      <c r="A1055" s="5" t="s">
        <v>10</v>
      </c>
      <c r="B1055" s="5" t="s">
        <v>24</v>
      </c>
      <c r="C1055" s="5" t="s">
        <v>19</v>
      </c>
      <c r="D1055" s="5" t="s">
        <v>12</v>
      </c>
      <c r="E1055" s="5">
        <v>2015</v>
      </c>
      <c r="F1055" s="5"/>
      <c r="H1055" s="5"/>
      <c r="I1055" s="5"/>
      <c r="J1055" s="5"/>
    </row>
    <row r="1056" spans="1:10" x14ac:dyDescent="0.25">
      <c r="A1056" s="5" t="s">
        <v>10</v>
      </c>
      <c r="B1056" s="5" t="s">
        <v>26</v>
      </c>
      <c r="C1056" s="5" t="s">
        <v>19</v>
      </c>
      <c r="D1056" s="5" t="s">
        <v>12</v>
      </c>
      <c r="E1056" s="5">
        <v>2015</v>
      </c>
      <c r="F1056" s="5"/>
      <c r="H1056" s="5"/>
      <c r="I1056" s="5"/>
      <c r="J1056" s="5"/>
    </row>
    <row r="1057" spans="1:10" x14ac:dyDescent="0.25">
      <c r="A1057" s="5" t="s">
        <v>10</v>
      </c>
      <c r="B1057" s="5" t="s">
        <v>27</v>
      </c>
      <c r="C1057" s="5" t="s">
        <v>19</v>
      </c>
      <c r="D1057" s="5" t="s">
        <v>12</v>
      </c>
      <c r="E1057" s="5">
        <v>2015</v>
      </c>
      <c r="F1057" s="5"/>
      <c r="H1057" s="5"/>
      <c r="I1057" s="5"/>
      <c r="J1057" s="5"/>
    </row>
    <row r="1058" spans="1:10" x14ac:dyDescent="0.25">
      <c r="A1058" s="5" t="s">
        <v>10</v>
      </c>
      <c r="B1058" s="5" t="s">
        <v>28</v>
      </c>
      <c r="C1058" s="5" t="s">
        <v>19</v>
      </c>
      <c r="D1058" s="5" t="s">
        <v>12</v>
      </c>
      <c r="E1058" s="5">
        <v>2015</v>
      </c>
      <c r="F1058" s="5"/>
      <c r="H1058" s="5"/>
      <c r="I1058" s="5"/>
      <c r="J1058" s="5"/>
    </row>
    <row r="1059" spans="1:10" x14ac:dyDescent="0.25">
      <c r="A1059" s="5" t="s">
        <v>10</v>
      </c>
      <c r="B1059" s="5" t="s">
        <v>29</v>
      </c>
      <c r="C1059" s="5" t="s">
        <v>19</v>
      </c>
      <c r="D1059" s="5" t="s">
        <v>12</v>
      </c>
      <c r="E1059" s="5">
        <v>2015</v>
      </c>
      <c r="F1059" s="5"/>
      <c r="H1059" s="5"/>
      <c r="I1059" s="5"/>
      <c r="J1059" s="5"/>
    </row>
    <row r="1060" spans="1:10" x14ac:dyDescent="0.25">
      <c r="A1060" s="5" t="s">
        <v>10</v>
      </c>
      <c r="B1060" s="5" t="s">
        <v>30</v>
      </c>
      <c r="C1060" s="5" t="s">
        <v>19</v>
      </c>
      <c r="D1060" s="5" t="s">
        <v>12</v>
      </c>
      <c r="E1060" s="5">
        <v>2015</v>
      </c>
      <c r="F1060" s="5"/>
      <c r="H1060" s="5"/>
      <c r="I1060" s="5"/>
      <c r="J1060" s="5"/>
    </row>
    <row r="1061" spans="1:10" x14ac:dyDescent="0.25">
      <c r="A1061" t="s">
        <v>22</v>
      </c>
      <c r="B1061" t="s">
        <v>24</v>
      </c>
      <c r="C1061" t="s">
        <v>19</v>
      </c>
      <c r="D1061" t="s">
        <v>12</v>
      </c>
      <c r="E1061">
        <v>2015</v>
      </c>
    </row>
    <row r="1062" spans="1:10" x14ac:dyDescent="0.25">
      <c r="A1062" t="s">
        <v>22</v>
      </c>
      <c r="B1062" t="s">
        <v>26</v>
      </c>
      <c r="C1062" t="s">
        <v>19</v>
      </c>
      <c r="D1062" t="s">
        <v>12</v>
      </c>
      <c r="E1062">
        <v>2015</v>
      </c>
    </row>
    <row r="1063" spans="1:10" x14ac:dyDescent="0.25">
      <c r="A1063" t="s">
        <v>22</v>
      </c>
      <c r="B1063" t="s">
        <v>27</v>
      </c>
      <c r="C1063" t="s">
        <v>19</v>
      </c>
      <c r="D1063" t="s">
        <v>12</v>
      </c>
      <c r="E1063">
        <v>2015</v>
      </c>
    </row>
    <row r="1064" spans="1:10" x14ac:dyDescent="0.25">
      <c r="A1064" t="s">
        <v>22</v>
      </c>
      <c r="B1064" t="s">
        <v>28</v>
      </c>
      <c r="C1064" t="s">
        <v>19</v>
      </c>
      <c r="D1064" t="s">
        <v>12</v>
      </c>
      <c r="E1064">
        <v>2015</v>
      </c>
    </row>
    <row r="1065" spans="1:10" x14ac:dyDescent="0.25">
      <c r="A1065" t="s">
        <v>22</v>
      </c>
      <c r="B1065" t="s">
        <v>29</v>
      </c>
      <c r="C1065" t="s">
        <v>19</v>
      </c>
      <c r="D1065" t="s">
        <v>12</v>
      </c>
      <c r="E1065">
        <v>2015</v>
      </c>
    </row>
    <row r="1066" spans="1:10" x14ac:dyDescent="0.25">
      <c r="A1066" t="s">
        <v>22</v>
      </c>
      <c r="B1066" t="s">
        <v>30</v>
      </c>
      <c r="C1066" t="s">
        <v>19</v>
      </c>
      <c r="D1066" t="s">
        <v>12</v>
      </c>
      <c r="E1066">
        <v>2015</v>
      </c>
    </row>
    <row r="1067" spans="1:10" x14ac:dyDescent="0.25">
      <c r="A1067" t="s">
        <v>21</v>
      </c>
      <c r="B1067" t="s">
        <v>26</v>
      </c>
      <c r="C1067" t="s">
        <v>19</v>
      </c>
      <c r="D1067" t="s">
        <v>15</v>
      </c>
      <c r="E1067">
        <v>2015</v>
      </c>
    </row>
    <row r="1068" spans="1:10" x14ac:dyDescent="0.25">
      <c r="A1068" t="s">
        <v>21</v>
      </c>
      <c r="B1068" t="s">
        <v>28</v>
      </c>
      <c r="C1068" t="s">
        <v>19</v>
      </c>
      <c r="D1068" t="s">
        <v>15</v>
      </c>
      <c r="E1068">
        <v>2015</v>
      </c>
    </row>
    <row r="1069" spans="1:10" x14ac:dyDescent="0.25">
      <c r="A1069" t="s">
        <v>21</v>
      </c>
      <c r="B1069" t="s">
        <v>29</v>
      </c>
      <c r="C1069" t="s">
        <v>19</v>
      </c>
      <c r="D1069" t="s">
        <v>15</v>
      </c>
      <c r="E1069">
        <v>2015</v>
      </c>
    </row>
    <row r="1070" spans="1:10" x14ac:dyDescent="0.25">
      <c r="A1070" t="s">
        <v>21</v>
      </c>
      <c r="B1070" t="s">
        <v>30</v>
      </c>
      <c r="C1070" t="s">
        <v>19</v>
      </c>
      <c r="D1070" t="s">
        <v>15</v>
      </c>
      <c r="E1070">
        <v>2015</v>
      </c>
    </row>
    <row r="1071" spans="1:10" x14ac:dyDescent="0.25">
      <c r="A1071" s="5" t="s">
        <v>10</v>
      </c>
      <c r="B1071" s="5" t="s">
        <v>26</v>
      </c>
      <c r="C1071" s="5" t="s">
        <v>19</v>
      </c>
      <c r="D1071" s="5" t="s">
        <v>15</v>
      </c>
      <c r="E1071" s="5">
        <v>2015</v>
      </c>
      <c r="F1071" s="5"/>
      <c r="H1071" s="5"/>
      <c r="I1071" s="5"/>
      <c r="J1071" s="5"/>
    </row>
    <row r="1072" spans="1:10" x14ac:dyDescent="0.25">
      <c r="A1072" s="5" t="s">
        <v>10</v>
      </c>
      <c r="B1072" s="5" t="s">
        <v>28</v>
      </c>
      <c r="C1072" s="5" t="s">
        <v>19</v>
      </c>
      <c r="D1072" s="5" t="s">
        <v>15</v>
      </c>
      <c r="E1072" s="5">
        <v>2015</v>
      </c>
      <c r="F1072" s="5"/>
      <c r="H1072" s="5"/>
      <c r="I1072" s="5"/>
      <c r="J1072" s="5"/>
    </row>
    <row r="1073" spans="1:10" x14ac:dyDescent="0.25">
      <c r="A1073" s="5" t="s">
        <v>10</v>
      </c>
      <c r="B1073" s="5" t="s">
        <v>29</v>
      </c>
      <c r="C1073" s="5" t="s">
        <v>19</v>
      </c>
      <c r="D1073" s="5" t="s">
        <v>15</v>
      </c>
      <c r="E1073" s="5">
        <v>2015</v>
      </c>
      <c r="F1073" s="5"/>
      <c r="H1073" s="5"/>
      <c r="I1073" s="5"/>
      <c r="J1073" s="5"/>
    </row>
    <row r="1074" spans="1:10" x14ac:dyDescent="0.25">
      <c r="A1074" s="5" t="s">
        <v>10</v>
      </c>
      <c r="B1074" s="5" t="s">
        <v>30</v>
      </c>
      <c r="C1074" s="5" t="s">
        <v>19</v>
      </c>
      <c r="D1074" s="5" t="s">
        <v>15</v>
      </c>
      <c r="E1074" s="5">
        <v>2015</v>
      </c>
      <c r="F1074" s="5"/>
      <c r="H1074" s="5"/>
      <c r="I1074" s="5"/>
      <c r="J1074" s="5"/>
    </row>
    <row r="1075" spans="1:10" x14ac:dyDescent="0.25">
      <c r="A1075" t="s">
        <v>22</v>
      </c>
      <c r="B1075" t="s">
        <v>26</v>
      </c>
      <c r="C1075" t="s">
        <v>19</v>
      </c>
      <c r="D1075" t="s">
        <v>15</v>
      </c>
      <c r="E1075">
        <v>2015</v>
      </c>
    </row>
    <row r="1076" spans="1:10" x14ac:dyDescent="0.25">
      <c r="A1076" t="s">
        <v>22</v>
      </c>
      <c r="B1076" t="s">
        <v>28</v>
      </c>
      <c r="C1076" t="s">
        <v>19</v>
      </c>
      <c r="D1076" t="s">
        <v>15</v>
      </c>
      <c r="E1076">
        <v>2015</v>
      </c>
    </row>
    <row r="1077" spans="1:10" x14ac:dyDescent="0.25">
      <c r="A1077" t="s">
        <v>22</v>
      </c>
      <c r="B1077" t="s">
        <v>29</v>
      </c>
      <c r="C1077" t="s">
        <v>19</v>
      </c>
      <c r="D1077" t="s">
        <v>15</v>
      </c>
      <c r="E1077">
        <v>2015</v>
      </c>
    </row>
    <row r="1078" spans="1:10" x14ac:dyDescent="0.25">
      <c r="A1078" t="s">
        <v>22</v>
      </c>
      <c r="B1078" t="s">
        <v>30</v>
      </c>
      <c r="C1078" t="s">
        <v>19</v>
      </c>
      <c r="D1078" t="s">
        <v>15</v>
      </c>
      <c r="E1078">
        <v>2015</v>
      </c>
    </row>
    <row r="1079" spans="1:10" x14ac:dyDescent="0.25">
      <c r="A1079" t="s">
        <v>21</v>
      </c>
      <c r="B1079" t="s">
        <v>24</v>
      </c>
      <c r="C1079" t="s">
        <v>20</v>
      </c>
      <c r="D1079" t="s">
        <v>12</v>
      </c>
      <c r="E1079">
        <v>2015</v>
      </c>
    </row>
    <row r="1080" spans="1:10" x14ac:dyDescent="0.25">
      <c r="A1080" t="s">
        <v>21</v>
      </c>
      <c r="B1080" t="s">
        <v>26</v>
      </c>
      <c r="C1080" t="s">
        <v>20</v>
      </c>
      <c r="D1080" t="s">
        <v>12</v>
      </c>
      <c r="E1080">
        <v>2015</v>
      </c>
    </row>
    <row r="1081" spans="1:10" x14ac:dyDescent="0.25">
      <c r="A1081" t="s">
        <v>21</v>
      </c>
      <c r="B1081" t="s">
        <v>27</v>
      </c>
      <c r="C1081" t="s">
        <v>20</v>
      </c>
      <c r="D1081" t="s">
        <v>12</v>
      </c>
      <c r="E1081">
        <v>2015</v>
      </c>
    </row>
    <row r="1082" spans="1:10" x14ac:dyDescent="0.25">
      <c r="A1082" t="s">
        <v>21</v>
      </c>
      <c r="B1082" t="s">
        <v>28</v>
      </c>
      <c r="C1082" t="s">
        <v>20</v>
      </c>
      <c r="D1082" t="s">
        <v>12</v>
      </c>
      <c r="E1082">
        <v>2015</v>
      </c>
    </row>
    <row r="1083" spans="1:10" x14ac:dyDescent="0.25">
      <c r="A1083" t="s">
        <v>21</v>
      </c>
      <c r="B1083" t="s">
        <v>29</v>
      </c>
      <c r="C1083" t="s">
        <v>20</v>
      </c>
      <c r="D1083" t="s">
        <v>12</v>
      </c>
      <c r="E1083">
        <v>2015</v>
      </c>
    </row>
    <row r="1084" spans="1:10" x14ac:dyDescent="0.25">
      <c r="A1084" t="s">
        <v>21</v>
      </c>
      <c r="B1084" t="s">
        <v>30</v>
      </c>
      <c r="C1084" t="s">
        <v>20</v>
      </c>
      <c r="D1084" t="s">
        <v>12</v>
      </c>
      <c r="E1084">
        <v>2015</v>
      </c>
    </row>
    <row r="1085" spans="1:10" x14ac:dyDescent="0.25">
      <c r="A1085" s="5" t="s">
        <v>10</v>
      </c>
      <c r="B1085" s="5" t="s">
        <v>24</v>
      </c>
      <c r="C1085" s="5" t="s">
        <v>20</v>
      </c>
      <c r="D1085" s="5" t="s">
        <v>12</v>
      </c>
      <c r="E1085" s="5">
        <v>2015</v>
      </c>
      <c r="F1085" s="5"/>
      <c r="H1085" s="5"/>
      <c r="I1085" s="5"/>
      <c r="J1085" s="5"/>
    </row>
    <row r="1086" spans="1:10" x14ac:dyDescent="0.25">
      <c r="A1086" s="5" t="s">
        <v>10</v>
      </c>
      <c r="B1086" s="5" t="s">
        <v>26</v>
      </c>
      <c r="C1086" s="5" t="s">
        <v>20</v>
      </c>
      <c r="D1086" s="5" t="s">
        <v>12</v>
      </c>
      <c r="E1086" s="5">
        <v>2015</v>
      </c>
      <c r="F1086" s="5"/>
      <c r="H1086" s="5"/>
      <c r="I1086" s="5"/>
      <c r="J1086" s="5"/>
    </row>
    <row r="1087" spans="1:10" x14ac:dyDescent="0.25">
      <c r="A1087" s="5" t="s">
        <v>10</v>
      </c>
      <c r="B1087" s="5" t="s">
        <v>27</v>
      </c>
      <c r="C1087" s="5" t="s">
        <v>20</v>
      </c>
      <c r="D1087" s="5" t="s">
        <v>12</v>
      </c>
      <c r="E1087" s="5">
        <v>2015</v>
      </c>
      <c r="F1087" s="5"/>
      <c r="H1087" s="5"/>
      <c r="I1087" s="5"/>
      <c r="J1087" s="5"/>
    </row>
    <row r="1088" spans="1:10" x14ac:dyDescent="0.25">
      <c r="A1088" s="5" t="s">
        <v>10</v>
      </c>
      <c r="B1088" s="5" t="s">
        <v>28</v>
      </c>
      <c r="C1088" s="5" t="s">
        <v>20</v>
      </c>
      <c r="D1088" s="5" t="s">
        <v>12</v>
      </c>
      <c r="E1088" s="5">
        <v>2015</v>
      </c>
      <c r="F1088" s="5"/>
      <c r="H1088" s="5"/>
      <c r="I1088" s="5"/>
      <c r="J1088" s="5"/>
    </row>
    <row r="1089" spans="1:10" x14ac:dyDescent="0.25">
      <c r="A1089" s="5" t="s">
        <v>10</v>
      </c>
      <c r="B1089" s="5" t="s">
        <v>29</v>
      </c>
      <c r="C1089" s="5" t="s">
        <v>20</v>
      </c>
      <c r="D1089" s="5" t="s">
        <v>12</v>
      </c>
      <c r="E1089" s="5">
        <v>2015</v>
      </c>
      <c r="F1089" s="5"/>
      <c r="H1089" s="5"/>
      <c r="I1089" s="5"/>
      <c r="J1089" s="5"/>
    </row>
    <row r="1090" spans="1:10" x14ac:dyDescent="0.25">
      <c r="A1090" s="5" t="s">
        <v>10</v>
      </c>
      <c r="B1090" s="5" t="s">
        <v>30</v>
      </c>
      <c r="C1090" s="5" t="s">
        <v>20</v>
      </c>
      <c r="D1090" s="5" t="s">
        <v>12</v>
      </c>
      <c r="E1090" s="5">
        <v>2015</v>
      </c>
      <c r="F1090" s="5"/>
      <c r="H1090" s="5"/>
      <c r="I1090" s="5"/>
      <c r="J1090" s="5"/>
    </row>
    <row r="1091" spans="1:10" x14ac:dyDescent="0.25">
      <c r="A1091" t="s">
        <v>22</v>
      </c>
      <c r="B1091" t="s">
        <v>24</v>
      </c>
      <c r="C1091" t="s">
        <v>20</v>
      </c>
      <c r="D1091" t="s">
        <v>12</v>
      </c>
      <c r="E1091">
        <v>2015</v>
      </c>
    </row>
    <row r="1092" spans="1:10" x14ac:dyDescent="0.25">
      <c r="A1092" t="s">
        <v>22</v>
      </c>
      <c r="B1092" t="s">
        <v>26</v>
      </c>
      <c r="C1092" t="s">
        <v>20</v>
      </c>
      <c r="D1092" t="s">
        <v>12</v>
      </c>
      <c r="E1092">
        <v>2015</v>
      </c>
    </row>
    <row r="1093" spans="1:10" x14ac:dyDescent="0.25">
      <c r="A1093" t="s">
        <v>22</v>
      </c>
      <c r="B1093" t="s">
        <v>27</v>
      </c>
      <c r="C1093" t="s">
        <v>20</v>
      </c>
      <c r="D1093" t="s">
        <v>12</v>
      </c>
      <c r="E1093">
        <v>2015</v>
      </c>
    </row>
    <row r="1094" spans="1:10" x14ac:dyDescent="0.25">
      <c r="A1094" t="s">
        <v>22</v>
      </c>
      <c r="B1094" t="s">
        <v>28</v>
      </c>
      <c r="C1094" t="s">
        <v>20</v>
      </c>
      <c r="D1094" t="s">
        <v>12</v>
      </c>
      <c r="E1094">
        <v>2015</v>
      </c>
    </row>
    <row r="1095" spans="1:10" x14ac:dyDescent="0.25">
      <c r="A1095" t="s">
        <v>22</v>
      </c>
      <c r="B1095" t="s">
        <v>29</v>
      </c>
      <c r="C1095" t="s">
        <v>20</v>
      </c>
      <c r="D1095" t="s">
        <v>12</v>
      </c>
      <c r="E1095">
        <v>2015</v>
      </c>
    </row>
    <row r="1096" spans="1:10" x14ac:dyDescent="0.25">
      <c r="A1096" t="s">
        <v>22</v>
      </c>
      <c r="B1096" t="s">
        <v>30</v>
      </c>
      <c r="C1096" t="s">
        <v>20</v>
      </c>
      <c r="D1096" t="s">
        <v>12</v>
      </c>
      <c r="E1096">
        <v>2015</v>
      </c>
    </row>
    <row r="1097" spans="1:10" x14ac:dyDescent="0.25">
      <c r="A1097" t="s">
        <v>21</v>
      </c>
      <c r="B1097" t="s">
        <v>26</v>
      </c>
      <c r="C1097" t="s">
        <v>20</v>
      </c>
      <c r="D1097" t="s">
        <v>15</v>
      </c>
      <c r="E1097">
        <v>2015</v>
      </c>
    </row>
    <row r="1098" spans="1:10" x14ac:dyDescent="0.25">
      <c r="A1098" t="s">
        <v>21</v>
      </c>
      <c r="B1098" t="s">
        <v>28</v>
      </c>
      <c r="C1098" t="s">
        <v>20</v>
      </c>
      <c r="D1098" t="s">
        <v>15</v>
      </c>
      <c r="E1098">
        <v>2015</v>
      </c>
    </row>
    <row r="1099" spans="1:10" x14ac:dyDescent="0.25">
      <c r="A1099" t="s">
        <v>21</v>
      </c>
      <c r="B1099" t="s">
        <v>29</v>
      </c>
      <c r="C1099" t="s">
        <v>20</v>
      </c>
      <c r="D1099" t="s">
        <v>15</v>
      </c>
      <c r="E1099">
        <v>2015</v>
      </c>
    </row>
    <row r="1100" spans="1:10" x14ac:dyDescent="0.25">
      <c r="A1100" t="s">
        <v>21</v>
      </c>
      <c r="B1100" t="s">
        <v>30</v>
      </c>
      <c r="C1100" t="s">
        <v>20</v>
      </c>
      <c r="D1100" t="s">
        <v>15</v>
      </c>
      <c r="E1100">
        <v>2015</v>
      </c>
    </row>
    <row r="1101" spans="1:10" x14ac:dyDescent="0.25">
      <c r="A1101" s="5" t="s">
        <v>10</v>
      </c>
      <c r="B1101" s="5" t="s">
        <v>26</v>
      </c>
      <c r="C1101" s="5" t="s">
        <v>20</v>
      </c>
      <c r="D1101" s="5" t="s">
        <v>15</v>
      </c>
      <c r="E1101" s="5">
        <v>2015</v>
      </c>
      <c r="F1101" s="5"/>
      <c r="H1101" s="5"/>
      <c r="I1101" s="5"/>
      <c r="J1101" s="5"/>
    </row>
    <row r="1102" spans="1:10" x14ac:dyDescent="0.25">
      <c r="A1102" s="5" t="s">
        <v>10</v>
      </c>
      <c r="B1102" s="5" t="s">
        <v>28</v>
      </c>
      <c r="C1102" s="5" t="s">
        <v>20</v>
      </c>
      <c r="D1102" s="5" t="s">
        <v>15</v>
      </c>
      <c r="E1102" s="5">
        <v>2015</v>
      </c>
      <c r="F1102" s="5"/>
      <c r="H1102" s="5"/>
      <c r="I1102" s="5"/>
      <c r="J1102" s="5"/>
    </row>
    <row r="1103" spans="1:10" x14ac:dyDescent="0.25">
      <c r="A1103" s="5" t="s">
        <v>10</v>
      </c>
      <c r="B1103" s="5" t="s">
        <v>29</v>
      </c>
      <c r="C1103" s="5" t="s">
        <v>20</v>
      </c>
      <c r="D1103" s="5" t="s">
        <v>15</v>
      </c>
      <c r="E1103" s="5">
        <v>2015</v>
      </c>
      <c r="F1103" s="5"/>
      <c r="H1103" s="5"/>
      <c r="I1103" s="5"/>
      <c r="J1103" s="5"/>
    </row>
    <row r="1104" spans="1:10" x14ac:dyDescent="0.25">
      <c r="A1104" s="5" t="s">
        <v>10</v>
      </c>
      <c r="B1104" s="5" t="s">
        <v>30</v>
      </c>
      <c r="C1104" s="5" t="s">
        <v>20</v>
      </c>
      <c r="D1104" s="5" t="s">
        <v>15</v>
      </c>
      <c r="E1104" s="5">
        <v>2015</v>
      </c>
      <c r="F1104" s="5"/>
      <c r="H1104" s="5"/>
      <c r="I1104" s="5"/>
      <c r="J1104" s="5"/>
    </row>
    <row r="1105" spans="1:10" x14ac:dyDescent="0.25">
      <c r="A1105" t="s">
        <v>22</v>
      </c>
      <c r="B1105" t="s">
        <v>26</v>
      </c>
      <c r="C1105" t="s">
        <v>20</v>
      </c>
      <c r="D1105" t="s">
        <v>15</v>
      </c>
      <c r="E1105">
        <v>2015</v>
      </c>
    </row>
    <row r="1106" spans="1:10" x14ac:dyDescent="0.25">
      <c r="A1106" t="s">
        <v>22</v>
      </c>
      <c r="B1106" t="s">
        <v>28</v>
      </c>
      <c r="C1106" t="s">
        <v>20</v>
      </c>
      <c r="D1106" t="s">
        <v>15</v>
      </c>
      <c r="E1106">
        <v>2015</v>
      </c>
    </row>
    <row r="1107" spans="1:10" x14ac:dyDescent="0.25">
      <c r="A1107" t="s">
        <v>22</v>
      </c>
      <c r="B1107" t="s">
        <v>29</v>
      </c>
      <c r="C1107" t="s">
        <v>20</v>
      </c>
      <c r="D1107" t="s">
        <v>15</v>
      </c>
      <c r="E1107">
        <v>2015</v>
      </c>
    </row>
    <row r="1108" spans="1:10" x14ac:dyDescent="0.25">
      <c r="A1108" t="s">
        <v>22</v>
      </c>
      <c r="B1108" t="s">
        <v>30</v>
      </c>
      <c r="C1108" t="s">
        <v>20</v>
      </c>
      <c r="D1108" t="s">
        <v>15</v>
      </c>
      <c r="E1108">
        <v>2015</v>
      </c>
    </row>
    <row r="1109" spans="1:10" x14ac:dyDescent="0.25">
      <c r="A1109" t="s">
        <v>21</v>
      </c>
      <c r="B1109" t="s">
        <v>24</v>
      </c>
      <c r="C1109" t="s">
        <v>31</v>
      </c>
      <c r="D1109" t="s">
        <v>12</v>
      </c>
      <c r="E1109">
        <v>2015</v>
      </c>
    </row>
    <row r="1110" spans="1:10" x14ac:dyDescent="0.25">
      <c r="A1110" t="s">
        <v>21</v>
      </c>
      <c r="B1110" t="s">
        <v>26</v>
      </c>
      <c r="C1110" t="s">
        <v>31</v>
      </c>
      <c r="D1110" t="s">
        <v>12</v>
      </c>
      <c r="E1110">
        <v>2015</v>
      </c>
    </row>
    <row r="1111" spans="1:10" x14ac:dyDescent="0.25">
      <c r="A1111" t="s">
        <v>21</v>
      </c>
      <c r="B1111" t="s">
        <v>27</v>
      </c>
      <c r="C1111" t="s">
        <v>31</v>
      </c>
      <c r="D1111" t="s">
        <v>12</v>
      </c>
      <c r="E1111">
        <v>2015</v>
      </c>
    </row>
    <row r="1112" spans="1:10" x14ac:dyDescent="0.25">
      <c r="A1112" t="s">
        <v>21</v>
      </c>
      <c r="B1112" t="s">
        <v>28</v>
      </c>
      <c r="C1112" t="s">
        <v>31</v>
      </c>
      <c r="D1112" t="s">
        <v>12</v>
      </c>
      <c r="E1112">
        <v>2015</v>
      </c>
    </row>
    <row r="1113" spans="1:10" x14ac:dyDescent="0.25">
      <c r="A1113" t="s">
        <v>21</v>
      </c>
      <c r="B1113" t="s">
        <v>29</v>
      </c>
      <c r="C1113" t="s">
        <v>31</v>
      </c>
      <c r="D1113" t="s">
        <v>12</v>
      </c>
      <c r="E1113">
        <v>2015</v>
      </c>
    </row>
    <row r="1114" spans="1:10" x14ac:dyDescent="0.25">
      <c r="A1114" t="s">
        <v>21</v>
      </c>
      <c r="B1114" t="s">
        <v>30</v>
      </c>
      <c r="C1114" t="s">
        <v>31</v>
      </c>
      <c r="D1114" t="s">
        <v>12</v>
      </c>
      <c r="E1114">
        <v>2015</v>
      </c>
    </row>
    <row r="1115" spans="1:10" x14ac:dyDescent="0.25">
      <c r="A1115" s="5" t="s">
        <v>10</v>
      </c>
      <c r="B1115" s="5" t="s">
        <v>24</v>
      </c>
      <c r="C1115" s="5" t="s">
        <v>31</v>
      </c>
      <c r="D1115" s="5" t="s">
        <v>12</v>
      </c>
      <c r="E1115" s="5">
        <v>2015</v>
      </c>
      <c r="F1115" s="5"/>
      <c r="H1115" s="5"/>
      <c r="I1115" s="5"/>
      <c r="J1115" s="5"/>
    </row>
    <row r="1116" spans="1:10" x14ac:dyDescent="0.25">
      <c r="A1116" s="5" t="s">
        <v>10</v>
      </c>
      <c r="B1116" s="5" t="s">
        <v>26</v>
      </c>
      <c r="C1116" s="5" t="s">
        <v>31</v>
      </c>
      <c r="D1116" s="5" t="s">
        <v>12</v>
      </c>
      <c r="E1116" s="5">
        <v>2015</v>
      </c>
      <c r="F1116" s="5"/>
      <c r="H1116" s="5"/>
      <c r="I1116" s="5"/>
      <c r="J1116" s="5"/>
    </row>
    <row r="1117" spans="1:10" x14ac:dyDescent="0.25">
      <c r="A1117" s="5" t="s">
        <v>10</v>
      </c>
      <c r="B1117" s="5" t="s">
        <v>27</v>
      </c>
      <c r="C1117" s="5" t="s">
        <v>31</v>
      </c>
      <c r="D1117" s="5" t="s">
        <v>12</v>
      </c>
      <c r="E1117" s="5">
        <v>2015</v>
      </c>
      <c r="F1117" s="5"/>
      <c r="H1117" s="5"/>
      <c r="I1117" s="5"/>
      <c r="J1117" s="5"/>
    </row>
    <row r="1118" spans="1:10" x14ac:dyDescent="0.25">
      <c r="A1118" s="5" t="s">
        <v>10</v>
      </c>
      <c r="B1118" s="5" t="s">
        <v>28</v>
      </c>
      <c r="C1118" s="5" t="s">
        <v>31</v>
      </c>
      <c r="D1118" s="5" t="s">
        <v>12</v>
      </c>
      <c r="E1118" s="5">
        <v>2015</v>
      </c>
      <c r="F1118" s="5"/>
      <c r="H1118" s="5"/>
      <c r="I1118" s="5"/>
      <c r="J1118" s="5"/>
    </row>
    <row r="1119" spans="1:10" x14ac:dyDescent="0.25">
      <c r="A1119" s="5" t="s">
        <v>10</v>
      </c>
      <c r="B1119" s="5" t="s">
        <v>29</v>
      </c>
      <c r="C1119" s="5" t="s">
        <v>31</v>
      </c>
      <c r="D1119" s="5" t="s">
        <v>12</v>
      </c>
      <c r="E1119" s="5">
        <v>2015</v>
      </c>
      <c r="F1119" s="5"/>
      <c r="H1119" s="5"/>
      <c r="I1119" s="5"/>
      <c r="J1119" s="5"/>
    </row>
    <row r="1120" spans="1:10" x14ac:dyDescent="0.25">
      <c r="A1120" s="5" t="s">
        <v>10</v>
      </c>
      <c r="B1120" s="5" t="s">
        <v>30</v>
      </c>
      <c r="C1120" s="5" t="s">
        <v>31</v>
      </c>
      <c r="D1120" s="5" t="s">
        <v>12</v>
      </c>
      <c r="E1120" s="5">
        <v>2015</v>
      </c>
      <c r="F1120" s="5"/>
      <c r="H1120" s="5"/>
      <c r="I1120" s="5"/>
      <c r="J1120" s="5"/>
    </row>
    <row r="1121" spans="1:10" x14ac:dyDescent="0.25">
      <c r="A1121" t="s">
        <v>22</v>
      </c>
      <c r="B1121" t="s">
        <v>24</v>
      </c>
      <c r="C1121" t="s">
        <v>31</v>
      </c>
      <c r="D1121" t="s">
        <v>12</v>
      </c>
      <c r="E1121">
        <v>2015</v>
      </c>
    </row>
    <row r="1122" spans="1:10" x14ac:dyDescent="0.25">
      <c r="A1122" t="s">
        <v>22</v>
      </c>
      <c r="B1122" t="s">
        <v>26</v>
      </c>
      <c r="C1122" t="s">
        <v>31</v>
      </c>
      <c r="D1122" t="s">
        <v>12</v>
      </c>
      <c r="E1122">
        <v>2015</v>
      </c>
    </row>
    <row r="1123" spans="1:10" x14ac:dyDescent="0.25">
      <c r="A1123" t="s">
        <v>22</v>
      </c>
      <c r="B1123" t="s">
        <v>27</v>
      </c>
      <c r="C1123" t="s">
        <v>31</v>
      </c>
      <c r="D1123" t="s">
        <v>12</v>
      </c>
      <c r="E1123">
        <v>2015</v>
      </c>
    </row>
    <row r="1124" spans="1:10" x14ac:dyDescent="0.25">
      <c r="A1124" t="s">
        <v>22</v>
      </c>
      <c r="B1124" t="s">
        <v>28</v>
      </c>
      <c r="C1124" t="s">
        <v>31</v>
      </c>
      <c r="D1124" t="s">
        <v>12</v>
      </c>
      <c r="E1124">
        <v>2015</v>
      </c>
    </row>
    <row r="1125" spans="1:10" x14ac:dyDescent="0.25">
      <c r="A1125" t="s">
        <v>22</v>
      </c>
      <c r="B1125" t="s">
        <v>29</v>
      </c>
      <c r="C1125" t="s">
        <v>31</v>
      </c>
      <c r="D1125" t="s">
        <v>12</v>
      </c>
      <c r="E1125">
        <v>2015</v>
      </c>
    </row>
    <row r="1126" spans="1:10" x14ac:dyDescent="0.25">
      <c r="A1126" t="s">
        <v>22</v>
      </c>
      <c r="B1126" t="s">
        <v>30</v>
      </c>
      <c r="C1126" t="s">
        <v>31</v>
      </c>
      <c r="D1126" t="s">
        <v>12</v>
      </c>
      <c r="E1126">
        <v>2015</v>
      </c>
    </row>
    <row r="1127" spans="1:10" x14ac:dyDescent="0.25">
      <c r="A1127" t="s">
        <v>21</v>
      </c>
      <c r="B1127" t="s">
        <v>26</v>
      </c>
      <c r="C1127" t="s">
        <v>31</v>
      </c>
      <c r="D1127" t="s">
        <v>15</v>
      </c>
      <c r="E1127">
        <v>2015</v>
      </c>
    </row>
    <row r="1128" spans="1:10" x14ac:dyDescent="0.25">
      <c r="A1128" t="s">
        <v>21</v>
      </c>
      <c r="B1128" t="s">
        <v>28</v>
      </c>
      <c r="C1128" t="s">
        <v>31</v>
      </c>
      <c r="D1128" t="s">
        <v>15</v>
      </c>
      <c r="E1128">
        <v>2015</v>
      </c>
    </row>
    <row r="1129" spans="1:10" x14ac:dyDescent="0.25">
      <c r="A1129" t="s">
        <v>21</v>
      </c>
      <c r="B1129" t="s">
        <v>29</v>
      </c>
      <c r="C1129" t="s">
        <v>31</v>
      </c>
      <c r="D1129" t="s">
        <v>15</v>
      </c>
      <c r="E1129">
        <v>2015</v>
      </c>
    </row>
    <row r="1130" spans="1:10" x14ac:dyDescent="0.25">
      <c r="A1130" t="s">
        <v>21</v>
      </c>
      <c r="B1130" t="s">
        <v>30</v>
      </c>
      <c r="C1130" t="s">
        <v>31</v>
      </c>
      <c r="D1130" t="s">
        <v>15</v>
      </c>
      <c r="E1130">
        <v>2015</v>
      </c>
    </row>
    <row r="1131" spans="1:10" x14ac:dyDescent="0.25">
      <c r="A1131" s="5" t="s">
        <v>10</v>
      </c>
      <c r="B1131" s="5" t="s">
        <v>26</v>
      </c>
      <c r="C1131" s="5" t="s">
        <v>31</v>
      </c>
      <c r="D1131" s="5" t="s">
        <v>15</v>
      </c>
      <c r="E1131" s="5">
        <v>2015</v>
      </c>
      <c r="F1131" s="5"/>
      <c r="H1131" s="5"/>
      <c r="I1131" s="5"/>
      <c r="J1131" s="5"/>
    </row>
    <row r="1132" spans="1:10" x14ac:dyDescent="0.25">
      <c r="A1132" s="5" t="s">
        <v>10</v>
      </c>
      <c r="B1132" s="5" t="s">
        <v>28</v>
      </c>
      <c r="C1132" s="5" t="s">
        <v>31</v>
      </c>
      <c r="D1132" s="5" t="s">
        <v>15</v>
      </c>
      <c r="E1132" s="5">
        <v>2015</v>
      </c>
      <c r="F1132" s="5"/>
      <c r="H1132" s="5"/>
      <c r="I1132" s="5"/>
      <c r="J1132" s="5"/>
    </row>
    <row r="1133" spans="1:10" x14ac:dyDescent="0.25">
      <c r="A1133" s="5" t="s">
        <v>10</v>
      </c>
      <c r="B1133" s="5" t="s">
        <v>29</v>
      </c>
      <c r="C1133" s="5" t="s">
        <v>31</v>
      </c>
      <c r="D1133" s="5" t="s">
        <v>15</v>
      </c>
      <c r="E1133" s="5">
        <v>2015</v>
      </c>
      <c r="F1133" s="5"/>
      <c r="H1133" s="5"/>
      <c r="I1133" s="5"/>
      <c r="J1133" s="5"/>
    </row>
    <row r="1134" spans="1:10" x14ac:dyDescent="0.25">
      <c r="A1134" s="5" t="s">
        <v>10</v>
      </c>
      <c r="B1134" s="5" t="s">
        <v>30</v>
      </c>
      <c r="C1134" s="5" t="s">
        <v>31</v>
      </c>
      <c r="D1134" s="5" t="s">
        <v>15</v>
      </c>
      <c r="E1134" s="5">
        <v>2015</v>
      </c>
      <c r="F1134" s="5"/>
      <c r="H1134" s="5"/>
      <c r="I1134" s="5"/>
      <c r="J1134" s="5"/>
    </row>
    <row r="1135" spans="1:10" x14ac:dyDescent="0.25">
      <c r="A1135" t="s">
        <v>22</v>
      </c>
      <c r="B1135" t="s">
        <v>26</v>
      </c>
      <c r="C1135" t="s">
        <v>31</v>
      </c>
      <c r="D1135" t="s">
        <v>15</v>
      </c>
      <c r="E1135">
        <v>2015</v>
      </c>
    </row>
    <row r="1136" spans="1:10" x14ac:dyDescent="0.25">
      <c r="A1136" t="s">
        <v>22</v>
      </c>
      <c r="B1136" t="s">
        <v>28</v>
      </c>
      <c r="C1136" t="s">
        <v>31</v>
      </c>
      <c r="D1136" t="s">
        <v>15</v>
      </c>
      <c r="E1136">
        <v>2015</v>
      </c>
    </row>
    <row r="1137" spans="1:11" x14ac:dyDescent="0.25">
      <c r="A1137" t="s">
        <v>22</v>
      </c>
      <c r="B1137" t="s">
        <v>29</v>
      </c>
      <c r="C1137" t="s">
        <v>31</v>
      </c>
      <c r="D1137" t="s">
        <v>15</v>
      </c>
      <c r="E1137">
        <v>2015</v>
      </c>
    </row>
    <row r="1138" spans="1:11" x14ac:dyDescent="0.25">
      <c r="A1138" t="s">
        <v>22</v>
      </c>
      <c r="B1138" t="s">
        <v>30</v>
      </c>
      <c r="C1138" t="s">
        <v>31</v>
      </c>
      <c r="D1138" t="s">
        <v>15</v>
      </c>
      <c r="E1138">
        <v>2015</v>
      </c>
    </row>
    <row r="1139" spans="1:11" x14ac:dyDescent="0.25">
      <c r="A1139" t="s">
        <v>32</v>
      </c>
      <c r="B1139" t="s">
        <v>11</v>
      </c>
      <c r="C1139" t="s">
        <v>11</v>
      </c>
      <c r="D1139" t="s">
        <v>33</v>
      </c>
      <c r="E1139">
        <v>2015</v>
      </c>
      <c r="K1139" t="s">
        <v>34</v>
      </c>
    </row>
    <row r="1140" spans="1:11" x14ac:dyDescent="0.25">
      <c r="A1140" t="s">
        <v>32</v>
      </c>
      <c r="B1140" t="s">
        <v>11</v>
      </c>
      <c r="C1140" t="s">
        <v>11</v>
      </c>
      <c r="D1140" t="s">
        <v>33</v>
      </c>
      <c r="E1140">
        <v>2014</v>
      </c>
      <c r="K1140" t="s">
        <v>34</v>
      </c>
    </row>
    <row r="1141" spans="1:11" x14ac:dyDescent="0.25">
      <c r="A1141" t="s">
        <v>32</v>
      </c>
      <c r="B1141" t="s">
        <v>11</v>
      </c>
      <c r="C1141" t="s">
        <v>11</v>
      </c>
      <c r="D1141" t="s">
        <v>33</v>
      </c>
      <c r="E1141">
        <v>2013</v>
      </c>
      <c r="K1141" t="s">
        <v>34</v>
      </c>
    </row>
    <row r="1142" spans="1:11" x14ac:dyDescent="0.25">
      <c r="A1142" t="s">
        <v>32</v>
      </c>
      <c r="B1142" t="s">
        <v>11</v>
      </c>
      <c r="C1142" t="s">
        <v>11</v>
      </c>
      <c r="D1142" t="s">
        <v>33</v>
      </c>
      <c r="E1142">
        <v>2012</v>
      </c>
      <c r="K1142" t="s">
        <v>34</v>
      </c>
    </row>
    <row r="1143" spans="1:11" x14ac:dyDescent="0.25">
      <c r="A1143" t="s">
        <v>32</v>
      </c>
      <c r="B1143" t="s">
        <v>11</v>
      </c>
      <c r="C1143" t="s">
        <v>11</v>
      </c>
      <c r="D1143" t="s">
        <v>33</v>
      </c>
      <c r="E1143">
        <v>2011</v>
      </c>
      <c r="K1143" t="s">
        <v>34</v>
      </c>
    </row>
    <row r="1144" spans="1:11" x14ac:dyDescent="0.25">
      <c r="A1144" t="s">
        <v>32</v>
      </c>
      <c r="B1144" t="s">
        <v>35</v>
      </c>
      <c r="C1144" t="s">
        <v>11</v>
      </c>
      <c r="D1144" t="s">
        <v>33</v>
      </c>
      <c r="E1144">
        <v>2015</v>
      </c>
      <c r="K1144" t="s">
        <v>34</v>
      </c>
    </row>
    <row r="1145" spans="1:11" x14ac:dyDescent="0.25">
      <c r="A1145" t="s">
        <v>32</v>
      </c>
      <c r="B1145" t="s">
        <v>35</v>
      </c>
      <c r="C1145" t="s">
        <v>11</v>
      </c>
      <c r="D1145" t="s">
        <v>33</v>
      </c>
      <c r="E1145">
        <v>2014</v>
      </c>
      <c r="K1145" t="s">
        <v>34</v>
      </c>
    </row>
    <row r="1146" spans="1:11" x14ac:dyDescent="0.25">
      <c r="A1146" t="s">
        <v>32</v>
      </c>
      <c r="B1146" t="s">
        <v>35</v>
      </c>
      <c r="C1146" t="s">
        <v>11</v>
      </c>
      <c r="D1146" t="s">
        <v>33</v>
      </c>
      <c r="E1146">
        <v>2013</v>
      </c>
      <c r="K1146" t="s">
        <v>34</v>
      </c>
    </row>
    <row r="1147" spans="1:11" x14ac:dyDescent="0.25">
      <c r="A1147" t="s">
        <v>32</v>
      </c>
      <c r="B1147" t="s">
        <v>35</v>
      </c>
      <c r="C1147" t="s">
        <v>11</v>
      </c>
      <c r="D1147" t="s">
        <v>33</v>
      </c>
      <c r="E1147">
        <v>2012</v>
      </c>
      <c r="K1147" t="s">
        <v>34</v>
      </c>
    </row>
    <row r="1148" spans="1:11" x14ac:dyDescent="0.25">
      <c r="A1148" t="s">
        <v>32</v>
      </c>
      <c r="B1148" t="s">
        <v>35</v>
      </c>
      <c r="C1148" t="s">
        <v>11</v>
      </c>
      <c r="D1148" t="s">
        <v>33</v>
      </c>
      <c r="E1148">
        <v>2011</v>
      </c>
      <c r="K1148" t="s">
        <v>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ATL - 17 Targets - Working</vt:lpstr>
      <vt:lpstr>BAL - 17 Targets - Working</vt:lpstr>
      <vt:lpstr>LA - 17 Targets - Working</vt:lpstr>
      <vt:lpstr>MIA - 17 Targets - Working</vt:lpstr>
      <vt:lpstr>NYC - 17 Targets - Working</vt:lpstr>
      <vt:lpstr>SEA - 17 Targets - Working</vt:lpstr>
      <vt:lpstr>NYC</vt:lpstr>
      <vt:lpstr>NYC outside percent</vt:lpstr>
      <vt:lpstr>LA - 17 Targets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Xiao Zang</cp:lastModifiedBy>
  <dcterms:created xsi:type="dcterms:W3CDTF">2018-04-13T21:25:02Z</dcterms:created>
  <dcterms:modified xsi:type="dcterms:W3CDTF">2019-01-25T01:36:50Z</dcterms:modified>
</cp:coreProperties>
</file>